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threadedComments/threadedComment5.xml" ContentType="application/vnd.ms-excel.threadedcomments+xml"/>
  <Override PartName="/xl/comments8.xml" ContentType="application/vnd.openxmlformats-officedocument.spreadsheetml.comments+xml"/>
  <Override PartName="/xl/threadedComments/threadedComment6.xml" ContentType="application/vnd.ms-excel.threaded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7.xml" ContentType="application/vnd.ms-excel.threadedcomments+xml"/>
  <Override PartName="/xl/comments11.xml" ContentType="application/vnd.openxmlformats-officedocument.spreadsheetml.comments+xml"/>
  <Override PartName="/xl/threadedComments/threadedComment8.xml" ContentType="application/vnd.ms-excel.threadedcomments+xml"/>
  <Override PartName="/xl/comments12.xml" ContentType="application/vnd.openxmlformats-officedocument.spreadsheetml.comments+xml"/>
  <Override PartName="/xl/threadedComments/threadedComment9.xml" ContentType="application/vnd.ms-excel.threadedcomments+xml"/>
  <Override PartName="/xl/comments13.xml" ContentType="application/vnd.openxmlformats-officedocument.spreadsheetml.comments+xml"/>
  <Override PartName="/xl/threadedComments/threadedComment10.xml" ContentType="application/vnd.ms-excel.threadedcomments+xml"/>
  <Override PartName="/xl/comments14.xml" ContentType="application/vnd.openxmlformats-officedocument.spreadsheetml.comments+xml"/>
  <Override PartName="/xl/threadedComments/threadedComment1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distributedgeneratio\Desktop\"/>
    </mc:Choice>
  </mc:AlternateContent>
  <xr:revisionPtr revIDLastSave="0" documentId="13_ncr:1_{F63D6659-04EF-489C-9320-E4E359ECC41E}" xr6:coauthVersionLast="47" xr6:coauthVersionMax="47" xr10:uidLastSave="{00000000-0000-0000-0000-000000000000}"/>
  <bookViews>
    <workbookView xWindow="-120" yWindow="-120" windowWidth="29040" windowHeight="15720" tabRatio="929" firstSheet="32" activeTab="32" xr2:uid="{3A5885EC-0651-4A60-9E8C-67F81967DAAA}"/>
  </bookViews>
  <sheets>
    <sheet name="Overview" sheetId="5" state="hidden" r:id="rId1"/>
    <sheet name="3HO-Account detail" sheetId="2" state="hidden" r:id="rId2"/>
    <sheet name="6HO-Account detail" sheetId="3" state="hidden" r:id="rId3"/>
    <sheet name="2HO-evidence of collection" sheetId="6" state="hidden" r:id="rId4"/>
    <sheet name="3HO-evidence of collection" sheetId="7" state="hidden" r:id="rId5"/>
    <sheet name="6HO-evidence of collection" sheetId="8" state="hidden" r:id="rId6"/>
    <sheet name="7HO-evidence of collection" sheetId="9" state="hidden" r:id="rId7"/>
    <sheet name="Liquidity Monthly Schedule" sheetId="17" state="hidden" r:id="rId8"/>
    <sheet name="Sheet2" sheetId="22" state="hidden" r:id="rId9"/>
    <sheet name="자금현황" sheetId="21" state="hidden" r:id="rId10"/>
    <sheet name="Summary" sheetId="29" state="hidden" r:id="rId11"/>
    <sheet name="SPV Balance by bank_1" sheetId="23" state="hidden" r:id="rId12"/>
    <sheet name="SPV Balance by bank" sheetId="15" state="hidden" r:id="rId13"/>
    <sheet name="Current Financial Requirements" sheetId="20" state="hidden" r:id="rId14"/>
    <sheet name="Amount to be paid in 2025(이전)" sheetId="16" state="hidden" r:id="rId15"/>
    <sheet name="CAPEX_Input_2HO" sheetId="1" state="hidden" r:id="rId16"/>
    <sheet name="CAPEX_Amount to be paid in 2025" sheetId="32" state="hidden" r:id="rId17"/>
    <sheet name="확인 작업" sheetId="34" state="hidden" r:id="rId18"/>
    <sheet name="DEVEX_Amount to be paid in 2025" sheetId="24" state="hidden" r:id="rId19"/>
    <sheet name="BT 2HO (2)" sheetId="33" state="hidden" r:id="rId20"/>
    <sheet name="DEVEX Payment Status" sheetId="31" state="hidden" r:id="rId21"/>
    <sheet name="INPUTSHEET(BOLT 2)" sheetId="38" state="hidden" r:id="rId22"/>
    <sheet name="INPUTSHEET(BOLT 3)" sheetId="47" state="hidden" r:id="rId23"/>
    <sheet name="민감도분석_3,7" sheetId="43" state="hidden" r:id="rId24"/>
    <sheet name="PPAN" sheetId="36" state="hidden" r:id="rId25"/>
    <sheet name="EPC Liquidity Plan" sheetId="4" state="hidden" r:id="rId26"/>
    <sheet name="Lease Agreement (2)" sheetId="45" state="hidden" r:id="rId27"/>
    <sheet name="Lease Agreement" sheetId="44" state="hidden" r:id="rId28"/>
    <sheet name="CAPEX Breakdown" sheetId="35" state="hidden" r:id="rId29"/>
    <sheet name="CAPEX_Input_3,7HO(수정용)" sheetId="37" state="hidden" r:id="rId30"/>
    <sheet name="입금요청" sheetId="51" state="hidden" r:id="rId31"/>
    <sheet name="SPV별 CAPEX 현황" sheetId="50" state="hidden" r:id="rId32"/>
    <sheet name="INPUTSHEET(BOLT 7,4)" sheetId="48" r:id="rId33"/>
    <sheet name="Input 기초" sheetId="39" r:id="rId34"/>
    <sheet name="민감도분석_4" sheetId="42" r:id="rId35"/>
    <sheet name="SPV별 DEVEX 현황" sheetId="49" state="hidden" r:id="rId36"/>
    <sheet name="선납임차료" sheetId="52" state="hidden" r:id="rId37"/>
    <sheet name="BT 2HO" sheetId="10" state="hidden" r:id="rId38"/>
    <sheet name="지급비율" sheetId="14" state="hidden" r:id="rId39"/>
    <sheet name="BT 3HO" sheetId="11" state="hidden" r:id="rId40"/>
    <sheet name="BT 4HO" sheetId="28" state="hidden" r:id="rId41"/>
    <sheet name="BT 6HO" sheetId="12" state="hidden" r:id="rId42"/>
    <sheet name="BT 7HO" sheetId="13" state="hidden" r:id="rId43"/>
    <sheet name="DEVEX(Info)" sheetId="46" state="hidden" r:id="rId44"/>
    <sheet name="DEVEX(지급)" sheetId="41" state="hidden" r:id="rId45"/>
    <sheet name="CAPEX_Input_2HO_DK 요청" sheetId="53" state="hidden" r:id="rId46"/>
    <sheet name="Bolt Taeyanggwang 5HO" sheetId="30" state="hidden" r:id="rId47"/>
    <sheet name="Dropped Project (2)" sheetId="26" state="hidden" r:id="rId48"/>
    <sheet name="Dropped Project" sheetId="25" state="hidden" r:id="rId49"/>
  </sheets>
  <externalReferences>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name="_xlnm._FilterDatabase" localSheetId="46" hidden="1">'Bolt Taeyanggwang 5HO'!$A$10:$CE$10</definedName>
    <definedName name="_xlnm._FilterDatabase" localSheetId="37" hidden="1">'BT 2HO'!$A$10:$CE$10</definedName>
    <definedName name="_xlnm._FilterDatabase" localSheetId="19" hidden="1">'BT 2HO (2)'!$A$10:$CE$10</definedName>
    <definedName name="_xlnm._FilterDatabase" localSheetId="39" hidden="1">'BT 3HO'!$A$10:$CE$10</definedName>
    <definedName name="_xlnm._FilterDatabase" localSheetId="40" hidden="1">'BT 4HO'!$A$10:$CE$10</definedName>
    <definedName name="_xlnm._FilterDatabase" localSheetId="41" hidden="1">'BT 6HO'!$A$10:$CE$10</definedName>
    <definedName name="_xlnm._FilterDatabase" localSheetId="42" hidden="1">'BT 7HO'!$A$10:$CE$10</definedName>
    <definedName name="_xlnm._FilterDatabase" localSheetId="48" hidden="1">'Dropped Project'!$A$10:$CF$10</definedName>
    <definedName name="_xlnm._FilterDatabase" localSheetId="47" hidden="1">'Dropped Project (2)'!$A$10:$CD$10</definedName>
    <definedName name="_xlnm.Print_Area" localSheetId="46">'Bolt Taeyanggwang 5HO'!$A$1:$BT$59</definedName>
    <definedName name="_xlnm.Print_Area" localSheetId="37">'BT 2HO'!$A$1:$BZ$89</definedName>
    <definedName name="_xlnm.Print_Area" localSheetId="19">'BT 2HO (2)'!$A$1:$BZ$84</definedName>
    <definedName name="_xlnm.Print_Area" localSheetId="39">'BT 3HO'!$A$1:$BT$59</definedName>
    <definedName name="_xlnm.Print_Area" localSheetId="40">'BT 4HO'!$A$1:$BT$74</definedName>
    <definedName name="_xlnm.Print_Area" localSheetId="41">'BT 6HO'!$A$1:$BT$59</definedName>
    <definedName name="_xlnm.Print_Area" localSheetId="42">'BT 7HO'!$A$1:$BT$20</definedName>
    <definedName name="_xlnm.Print_Area" localSheetId="48">'Dropped Project'!$A$1:$BU$49</definedName>
    <definedName name="_xlnm.Print_Area" localSheetId="47">'Dropped Project (2)'!$A$1:$BU$49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8" i="48" l="1"/>
  <c r="J18" i="48"/>
  <c r="K18" i="48"/>
  <c r="K185" i="48" s="1"/>
  <c r="L18" i="48"/>
  <c r="M18" i="48"/>
  <c r="N18" i="48"/>
  <c r="O18" i="48"/>
  <c r="P18" i="48"/>
  <c r="H18" i="48"/>
  <c r="H185" i="48" s="1"/>
  <c r="P19" i="48"/>
  <c r="O19" i="48"/>
  <c r="N19" i="48"/>
  <c r="M19" i="48"/>
  <c r="L19" i="48"/>
  <c r="K19" i="48"/>
  <c r="J19" i="48"/>
  <c r="I19" i="48"/>
  <c r="H19" i="48"/>
  <c r="P163" i="48"/>
  <c r="O163" i="48"/>
  <c r="L163" i="48"/>
  <c r="K163" i="48"/>
  <c r="J163" i="48"/>
  <c r="I163" i="48"/>
  <c r="H163" i="48"/>
  <c r="P219" i="48"/>
  <c r="O219" i="48"/>
  <c r="L219" i="48"/>
  <c r="K219" i="48"/>
  <c r="J219" i="48"/>
  <c r="I219" i="48"/>
  <c r="H219" i="48"/>
  <c r="P201" i="48"/>
  <c r="O201" i="48"/>
  <c r="L201" i="48"/>
  <c r="K201" i="48"/>
  <c r="J201" i="48"/>
  <c r="I201" i="48"/>
  <c r="H201" i="48"/>
  <c r="Q185" i="48"/>
  <c r="P185" i="48"/>
  <c r="O185" i="48"/>
  <c r="N185" i="48"/>
  <c r="M185" i="48"/>
  <c r="L185" i="48"/>
  <c r="J185" i="48"/>
  <c r="I185" i="48"/>
  <c r="P183" i="48"/>
  <c r="O183" i="48"/>
  <c r="L183" i="48"/>
  <c r="K183" i="48"/>
  <c r="J183" i="48"/>
  <c r="I183" i="48"/>
  <c r="H183" i="48"/>
  <c r="P167" i="48"/>
  <c r="O167" i="48"/>
  <c r="N167" i="48"/>
  <c r="M167" i="48"/>
  <c r="L167" i="48"/>
  <c r="J167" i="48"/>
  <c r="I167" i="48"/>
  <c r="H167" i="48"/>
  <c r="P165" i="48"/>
  <c r="O165" i="48"/>
  <c r="L165" i="48"/>
  <c r="K165" i="48"/>
  <c r="J165" i="48"/>
  <c r="I165" i="48"/>
  <c r="H165" i="48"/>
  <c r="P59" i="48"/>
  <c r="O59" i="48"/>
  <c r="L59" i="48"/>
  <c r="K59" i="48"/>
  <c r="J59" i="48"/>
  <c r="I59" i="48"/>
  <c r="H59" i="48"/>
  <c r="P152" i="48"/>
  <c r="O152" i="48"/>
  <c r="L152" i="48"/>
  <c r="K152" i="48"/>
  <c r="J152" i="48"/>
  <c r="I152" i="48"/>
  <c r="H152" i="48"/>
  <c r="P125" i="48"/>
  <c r="O125" i="48"/>
  <c r="L125" i="48"/>
  <c r="K125" i="48"/>
  <c r="J125" i="48"/>
  <c r="I125" i="48"/>
  <c r="H125" i="48"/>
  <c r="R113" i="39"/>
  <c r="Q113" i="39"/>
  <c r="P113" i="39"/>
  <c r="O113" i="39"/>
  <c r="N113" i="39"/>
  <c r="M113" i="39"/>
  <c r="J113" i="39"/>
  <c r="I113" i="39"/>
  <c r="H113" i="39"/>
  <c r="G113" i="39"/>
  <c r="F113" i="39"/>
  <c r="K167" i="48" l="1"/>
  <c r="G101" i="39"/>
  <c r="Q110" i="48"/>
  <c r="P110" i="48"/>
  <c r="O110" i="48"/>
  <c r="N110" i="48"/>
  <c r="M110" i="48"/>
  <c r="L110" i="48"/>
  <c r="K110" i="48"/>
  <c r="J110" i="48"/>
  <c r="I110" i="48"/>
  <c r="H110" i="48"/>
  <c r="Q108" i="48"/>
  <c r="P108" i="48"/>
  <c r="O108" i="48"/>
  <c r="N108" i="48"/>
  <c r="M108" i="48"/>
  <c r="L108" i="48"/>
  <c r="K108" i="48"/>
  <c r="J108" i="48"/>
  <c r="I108" i="48"/>
  <c r="H108" i="48"/>
  <c r="Q106" i="48"/>
  <c r="P106" i="48"/>
  <c r="O106" i="48"/>
  <c r="L106" i="48"/>
  <c r="K106" i="48"/>
  <c r="J106" i="48"/>
  <c r="I106" i="48"/>
  <c r="H106" i="48"/>
  <c r="Q92" i="48"/>
  <c r="P92" i="48"/>
  <c r="O92" i="48"/>
  <c r="N92" i="48"/>
  <c r="M92" i="48"/>
  <c r="L92" i="48"/>
  <c r="K92" i="48"/>
  <c r="J92" i="48"/>
  <c r="I92" i="48"/>
  <c r="H92" i="48"/>
  <c r="Q90" i="48"/>
  <c r="P90" i="48"/>
  <c r="O90" i="48"/>
  <c r="N90" i="48"/>
  <c r="M90" i="48"/>
  <c r="L90" i="48"/>
  <c r="K90" i="48"/>
  <c r="J90" i="48"/>
  <c r="I90" i="48"/>
  <c r="H90" i="48"/>
  <c r="Q88" i="48"/>
  <c r="P88" i="48"/>
  <c r="O88" i="48"/>
  <c r="L88" i="48"/>
  <c r="K88" i="48"/>
  <c r="J88" i="48"/>
  <c r="I88" i="48"/>
  <c r="H88" i="48"/>
  <c r="Q70" i="48"/>
  <c r="P70" i="48"/>
  <c r="O70" i="48"/>
  <c r="L70" i="48"/>
  <c r="K70" i="48"/>
  <c r="J70" i="48"/>
  <c r="I70" i="48"/>
  <c r="H70" i="48"/>
  <c r="Q61" i="48"/>
  <c r="P61" i="48"/>
  <c r="O61" i="48"/>
  <c r="L61" i="48"/>
  <c r="K61" i="48"/>
  <c r="J61" i="48"/>
  <c r="I61" i="48"/>
  <c r="H61" i="48"/>
  <c r="Q65" i="48"/>
  <c r="P65" i="48"/>
  <c r="O65" i="48"/>
  <c r="N65" i="48"/>
  <c r="M65" i="48"/>
  <c r="L65" i="48"/>
  <c r="K65" i="48"/>
  <c r="J65" i="48"/>
  <c r="I65" i="48"/>
  <c r="H65" i="48"/>
  <c r="Q63" i="48"/>
  <c r="P63" i="48"/>
  <c r="O63" i="48"/>
  <c r="N63" i="48"/>
  <c r="M63" i="48"/>
  <c r="L63" i="48"/>
  <c r="K63" i="48"/>
  <c r="J63" i="48"/>
  <c r="I63" i="48"/>
  <c r="H63" i="48"/>
  <c r="P24" i="48"/>
  <c r="O24" i="48"/>
  <c r="L24" i="48"/>
  <c r="K24" i="48"/>
  <c r="J24" i="48"/>
  <c r="I24" i="48"/>
  <c r="H24" i="48"/>
  <c r="P6" i="48"/>
  <c r="O6" i="48"/>
  <c r="N6" i="48"/>
  <c r="M6" i="48"/>
  <c r="L6" i="48"/>
  <c r="K6" i="48"/>
  <c r="J6" i="48"/>
  <c r="I6" i="48"/>
  <c r="H6" i="48"/>
  <c r="P5" i="48"/>
  <c r="O5" i="48"/>
  <c r="N5" i="48"/>
  <c r="M5" i="48"/>
  <c r="L5" i="48"/>
  <c r="K5" i="48"/>
  <c r="J5" i="48"/>
  <c r="I5" i="48"/>
  <c r="H5" i="48"/>
  <c r="R109" i="39" l="1"/>
  <c r="Q109" i="39"/>
  <c r="P109" i="39"/>
  <c r="O109" i="39"/>
  <c r="N109" i="39"/>
  <c r="M109" i="39"/>
  <c r="J109" i="39"/>
  <c r="I109" i="39"/>
  <c r="H109" i="39"/>
  <c r="G109" i="39"/>
  <c r="F109" i="39"/>
  <c r="R106" i="39"/>
  <c r="Q106" i="39"/>
  <c r="P106" i="39"/>
  <c r="O106" i="39"/>
  <c r="N106" i="39"/>
  <c r="M106" i="39"/>
  <c r="J106" i="39"/>
  <c r="I106" i="39"/>
  <c r="H106" i="39"/>
  <c r="G106" i="39"/>
  <c r="R105" i="39"/>
  <c r="Q105" i="39"/>
  <c r="P105" i="39"/>
  <c r="O105" i="39"/>
  <c r="N105" i="39"/>
  <c r="M105" i="39"/>
  <c r="L105" i="39"/>
  <c r="N183" i="48" s="1"/>
  <c r="J105" i="39"/>
  <c r="I105" i="39"/>
  <c r="H105" i="39"/>
  <c r="G105" i="39"/>
  <c r="R104" i="39"/>
  <c r="Q104" i="39"/>
  <c r="P104" i="39"/>
  <c r="O104" i="39"/>
  <c r="N104" i="39"/>
  <c r="M104" i="39"/>
  <c r="K104" i="39"/>
  <c r="M165" i="48" s="1"/>
  <c r="J104" i="39"/>
  <c r="I104" i="39"/>
  <c r="H104" i="39"/>
  <c r="G104" i="39"/>
  <c r="F106" i="39"/>
  <c r="F105" i="39"/>
  <c r="F104" i="39"/>
  <c r="B106" i="39"/>
  <c r="B105" i="39"/>
  <c r="B104" i="39"/>
  <c r="R101" i="39"/>
  <c r="Q101" i="39"/>
  <c r="P101" i="39"/>
  <c r="O101" i="39"/>
  <c r="R100" i="39"/>
  <c r="Q100" i="39"/>
  <c r="P100" i="39"/>
  <c r="O100" i="39"/>
  <c r="R99" i="39"/>
  <c r="Q99" i="39"/>
  <c r="P99" i="39"/>
  <c r="O99" i="39"/>
  <c r="R98" i="39"/>
  <c r="Q98" i="39"/>
  <c r="P98" i="39"/>
  <c r="O98" i="39"/>
  <c r="R97" i="39"/>
  <c r="Q97" i="39"/>
  <c r="P97" i="39"/>
  <c r="O97" i="39"/>
  <c r="R96" i="39"/>
  <c r="Q96" i="39"/>
  <c r="P96" i="39"/>
  <c r="O96" i="39"/>
  <c r="N101" i="39"/>
  <c r="M101" i="39"/>
  <c r="L101" i="39"/>
  <c r="N125" i="48" s="1"/>
  <c r="N100" i="39"/>
  <c r="M100" i="39"/>
  <c r="N99" i="39"/>
  <c r="M99" i="39"/>
  <c r="K99" i="39"/>
  <c r="M106" i="48" s="1"/>
  <c r="N98" i="39"/>
  <c r="M98" i="39"/>
  <c r="K98" i="39"/>
  <c r="M88" i="48" s="1"/>
  <c r="N97" i="39"/>
  <c r="M97" i="39"/>
  <c r="N96" i="39"/>
  <c r="M96" i="39"/>
  <c r="J101" i="39"/>
  <c r="J100" i="39"/>
  <c r="J99" i="39"/>
  <c r="J98" i="39"/>
  <c r="J97" i="39"/>
  <c r="J96" i="39"/>
  <c r="I101" i="39"/>
  <c r="I100" i="39"/>
  <c r="I99" i="39"/>
  <c r="I98" i="39"/>
  <c r="I97" i="39"/>
  <c r="I96" i="39"/>
  <c r="H101" i="39"/>
  <c r="H100" i="39"/>
  <c r="H99" i="39"/>
  <c r="H98" i="39"/>
  <c r="H97" i="39"/>
  <c r="H96" i="39"/>
  <c r="G100" i="39"/>
  <c r="G99" i="39"/>
  <c r="G98" i="39"/>
  <c r="G97" i="39"/>
  <c r="G96" i="39"/>
  <c r="F100" i="39"/>
  <c r="F99" i="39"/>
  <c r="F98" i="39"/>
  <c r="F97" i="39"/>
  <c r="F96" i="39"/>
  <c r="F101" i="39"/>
  <c r="N93" i="39"/>
  <c r="M93" i="39"/>
  <c r="L93" i="39"/>
  <c r="L106" i="39" s="1"/>
  <c r="N201" i="48" s="1"/>
  <c r="K93" i="39"/>
  <c r="K96" i="39" s="1"/>
  <c r="M61" i="48" s="1"/>
  <c r="J93" i="39"/>
  <c r="I93" i="39"/>
  <c r="H93" i="39"/>
  <c r="G93" i="39"/>
  <c r="F93" i="39"/>
  <c r="N92" i="39"/>
  <c r="M92" i="39"/>
  <c r="L92" i="39"/>
  <c r="K92" i="39"/>
  <c r="J92" i="39"/>
  <c r="I92" i="39"/>
  <c r="H92" i="39"/>
  <c r="G92" i="39"/>
  <c r="F92" i="39"/>
  <c r="L40" i="49"/>
  <c r="D40" i="49"/>
  <c r="L97" i="39" l="1"/>
  <c r="N70" i="48" s="1"/>
  <c r="L104" i="39"/>
  <c r="N165" i="48" s="1"/>
  <c r="L98" i="39"/>
  <c r="N88" i="48" s="1"/>
  <c r="L109" i="39"/>
  <c r="N219" i="48" s="1"/>
  <c r="L100" i="39"/>
  <c r="N152" i="48" s="1"/>
  <c r="L96" i="39"/>
  <c r="N61" i="48" s="1"/>
  <c r="N59" i="48" s="1"/>
  <c r="L99" i="39"/>
  <c r="N106" i="48" s="1"/>
  <c r="N24" i="48"/>
  <c r="L113" i="39"/>
  <c r="K113" i="39"/>
  <c r="M24" i="48"/>
  <c r="K101" i="39"/>
  <c r="M125" i="48" s="1"/>
  <c r="K109" i="39"/>
  <c r="M219" i="48" s="1"/>
  <c r="K100" i="39"/>
  <c r="M152" i="48" s="1"/>
  <c r="K106" i="39"/>
  <c r="M201" i="48" s="1"/>
  <c r="K97" i="39"/>
  <c r="M70" i="48" s="1"/>
  <c r="K105" i="39"/>
  <c r="M183" i="48" s="1"/>
  <c r="B113" i="39"/>
  <c r="N103" i="39"/>
  <c r="L103" i="39"/>
  <c r="N163" i="48" s="1"/>
  <c r="I103" i="39"/>
  <c r="R103" i="39"/>
  <c r="Q103" i="39"/>
  <c r="M103" i="39"/>
  <c r="J103" i="39"/>
  <c r="G103" i="39"/>
  <c r="F103" i="39"/>
  <c r="P103" i="39"/>
  <c r="O103" i="39"/>
  <c r="H103" i="39"/>
  <c r="L95" i="39"/>
  <c r="I95" i="39"/>
  <c r="R95" i="39"/>
  <c r="Q95" i="39"/>
  <c r="P95" i="39"/>
  <c r="O95" i="39"/>
  <c r="N95" i="39"/>
  <c r="M95" i="39"/>
  <c r="H95" i="39"/>
  <c r="G95" i="39"/>
  <c r="F95" i="39"/>
  <c r="J95" i="39"/>
  <c r="R93" i="39"/>
  <c r="Q93" i="39"/>
  <c r="P93" i="39"/>
  <c r="O93" i="39"/>
  <c r="R92" i="39"/>
  <c r="Q92" i="39"/>
  <c r="P92" i="39"/>
  <c r="O92" i="39"/>
  <c r="K95" i="39" l="1"/>
  <c r="M59" i="48" s="1"/>
  <c r="K103" i="39"/>
  <c r="M163" i="48" s="1"/>
  <c r="F47" i="42"/>
  <c r="E47" i="42" s="1"/>
  <c r="H47" i="42"/>
  <c r="I47" i="42" s="1"/>
  <c r="N47" i="42"/>
  <c r="M47" i="42" s="1"/>
  <c r="P47" i="42"/>
  <c r="Q47" i="42" s="1"/>
  <c r="D50" i="42"/>
  <c r="D49" i="42" s="1"/>
  <c r="D48" i="42" s="1"/>
  <c r="D52" i="42"/>
  <c r="D53" i="42" s="1"/>
  <c r="D54" i="42" s="1"/>
  <c r="D26" i="42"/>
  <c r="D27" i="42" s="1"/>
  <c r="D28" i="42" s="1"/>
  <c r="D24" i="42"/>
  <c r="D23" i="42" s="1"/>
  <c r="D22" i="42" s="1"/>
  <c r="P21" i="42"/>
  <c r="Q21" i="42" s="1"/>
  <c r="N21" i="42"/>
  <c r="M21" i="42" s="1"/>
  <c r="H21" i="42"/>
  <c r="I21" i="42" s="1"/>
  <c r="F21" i="42"/>
  <c r="E21" i="42" s="1"/>
  <c r="D130" i="42" l="1"/>
  <c r="D131" i="42" s="1"/>
  <c r="D132" i="42" s="1"/>
  <c r="D128" i="42"/>
  <c r="D127" i="42"/>
  <c r="D126" i="42" s="1"/>
  <c r="P125" i="42"/>
  <c r="Q125" i="42" s="1"/>
  <c r="N125" i="42"/>
  <c r="M125" i="42" s="1"/>
  <c r="H125" i="42"/>
  <c r="I125" i="42" s="1"/>
  <c r="F125" i="42"/>
  <c r="E125" i="42"/>
  <c r="D117" i="42"/>
  <c r="D118" i="42" s="1"/>
  <c r="D119" i="42" s="1"/>
  <c r="D115" i="42"/>
  <c r="D114" i="42"/>
  <c r="D113" i="42" s="1"/>
  <c r="P112" i="42"/>
  <c r="Q112" i="42" s="1"/>
  <c r="N112" i="42"/>
  <c r="M112" i="42" s="1"/>
  <c r="H112" i="42"/>
  <c r="I112" i="42" s="1"/>
  <c r="F112" i="42"/>
  <c r="E112" i="42" s="1"/>
  <c r="D104" i="42"/>
  <c r="D105" i="42" s="1"/>
  <c r="D106" i="42" s="1"/>
  <c r="D102" i="42"/>
  <c r="D101" i="42" s="1"/>
  <c r="D100" i="42" s="1"/>
  <c r="P99" i="42"/>
  <c r="Q99" i="42" s="1"/>
  <c r="N99" i="42"/>
  <c r="M99" i="42" s="1"/>
  <c r="H99" i="42"/>
  <c r="I99" i="42" s="1"/>
  <c r="F99" i="42"/>
  <c r="E99" i="42" s="1"/>
  <c r="D91" i="42"/>
  <c r="D92" i="42" s="1"/>
  <c r="D93" i="42" s="1"/>
  <c r="D89" i="42"/>
  <c r="D88" i="42" s="1"/>
  <c r="D87" i="42" s="1"/>
  <c r="P86" i="42"/>
  <c r="Q86" i="42" s="1"/>
  <c r="N86" i="42"/>
  <c r="M86" i="42" s="1"/>
  <c r="H86" i="42"/>
  <c r="I86" i="42" s="1"/>
  <c r="F86" i="42"/>
  <c r="E86" i="42" s="1"/>
  <c r="S6" i="49"/>
  <c r="G55" i="11"/>
  <c r="AE45" i="11" l="1"/>
  <c r="L50" i="49" l="1"/>
  <c r="L47" i="49"/>
  <c r="L46" i="49"/>
  <c r="K49" i="53" l="1"/>
  <c r="Y46" i="53"/>
  <c r="X46" i="53"/>
  <c r="X45" i="53"/>
  <c r="X44" i="53"/>
  <c r="X43" i="53"/>
  <c r="X42" i="53"/>
  <c r="X41" i="53"/>
  <c r="X40" i="53"/>
  <c r="X39" i="53"/>
  <c r="X38" i="53"/>
  <c r="X37" i="53"/>
  <c r="X36" i="53"/>
  <c r="X35" i="53"/>
  <c r="X34" i="53"/>
  <c r="I49" i="53"/>
  <c r="W46" i="53"/>
  <c r="V46" i="53"/>
  <c r="V45" i="53"/>
  <c r="V44" i="53"/>
  <c r="V43" i="53"/>
  <c r="V42" i="53"/>
  <c r="V41" i="53"/>
  <c r="V40" i="53"/>
  <c r="V39" i="53"/>
  <c r="V38" i="53"/>
  <c r="V37" i="53"/>
  <c r="V36" i="53"/>
  <c r="V35" i="53"/>
  <c r="V34" i="53"/>
  <c r="G52" i="53"/>
  <c r="G51" i="53"/>
  <c r="E45" i="53"/>
  <c r="T45" i="53" s="1"/>
  <c r="B45" i="53"/>
  <c r="E44" i="53"/>
  <c r="H44" i="53" s="1"/>
  <c r="B44" i="53"/>
  <c r="T43" i="53"/>
  <c r="R43" i="53"/>
  <c r="P43" i="53"/>
  <c r="B43" i="53"/>
  <c r="J42" i="53"/>
  <c r="E42" i="53"/>
  <c r="P42" i="53" s="1"/>
  <c r="B42" i="53"/>
  <c r="T41" i="53"/>
  <c r="R41" i="53"/>
  <c r="P41" i="53"/>
  <c r="J41" i="53"/>
  <c r="E41" i="53"/>
  <c r="H41" i="53" s="1"/>
  <c r="B41" i="53"/>
  <c r="E40" i="53"/>
  <c r="T40" i="53" s="1"/>
  <c r="B40" i="53"/>
  <c r="E39" i="53"/>
  <c r="J39" i="53" s="1"/>
  <c r="B39" i="53"/>
  <c r="E38" i="53"/>
  <c r="T38" i="53" s="1"/>
  <c r="B38" i="53"/>
  <c r="E37" i="53"/>
  <c r="J37" i="53" s="1"/>
  <c r="B37" i="53"/>
  <c r="T36" i="53"/>
  <c r="J36" i="53"/>
  <c r="E36" i="53"/>
  <c r="R36" i="53" s="1"/>
  <c r="B36" i="53"/>
  <c r="E35" i="53"/>
  <c r="R35" i="53" s="1"/>
  <c r="B35" i="53"/>
  <c r="T34" i="53"/>
  <c r="R34" i="53"/>
  <c r="P34" i="53"/>
  <c r="E34" i="53"/>
  <c r="J34" i="53" s="1"/>
  <c r="B34" i="53"/>
  <c r="E51" i="53"/>
  <c r="B33" i="53"/>
  <c r="N24" i="53"/>
  <c r="G24" i="53"/>
  <c r="N23" i="53"/>
  <c r="G23" i="53"/>
  <c r="N22" i="53"/>
  <c r="G22" i="53"/>
  <c r="G13" i="53"/>
  <c r="N12" i="53"/>
  <c r="G12" i="53"/>
  <c r="N11" i="53"/>
  <c r="G11" i="53"/>
  <c r="N10" i="53"/>
  <c r="G10" i="53"/>
  <c r="N9" i="53"/>
  <c r="G9" i="53"/>
  <c r="N8" i="53"/>
  <c r="G8" i="53"/>
  <c r="N7" i="53"/>
  <c r="G7" i="53"/>
  <c r="N6" i="53"/>
  <c r="G6" i="53"/>
  <c r="I7" i="52"/>
  <c r="E12" i="52"/>
  <c r="F12" i="52" s="1"/>
  <c r="C12" i="52"/>
  <c r="B11" i="52"/>
  <c r="E11" i="52"/>
  <c r="I11" i="52" s="1"/>
  <c r="C11" i="52"/>
  <c r="H6" i="52"/>
  <c r="I6" i="52" s="1"/>
  <c r="H5" i="52"/>
  <c r="I5" i="52" s="1"/>
  <c r="E6" i="52"/>
  <c r="E5" i="52"/>
  <c r="H14" i="52" l="1"/>
  <c r="G14" i="52"/>
  <c r="I14" i="52" s="1"/>
  <c r="I12" i="52"/>
  <c r="C14" i="52" s="1"/>
  <c r="C18" i="52" s="1"/>
  <c r="D18" i="52" s="1"/>
  <c r="E52" i="53"/>
  <c r="H35" i="53"/>
  <c r="P37" i="53"/>
  <c r="T39" i="53"/>
  <c r="J44" i="53"/>
  <c r="H39" i="53"/>
  <c r="H42" i="53"/>
  <c r="P44" i="53"/>
  <c r="T37" i="53"/>
  <c r="P39" i="53"/>
  <c r="R39" i="53"/>
  <c r="R44" i="53"/>
  <c r="T44" i="53"/>
  <c r="P33" i="53"/>
  <c r="T35" i="53"/>
  <c r="J40" i="53"/>
  <c r="R42" i="53"/>
  <c r="R37" i="53"/>
  <c r="H38" i="53"/>
  <c r="P40" i="53"/>
  <c r="P52" i="53" s="1"/>
  <c r="T42" i="53"/>
  <c r="E47" i="53"/>
  <c r="H37" i="53"/>
  <c r="R33" i="53"/>
  <c r="T33" i="53"/>
  <c r="J38" i="53"/>
  <c r="J47" i="53" s="1"/>
  <c r="R40" i="53"/>
  <c r="H45" i="53"/>
  <c r="H40" i="53"/>
  <c r="H36" i="53"/>
  <c r="P38" i="53"/>
  <c r="J45" i="53"/>
  <c r="E49" i="53"/>
  <c r="R38" i="53"/>
  <c r="P45" i="53"/>
  <c r="H34" i="53"/>
  <c r="P36" i="53"/>
  <c r="R45" i="53"/>
  <c r="J35" i="53"/>
  <c r="P35" i="53"/>
  <c r="J6" i="52"/>
  <c r="J5" i="52"/>
  <c r="T52" i="53" l="1"/>
  <c r="U52" i="53" s="1"/>
  <c r="N52" i="53" s="1"/>
  <c r="H52" i="53"/>
  <c r="Q52" i="53"/>
  <c r="J49" i="53"/>
  <c r="J51" i="53"/>
  <c r="H47" i="53"/>
  <c r="R51" i="53"/>
  <c r="S51" i="53" s="1"/>
  <c r="K51" i="53" s="1"/>
  <c r="R47" i="53"/>
  <c r="S47" i="53" s="1"/>
  <c r="K47" i="53" s="1"/>
  <c r="R49" i="53"/>
  <c r="S49" i="53" s="1"/>
  <c r="J52" i="53"/>
  <c r="P51" i="53"/>
  <c r="Q51" i="53" s="1"/>
  <c r="P49" i="53"/>
  <c r="Q49" i="53" s="1"/>
  <c r="G49" i="53" s="1"/>
  <c r="P47" i="53"/>
  <c r="Q47" i="53" s="1"/>
  <c r="G47" i="53" s="1"/>
  <c r="H49" i="53"/>
  <c r="H51" i="53"/>
  <c r="R52" i="53"/>
  <c r="S52" i="53" s="1"/>
  <c r="K52" i="53" s="1"/>
  <c r="T51" i="53"/>
  <c r="U51" i="53" s="1"/>
  <c r="N51" i="53" s="1"/>
  <c r="T47" i="53"/>
  <c r="U47" i="53" s="1"/>
  <c r="N47" i="53" s="1"/>
  <c r="T49" i="53"/>
  <c r="U49" i="53" s="1"/>
  <c r="N49" i="53" s="1"/>
  <c r="D18" i="50"/>
  <c r="J4" i="24" l="1"/>
  <c r="O5" i="49"/>
  <c r="O7" i="49"/>
  <c r="O8" i="49"/>
  <c r="O9" i="49"/>
  <c r="O11" i="49"/>
  <c r="O12" i="49"/>
  <c r="O13" i="49"/>
  <c r="O14" i="49"/>
  <c r="O15" i="49"/>
  <c r="O17" i="49"/>
  <c r="O18" i="49"/>
  <c r="P15" i="50"/>
  <c r="AM19" i="50"/>
  <c r="S5" i="50"/>
  <c r="X5" i="50"/>
  <c r="AC5" i="50" s="1"/>
  <c r="H13" i="50"/>
  <c r="H14" i="50"/>
  <c r="H15" i="50"/>
  <c r="H16" i="50"/>
  <c r="H17" i="50"/>
  <c r="H18" i="50"/>
  <c r="AE4" i="50"/>
  <c r="Z4" i="50"/>
  <c r="K76" i="50"/>
  <c r="L76" i="50"/>
  <c r="M76" i="50"/>
  <c r="N76" i="50"/>
  <c r="P76" i="50"/>
  <c r="J77" i="50"/>
  <c r="Q77" i="50"/>
  <c r="J78" i="50"/>
  <c r="Q78" i="50"/>
  <c r="J79" i="50"/>
  <c r="Q79" i="50"/>
  <c r="J80" i="50"/>
  <c r="J76" i="50" s="1"/>
  <c r="Q80" i="50"/>
  <c r="J81" i="50"/>
  <c r="Q81" i="50"/>
  <c r="J82" i="50"/>
  <c r="Q82" i="50" s="1"/>
  <c r="J83" i="50"/>
  <c r="Q83" i="50"/>
  <c r="J84" i="50"/>
  <c r="Q84" i="50"/>
  <c r="J85" i="50"/>
  <c r="Q85" i="50"/>
  <c r="J86" i="50"/>
  <c r="Q86" i="50"/>
  <c r="J87" i="50"/>
  <c r="Q87" i="50"/>
  <c r="J88" i="50"/>
  <c r="Q88" i="50" s="1"/>
  <c r="J89" i="50"/>
  <c r="Q89" i="50"/>
  <c r="J90" i="50"/>
  <c r="Q90" i="50"/>
  <c r="K58" i="50"/>
  <c r="L58" i="50"/>
  <c r="M58" i="50"/>
  <c r="N58" i="50"/>
  <c r="P58" i="50"/>
  <c r="J59" i="50"/>
  <c r="Q59" i="50"/>
  <c r="J60" i="50"/>
  <c r="Q60" i="50"/>
  <c r="J61" i="50"/>
  <c r="Q61" i="50"/>
  <c r="J62" i="50"/>
  <c r="J58" i="50" s="1"/>
  <c r="Q62" i="50"/>
  <c r="J63" i="50"/>
  <c r="Q63" i="50"/>
  <c r="J64" i="50"/>
  <c r="Q64" i="50"/>
  <c r="Q58" i="50" s="1"/>
  <c r="J65" i="50"/>
  <c r="Q65" i="50"/>
  <c r="J66" i="50"/>
  <c r="Q66" i="50"/>
  <c r="J67" i="50"/>
  <c r="Q67" i="50"/>
  <c r="J68" i="50"/>
  <c r="Q68" i="50"/>
  <c r="J69" i="50"/>
  <c r="Q69" i="50"/>
  <c r="J70" i="50"/>
  <c r="Q70" i="50"/>
  <c r="J71" i="50"/>
  <c r="Q71" i="50"/>
  <c r="J72" i="50"/>
  <c r="Q72" i="50"/>
  <c r="K40" i="50"/>
  <c r="L40" i="50"/>
  <c r="M40" i="50"/>
  <c r="N40" i="50"/>
  <c r="P40" i="50"/>
  <c r="J41" i="50"/>
  <c r="J42" i="50"/>
  <c r="Q42" i="50"/>
  <c r="J43" i="50"/>
  <c r="Q43" i="50"/>
  <c r="J44" i="50"/>
  <c r="Q44" i="50"/>
  <c r="J45" i="50"/>
  <c r="Q45" i="50"/>
  <c r="J46" i="50"/>
  <c r="Q46" i="50"/>
  <c r="J47" i="50"/>
  <c r="Q47" i="50" s="1"/>
  <c r="J48" i="50"/>
  <c r="Q48" i="50"/>
  <c r="J49" i="50"/>
  <c r="Q49" i="50"/>
  <c r="J50" i="50"/>
  <c r="Q50" i="50"/>
  <c r="J51" i="50"/>
  <c r="Q51" i="50"/>
  <c r="J52" i="50"/>
  <c r="Q52" i="50"/>
  <c r="J53" i="50"/>
  <c r="Q53" i="50" s="1"/>
  <c r="J54" i="50"/>
  <c r="Q54" i="50"/>
  <c r="J24" i="50"/>
  <c r="Q24" i="50"/>
  <c r="J25" i="50"/>
  <c r="Q25" i="50" s="1"/>
  <c r="Q22" i="50" s="1"/>
  <c r="J26" i="50"/>
  <c r="Q26" i="50"/>
  <c r="J27" i="50"/>
  <c r="Q27" i="50"/>
  <c r="J28" i="50"/>
  <c r="Q28" i="50" s="1"/>
  <c r="J29" i="50"/>
  <c r="Q29" i="50"/>
  <c r="J30" i="50"/>
  <c r="Q30" i="50"/>
  <c r="J31" i="50"/>
  <c r="Q31" i="50" s="1"/>
  <c r="J32" i="50"/>
  <c r="Q32" i="50"/>
  <c r="J33" i="50"/>
  <c r="Q33" i="50"/>
  <c r="J34" i="50"/>
  <c r="Q34" i="50" s="1"/>
  <c r="J35" i="50"/>
  <c r="Q35" i="50"/>
  <c r="J36" i="50"/>
  <c r="Q36" i="50"/>
  <c r="K22" i="50"/>
  <c r="L22" i="50"/>
  <c r="M22" i="50"/>
  <c r="N22" i="50"/>
  <c r="P22" i="50"/>
  <c r="J23" i="50"/>
  <c r="Q23" i="50"/>
  <c r="Q6" i="50"/>
  <c r="Q8" i="50"/>
  <c r="Q9" i="50"/>
  <c r="Q10" i="50"/>
  <c r="Q11" i="50"/>
  <c r="Q15" i="50"/>
  <c r="Q17" i="50"/>
  <c r="Q18" i="50"/>
  <c r="N7" i="50"/>
  <c r="J7" i="50" s="1"/>
  <c r="Q7" i="50" s="1"/>
  <c r="K4" i="50"/>
  <c r="L4" i="50"/>
  <c r="M4" i="50"/>
  <c r="N4" i="50"/>
  <c r="P4" i="50"/>
  <c r="Q5" i="50"/>
  <c r="J5" i="50"/>
  <c r="J6" i="50"/>
  <c r="J8" i="50"/>
  <c r="J9" i="50"/>
  <c r="J10" i="50"/>
  <c r="J11" i="50"/>
  <c r="J12" i="50"/>
  <c r="Q12" i="50" s="1"/>
  <c r="J13" i="50"/>
  <c r="Q13" i="50" s="1"/>
  <c r="J14" i="50"/>
  <c r="Q14" i="50" s="1"/>
  <c r="J15" i="50"/>
  <c r="J16" i="50"/>
  <c r="Q16" i="50" s="1"/>
  <c r="J17" i="50"/>
  <c r="J18" i="50"/>
  <c r="D47" i="50"/>
  <c r="D48" i="50"/>
  <c r="I65" i="11"/>
  <c r="I64" i="11"/>
  <c r="AJ24" i="35"/>
  <c r="K33" i="51"/>
  <c r="I37" i="51"/>
  <c r="J33" i="51"/>
  <c r="I33" i="51"/>
  <c r="H33" i="51"/>
  <c r="Q4" i="50" l="1"/>
  <c r="Q76" i="50"/>
  <c r="J4" i="50"/>
  <c r="J22" i="50"/>
  <c r="Q41" i="50"/>
  <c r="Q40" i="50" s="1"/>
  <c r="J40" i="50"/>
  <c r="E48" i="51"/>
  <c r="E47" i="51"/>
  <c r="E46" i="51"/>
  <c r="E45" i="51"/>
  <c r="E44" i="51"/>
  <c r="E43" i="51"/>
  <c r="E42" i="51"/>
  <c r="D52" i="51"/>
  <c r="D51" i="51"/>
  <c r="C45" i="51"/>
  <c r="C43" i="51"/>
  <c r="H22" i="51"/>
  <c r="G22" i="51"/>
  <c r="X13" i="49"/>
  <c r="W13" i="49"/>
  <c r="C24" i="51"/>
  <c r="E24" i="51" s="1"/>
  <c r="G24" i="51" s="1"/>
  <c r="C23" i="51"/>
  <c r="E23" i="51" s="1"/>
  <c r="G23" i="51" s="1"/>
  <c r="C33" i="51" s="1"/>
  <c r="B23" i="51"/>
  <c r="E22" i="51"/>
  <c r="B22" i="51"/>
  <c r="C21" i="51"/>
  <c r="E21" i="51" s="1"/>
  <c r="B21" i="51"/>
  <c r="E30" i="51"/>
  <c r="G30" i="51" s="1"/>
  <c r="E29" i="51"/>
  <c r="G29" i="51" s="1"/>
  <c r="E28" i="51"/>
  <c r="G28" i="51" s="1"/>
  <c r="E27" i="51"/>
  <c r="G27" i="51" s="1"/>
  <c r="E26" i="51"/>
  <c r="G26" i="51" s="1"/>
  <c r="E25" i="51"/>
  <c r="G25" i="51" s="1"/>
  <c r="D20" i="51"/>
  <c r="E14" i="51"/>
  <c r="E13" i="51"/>
  <c r="C10" i="51"/>
  <c r="E10" i="51" s="1"/>
  <c r="C9" i="51"/>
  <c r="E9" i="51" s="1"/>
  <c r="C8" i="51"/>
  <c r="E8" i="51" s="1"/>
  <c r="C7" i="51"/>
  <c r="E7" i="51" s="1"/>
  <c r="C6" i="51"/>
  <c r="E6" i="51" s="1"/>
  <c r="C5" i="51"/>
  <c r="E5" i="51" s="1"/>
  <c r="G5" i="51" s="1"/>
  <c r="E2" i="51"/>
  <c r="E18" i="51" s="1"/>
  <c r="D2" i="51"/>
  <c r="D18" i="51" s="1"/>
  <c r="D4" i="51" s="1"/>
  <c r="C2" i="51"/>
  <c r="C18" i="51" s="1"/>
  <c r="B14" i="51"/>
  <c r="B13" i="51"/>
  <c r="B12" i="51"/>
  <c r="B11" i="51"/>
  <c r="B10" i="51"/>
  <c r="B9" i="51"/>
  <c r="B8" i="51"/>
  <c r="B7" i="51"/>
  <c r="B6" i="51"/>
  <c r="B5" i="51"/>
  <c r="S114" i="49"/>
  <c r="L114" i="49" s="1"/>
  <c r="S113" i="49"/>
  <c r="L113" i="49" s="1"/>
  <c r="K126" i="49"/>
  <c r="AA126" i="49" s="1"/>
  <c r="AD126" i="49" s="1"/>
  <c r="K125" i="49"/>
  <c r="Q125" i="49" s="1"/>
  <c r="K124" i="49"/>
  <c r="AA124" i="49" s="1"/>
  <c r="AD124" i="49" s="1"/>
  <c r="K123" i="49"/>
  <c r="AF123" i="49" s="1"/>
  <c r="AI123" i="49" s="1"/>
  <c r="K122" i="49"/>
  <c r="Q122" i="49" s="1"/>
  <c r="T122" i="49" s="1"/>
  <c r="K121" i="49"/>
  <c r="Q121" i="49" s="1"/>
  <c r="X120" i="49"/>
  <c r="S120" i="49"/>
  <c r="X119" i="49"/>
  <c r="S119" i="49"/>
  <c r="X118" i="49"/>
  <c r="S118" i="49"/>
  <c r="X117" i="49"/>
  <c r="S117" i="49"/>
  <c r="X116" i="49"/>
  <c r="S116" i="49"/>
  <c r="X115" i="49"/>
  <c r="S115" i="49"/>
  <c r="C12" i="51"/>
  <c r="E12" i="51" s="1"/>
  <c r="H12" i="51" s="1"/>
  <c r="C11" i="51"/>
  <c r="E11" i="51" s="1"/>
  <c r="L119" i="49" l="1"/>
  <c r="L116" i="49"/>
  <c r="L115" i="49"/>
  <c r="L117" i="49"/>
  <c r="L120" i="49"/>
  <c r="AF122" i="49"/>
  <c r="AI122" i="49" s="1"/>
  <c r="V126" i="49"/>
  <c r="Y126" i="49" s="1"/>
  <c r="Q126" i="49"/>
  <c r="T126" i="49" s="1"/>
  <c r="V125" i="49"/>
  <c r="Y125" i="49" s="1"/>
  <c r="AF125" i="49"/>
  <c r="AI125" i="49" s="1"/>
  <c r="V124" i="49"/>
  <c r="Y124" i="49" s="1"/>
  <c r="AF124" i="49"/>
  <c r="AI124" i="49" s="1"/>
  <c r="Q124" i="49"/>
  <c r="V121" i="49"/>
  <c r="Y121" i="49" s="1"/>
  <c r="AA121" i="49"/>
  <c r="AD121" i="49" s="1"/>
  <c r="AF121" i="49"/>
  <c r="AI121" i="49" s="1"/>
  <c r="I22" i="51"/>
  <c r="J23" i="51"/>
  <c r="I23" i="51"/>
  <c r="H23" i="51"/>
  <c r="I24" i="51"/>
  <c r="H24" i="51"/>
  <c r="J24" i="51"/>
  <c r="J25" i="51"/>
  <c r="I25" i="51"/>
  <c r="H25" i="51"/>
  <c r="J27" i="51"/>
  <c r="I27" i="51"/>
  <c r="H27" i="51"/>
  <c r="M27" i="51"/>
  <c r="J26" i="51"/>
  <c r="I26" i="51"/>
  <c r="H26" i="51"/>
  <c r="J28" i="51"/>
  <c r="I28" i="51"/>
  <c r="H28" i="51"/>
  <c r="J21" i="51"/>
  <c r="I21" i="51"/>
  <c r="H21" i="51"/>
  <c r="G21" i="51"/>
  <c r="E20" i="51"/>
  <c r="J29" i="51"/>
  <c r="I29" i="51"/>
  <c r="H29" i="51"/>
  <c r="J22" i="51"/>
  <c r="I30" i="51"/>
  <c r="J30" i="51"/>
  <c r="H30" i="51"/>
  <c r="J7" i="51"/>
  <c r="H7" i="51"/>
  <c r="I7" i="51"/>
  <c r="G7" i="51"/>
  <c r="H9" i="51"/>
  <c r="I9" i="51"/>
  <c r="G9" i="51"/>
  <c r="J9" i="51"/>
  <c r="J6" i="51"/>
  <c r="H6" i="51"/>
  <c r="G6" i="51"/>
  <c r="I6" i="51"/>
  <c r="H8" i="51"/>
  <c r="J8" i="51"/>
  <c r="I8" i="51"/>
  <c r="I32" i="51" s="1"/>
  <c r="G8" i="51"/>
  <c r="H10" i="51"/>
  <c r="I10" i="51"/>
  <c r="G10" i="51"/>
  <c r="J10" i="51"/>
  <c r="H11" i="51"/>
  <c r="I11" i="51"/>
  <c r="G11" i="51"/>
  <c r="J11" i="51"/>
  <c r="I13" i="51"/>
  <c r="G13" i="51"/>
  <c r="J13" i="51"/>
  <c r="H13" i="51"/>
  <c r="I14" i="51"/>
  <c r="G14" i="51"/>
  <c r="J14" i="51"/>
  <c r="H14" i="51"/>
  <c r="E4" i="51"/>
  <c r="I5" i="51"/>
  <c r="J12" i="51"/>
  <c r="G12" i="51"/>
  <c r="H5" i="51"/>
  <c r="I12" i="51"/>
  <c r="J5" i="51"/>
  <c r="V122" i="49"/>
  <c r="Y122" i="49" s="1"/>
  <c r="Q123" i="49"/>
  <c r="T123" i="49" s="1"/>
  <c r="V123" i="49"/>
  <c r="Y123" i="49" s="1"/>
  <c r="AA123" i="49"/>
  <c r="AD123" i="49" s="1"/>
  <c r="AF126" i="49"/>
  <c r="AI126" i="49" s="1"/>
  <c r="T125" i="49"/>
  <c r="M112" i="49"/>
  <c r="T121" i="49"/>
  <c r="AA122" i="49"/>
  <c r="AD122" i="49" s="1"/>
  <c r="AA125" i="49"/>
  <c r="AD125" i="49" s="1"/>
  <c r="L118" i="49"/>
  <c r="S112" i="49"/>
  <c r="L112" i="49" l="1"/>
  <c r="G32" i="51"/>
  <c r="G20" i="51" s="1"/>
  <c r="H32" i="51"/>
  <c r="H20" i="51" s="1"/>
  <c r="AK121" i="49"/>
  <c r="AK124" i="49"/>
  <c r="T124" i="49"/>
  <c r="C32" i="51"/>
  <c r="C16" i="51"/>
  <c r="C4" i="51" s="1"/>
  <c r="M26" i="51"/>
  <c r="M23" i="51"/>
  <c r="M25" i="51"/>
  <c r="M9" i="51"/>
  <c r="M12" i="51"/>
  <c r="M7" i="51"/>
  <c r="M14" i="51"/>
  <c r="M8" i="51"/>
  <c r="M13" i="51"/>
  <c r="M6" i="51"/>
  <c r="M24" i="51"/>
  <c r="M29" i="51"/>
  <c r="M30" i="51"/>
  <c r="M22" i="51"/>
  <c r="M28" i="51"/>
  <c r="M21" i="51"/>
  <c r="I20" i="51"/>
  <c r="M11" i="51"/>
  <c r="H4" i="51"/>
  <c r="M10" i="51"/>
  <c r="J4" i="51"/>
  <c r="M5" i="51"/>
  <c r="G4" i="51"/>
  <c r="I4" i="51"/>
  <c r="AK123" i="49"/>
  <c r="AK126" i="49"/>
  <c r="AK122" i="49"/>
  <c r="AK125" i="49"/>
  <c r="J32" i="51" l="1"/>
  <c r="J20" i="51" s="1"/>
  <c r="C34" i="51"/>
  <c r="C38" i="51" s="1"/>
  <c r="C20" i="51"/>
  <c r="P93" i="49" l="1"/>
  <c r="P95" i="49"/>
  <c r="P104" i="49"/>
  <c r="P103" i="49"/>
  <c r="P102" i="49"/>
  <c r="P101" i="49"/>
  <c r="M104" i="49"/>
  <c r="M103" i="49"/>
  <c r="M102" i="49"/>
  <c r="M101" i="49"/>
  <c r="G83" i="49"/>
  <c r="J83" i="49" s="1"/>
  <c r="G82" i="49"/>
  <c r="J82" i="49" s="1"/>
  <c r="G81" i="49"/>
  <c r="J81" i="49" s="1"/>
  <c r="G80" i="49"/>
  <c r="J80" i="49" s="1"/>
  <c r="P100" i="49" l="1"/>
  <c r="J75" i="49"/>
  <c r="G90" i="50" l="1"/>
  <c r="AH90" i="50" s="1"/>
  <c r="AK90" i="50" s="1"/>
  <c r="C90" i="50"/>
  <c r="G89" i="50"/>
  <c r="X89" i="50" s="1"/>
  <c r="C89" i="50"/>
  <c r="G88" i="50"/>
  <c r="AH88" i="50" s="1"/>
  <c r="AK88" i="50" s="1"/>
  <c r="C88" i="50"/>
  <c r="G87" i="50"/>
  <c r="S87" i="50" s="1"/>
  <c r="C87" i="50"/>
  <c r="G86" i="50"/>
  <c r="C86" i="50"/>
  <c r="G85" i="50"/>
  <c r="AH85" i="50" s="1"/>
  <c r="AK85" i="50" s="1"/>
  <c r="C85" i="50"/>
  <c r="AE84" i="50"/>
  <c r="AB84" i="50"/>
  <c r="Z84" i="50"/>
  <c r="Y84" i="50"/>
  <c r="W84" i="50"/>
  <c r="U84" i="50"/>
  <c r="T84" i="50"/>
  <c r="R84" i="50"/>
  <c r="G84" i="50"/>
  <c r="AB83" i="50"/>
  <c r="Z83" i="50"/>
  <c r="Y83" i="50"/>
  <c r="W83" i="50"/>
  <c r="U83" i="50"/>
  <c r="T83" i="50"/>
  <c r="R83" i="50"/>
  <c r="G83" i="50"/>
  <c r="S83" i="50" s="1"/>
  <c r="AB82" i="50"/>
  <c r="Z82" i="50"/>
  <c r="Y82" i="50"/>
  <c r="W82" i="50"/>
  <c r="U82" i="50"/>
  <c r="T82" i="50"/>
  <c r="R82" i="50"/>
  <c r="G82" i="50"/>
  <c r="X82" i="50" s="1"/>
  <c r="AE81" i="50"/>
  <c r="AD81" i="50"/>
  <c r="AB81" i="50"/>
  <c r="Z81" i="50"/>
  <c r="Y81" i="50"/>
  <c r="W81" i="50"/>
  <c r="U81" i="50"/>
  <c r="T81" i="50"/>
  <c r="R81" i="50"/>
  <c r="G81" i="50"/>
  <c r="X81" i="50" s="1"/>
  <c r="AE80" i="50"/>
  <c r="AD80" i="50"/>
  <c r="AB80" i="50"/>
  <c r="Z80" i="50"/>
  <c r="Y80" i="50"/>
  <c r="W80" i="50"/>
  <c r="U80" i="50"/>
  <c r="T80" i="50"/>
  <c r="R80" i="50"/>
  <c r="G80" i="50"/>
  <c r="AH80" i="50" s="1"/>
  <c r="AK80" i="50" s="1"/>
  <c r="AE79" i="50"/>
  <c r="AD79" i="50"/>
  <c r="AB79" i="50"/>
  <c r="Z79" i="50"/>
  <c r="Y79" i="50"/>
  <c r="W79" i="50"/>
  <c r="U79" i="50"/>
  <c r="T79" i="50"/>
  <c r="R79" i="50"/>
  <c r="G79" i="50"/>
  <c r="AB78" i="50"/>
  <c r="Z78" i="50"/>
  <c r="Y78" i="50"/>
  <c r="W78" i="50"/>
  <c r="U78" i="50"/>
  <c r="T78" i="50"/>
  <c r="R78" i="50"/>
  <c r="G78" i="50"/>
  <c r="S78" i="50" s="1"/>
  <c r="AE77" i="50"/>
  <c r="AD77" i="50"/>
  <c r="AB77" i="50"/>
  <c r="Z77" i="50"/>
  <c r="Y77" i="50"/>
  <c r="W77" i="50"/>
  <c r="U77" i="50"/>
  <c r="T77" i="50"/>
  <c r="R77" i="50"/>
  <c r="G77" i="50"/>
  <c r="X77" i="50" s="1"/>
  <c r="D76" i="50"/>
  <c r="D72" i="50"/>
  <c r="C72" i="50"/>
  <c r="D71" i="50"/>
  <c r="C71" i="50"/>
  <c r="D70" i="50"/>
  <c r="C70" i="50"/>
  <c r="D69" i="50"/>
  <c r="C69" i="50"/>
  <c r="D68" i="50"/>
  <c r="C68" i="50"/>
  <c r="D67" i="50"/>
  <c r="C67" i="50"/>
  <c r="H66" i="50"/>
  <c r="D66" i="50"/>
  <c r="C66" i="50"/>
  <c r="H65" i="50"/>
  <c r="D65" i="50"/>
  <c r="C65" i="50"/>
  <c r="H64" i="50"/>
  <c r="D64" i="50"/>
  <c r="C64" i="50"/>
  <c r="H63" i="50"/>
  <c r="D63" i="50"/>
  <c r="C63" i="50"/>
  <c r="H62" i="50"/>
  <c r="D62" i="50"/>
  <c r="U61" i="50"/>
  <c r="H61" i="50" s="1"/>
  <c r="I61" i="50" s="1"/>
  <c r="T61" i="50"/>
  <c r="R61" i="50"/>
  <c r="D61" i="50"/>
  <c r="U60" i="50"/>
  <c r="H60" i="50" s="1"/>
  <c r="I60" i="50" s="1"/>
  <c r="T60" i="50"/>
  <c r="R60" i="50"/>
  <c r="D60" i="50"/>
  <c r="U59" i="50"/>
  <c r="H59" i="50" s="1"/>
  <c r="T59" i="50"/>
  <c r="R59" i="50"/>
  <c r="D59" i="50"/>
  <c r="D54" i="50"/>
  <c r="C54" i="50"/>
  <c r="D53" i="50"/>
  <c r="C53" i="50"/>
  <c r="D52" i="50"/>
  <c r="C52" i="50"/>
  <c r="D51" i="50"/>
  <c r="C51" i="50"/>
  <c r="G50" i="50"/>
  <c r="X50" i="50" s="1"/>
  <c r="G49" i="50"/>
  <c r="H48" i="50"/>
  <c r="G48" i="50"/>
  <c r="H47" i="50"/>
  <c r="G47" i="50"/>
  <c r="H46" i="50"/>
  <c r="G46" i="50"/>
  <c r="X46" i="50" s="1"/>
  <c r="H45" i="50"/>
  <c r="G45" i="50"/>
  <c r="AH45" i="50" s="1"/>
  <c r="AK45" i="50" s="1"/>
  <c r="H44" i="50"/>
  <c r="G44" i="50"/>
  <c r="S44" i="50" s="1"/>
  <c r="H43" i="50"/>
  <c r="G43" i="50"/>
  <c r="X43" i="50" s="1"/>
  <c r="U42" i="50"/>
  <c r="T42" i="50"/>
  <c r="R42" i="50"/>
  <c r="G42" i="50"/>
  <c r="S42" i="50" s="1"/>
  <c r="H41" i="50"/>
  <c r="G41" i="50"/>
  <c r="S41" i="50" s="1"/>
  <c r="I40" i="50"/>
  <c r="D36" i="50"/>
  <c r="D35" i="50"/>
  <c r="D34" i="50"/>
  <c r="D33" i="50"/>
  <c r="D32" i="50"/>
  <c r="D31" i="50"/>
  <c r="H30" i="50"/>
  <c r="G30" i="50"/>
  <c r="AB29" i="50"/>
  <c r="G29" i="50"/>
  <c r="AH29" i="50" s="1"/>
  <c r="AK29" i="50" s="1"/>
  <c r="AB28" i="50"/>
  <c r="G28" i="50"/>
  <c r="AB27" i="50"/>
  <c r="G27" i="50"/>
  <c r="X27" i="50" s="1"/>
  <c r="AB26" i="50"/>
  <c r="G26" i="50"/>
  <c r="AH26" i="50" s="1"/>
  <c r="AB25" i="50"/>
  <c r="G25" i="50"/>
  <c r="S25" i="50" s="1"/>
  <c r="AB24" i="50"/>
  <c r="G24" i="50"/>
  <c r="S24" i="50" s="1"/>
  <c r="G23" i="50"/>
  <c r="S23" i="50" s="1"/>
  <c r="I22" i="50"/>
  <c r="G18" i="50"/>
  <c r="S18" i="50" s="1"/>
  <c r="G17" i="50"/>
  <c r="X17" i="50" s="1"/>
  <c r="G16" i="50"/>
  <c r="S16" i="50" s="1"/>
  <c r="G15" i="50"/>
  <c r="AH15" i="50" s="1"/>
  <c r="AK15" i="50" s="1"/>
  <c r="G14" i="50"/>
  <c r="G13" i="50"/>
  <c r="S13" i="50" s="1"/>
  <c r="G12" i="50"/>
  <c r="X12" i="50" s="1"/>
  <c r="G11" i="50"/>
  <c r="S11" i="50" s="1"/>
  <c r="I10" i="50"/>
  <c r="G10" i="50"/>
  <c r="S10" i="50" s="1"/>
  <c r="G9" i="50"/>
  <c r="X9" i="50" s="1"/>
  <c r="G8" i="50"/>
  <c r="G7" i="50"/>
  <c r="AH7" i="50" s="1"/>
  <c r="AK7" i="50" s="1"/>
  <c r="G6" i="50"/>
  <c r="X6" i="50" s="1"/>
  <c r="G5" i="50"/>
  <c r="D4" i="50"/>
  <c r="M40" i="49"/>
  <c r="M22" i="49"/>
  <c r="L42" i="49"/>
  <c r="L44" i="49"/>
  <c r="L43" i="49"/>
  <c r="L45" i="49"/>
  <c r="L48" i="49"/>
  <c r="L49" i="49"/>
  <c r="L61" i="49"/>
  <c r="L62" i="49"/>
  <c r="L63" i="49"/>
  <c r="L64" i="49"/>
  <c r="L65" i="49"/>
  <c r="L112" i="10"/>
  <c r="I112" i="10"/>
  <c r="G112" i="10"/>
  <c r="G111" i="10"/>
  <c r="G110" i="10"/>
  <c r="G109" i="10"/>
  <c r="G108" i="10"/>
  <c r="G107" i="10"/>
  <c r="I99" i="10"/>
  <c r="I100" i="10"/>
  <c r="L100" i="10"/>
  <c r="G101" i="10"/>
  <c r="I101" i="10"/>
  <c r="G102" i="10"/>
  <c r="I102" i="10" s="1"/>
  <c r="K102" i="10" s="1"/>
  <c r="L102" i="10" s="1"/>
  <c r="G103" i="10"/>
  <c r="I103" i="10"/>
  <c r="K103" i="10"/>
  <c r="L103" i="10" s="1"/>
  <c r="I104" i="10"/>
  <c r="K104" i="10"/>
  <c r="L104" i="10"/>
  <c r="I105" i="10"/>
  <c r="L107" i="10" s="1"/>
  <c r="L105" i="10"/>
  <c r="L106" i="10"/>
  <c r="AC15" i="49"/>
  <c r="AB15" i="49"/>
  <c r="Z15" i="49"/>
  <c r="AC14" i="49"/>
  <c r="AB14" i="49"/>
  <c r="Z14" i="49"/>
  <c r="AC12" i="49"/>
  <c r="AB12" i="49"/>
  <c r="Z12" i="49"/>
  <c r="AC9" i="49"/>
  <c r="AB9" i="49"/>
  <c r="Z9" i="49"/>
  <c r="AC8" i="49"/>
  <c r="AB8" i="49"/>
  <c r="Z8" i="49" s="1"/>
  <c r="AC7" i="49"/>
  <c r="AB7" i="49"/>
  <c r="Z7" i="49"/>
  <c r="AC6" i="49"/>
  <c r="AB6" i="49"/>
  <c r="Z6" i="49" s="1"/>
  <c r="AC5" i="49"/>
  <c r="AB5" i="49"/>
  <c r="Z5" i="49" s="1"/>
  <c r="X18" i="49"/>
  <c r="W18" i="49"/>
  <c r="U18" i="49"/>
  <c r="G35" i="50" l="1"/>
  <c r="AC6" i="50"/>
  <c r="AM41" i="50"/>
  <c r="AA46" i="50"/>
  <c r="AC46" i="50"/>
  <c r="AF46" i="50" s="1"/>
  <c r="G61" i="50"/>
  <c r="S61" i="50" s="1"/>
  <c r="G53" i="50"/>
  <c r="AH53" i="50" s="1"/>
  <c r="AK53" i="50" s="1"/>
  <c r="X87" i="50"/>
  <c r="G71" i="50"/>
  <c r="X71" i="50" s="1"/>
  <c r="G62" i="50"/>
  <c r="S62" i="50" s="1"/>
  <c r="G31" i="50"/>
  <c r="X31" i="50" s="1"/>
  <c r="G72" i="50"/>
  <c r="AH72" i="50" s="1"/>
  <c r="AK72" i="50" s="1"/>
  <c r="G32" i="50"/>
  <c r="AH32" i="50" s="1"/>
  <c r="AK32" i="50" s="1"/>
  <c r="AA43" i="50"/>
  <c r="AA89" i="50"/>
  <c r="G36" i="50"/>
  <c r="G52" i="50"/>
  <c r="S52" i="50" s="1"/>
  <c r="G65" i="50"/>
  <c r="G33" i="50"/>
  <c r="X33" i="50" s="1"/>
  <c r="AA50" i="50"/>
  <c r="G63" i="50"/>
  <c r="G67" i="50"/>
  <c r="X67" i="50" s="1"/>
  <c r="AA77" i="50"/>
  <c r="AC82" i="50"/>
  <c r="AC27" i="50"/>
  <c r="AF27" i="50" s="1"/>
  <c r="G51" i="50"/>
  <c r="AH51" i="50" s="1"/>
  <c r="AK51" i="50" s="1"/>
  <c r="G68" i="50"/>
  <c r="AH68" i="50" s="1"/>
  <c r="AK68" i="50" s="1"/>
  <c r="G64" i="50"/>
  <c r="AA17" i="50"/>
  <c r="G69" i="50"/>
  <c r="AH69" i="50" s="1"/>
  <c r="AK69" i="50" s="1"/>
  <c r="G70" i="50"/>
  <c r="AH70" i="50" s="1"/>
  <c r="AK70" i="50" s="1"/>
  <c r="G54" i="50"/>
  <c r="AH54" i="50" s="1"/>
  <c r="AK54" i="50" s="1"/>
  <c r="G66" i="50"/>
  <c r="G34" i="50"/>
  <c r="S34" i="50" s="1"/>
  <c r="V44" i="50"/>
  <c r="G60" i="50"/>
  <c r="AH60" i="50" s="1"/>
  <c r="AK60" i="50" s="1"/>
  <c r="V10" i="50"/>
  <c r="AH42" i="50"/>
  <c r="AK42" i="50" s="1"/>
  <c r="AH46" i="50"/>
  <c r="AK46" i="50" s="1"/>
  <c r="AA12" i="50"/>
  <c r="V78" i="50"/>
  <c r="V83" i="50"/>
  <c r="H25" i="50"/>
  <c r="H83" i="50"/>
  <c r="H8" i="50"/>
  <c r="X42" i="50"/>
  <c r="X80" i="50"/>
  <c r="H5" i="50"/>
  <c r="H82" i="50"/>
  <c r="H79" i="50"/>
  <c r="I79" i="50" s="1"/>
  <c r="I76" i="50" s="1"/>
  <c r="X78" i="50"/>
  <c r="S35" i="50"/>
  <c r="X35" i="50"/>
  <c r="AA35" i="50" s="1"/>
  <c r="AH35" i="50"/>
  <c r="AK35" i="50" s="1"/>
  <c r="H27" i="50"/>
  <c r="AH28" i="50"/>
  <c r="AK28" i="50" s="1"/>
  <c r="D22" i="50"/>
  <c r="S45" i="50"/>
  <c r="S82" i="50"/>
  <c r="X45" i="50"/>
  <c r="H78" i="50"/>
  <c r="AA81" i="50"/>
  <c r="AH25" i="50"/>
  <c r="AK25" i="50" s="1"/>
  <c r="H84" i="50"/>
  <c r="S28" i="50"/>
  <c r="AH23" i="50"/>
  <c r="AK23" i="50" s="1"/>
  <c r="AA27" i="50"/>
  <c r="AH78" i="50"/>
  <c r="AK78" i="50" s="1"/>
  <c r="AH10" i="50"/>
  <c r="AK10" i="50" s="1"/>
  <c r="H26" i="50"/>
  <c r="H7" i="50"/>
  <c r="V24" i="50"/>
  <c r="X28" i="50"/>
  <c r="H77" i="50"/>
  <c r="I58" i="50"/>
  <c r="X64" i="50"/>
  <c r="AA64" i="50" s="1"/>
  <c r="S64" i="50"/>
  <c r="AH64" i="50"/>
  <c r="AK64" i="50" s="1"/>
  <c r="S53" i="50"/>
  <c r="X54" i="50"/>
  <c r="AA54" i="50" s="1"/>
  <c r="H24" i="50"/>
  <c r="X25" i="50"/>
  <c r="V16" i="50"/>
  <c r="AF6" i="50"/>
  <c r="H9" i="50"/>
  <c r="X24" i="50"/>
  <c r="S29" i="50"/>
  <c r="D58" i="50"/>
  <c r="H58" i="50"/>
  <c r="D40" i="50"/>
  <c r="H80" i="50"/>
  <c r="S90" i="50"/>
  <c r="H12" i="50"/>
  <c r="H29" i="50"/>
  <c r="H28" i="50"/>
  <c r="AH43" i="50"/>
  <c r="AK43" i="50" s="1"/>
  <c r="H23" i="50"/>
  <c r="X23" i="50"/>
  <c r="AC23" i="50" s="1"/>
  <c r="AF23" i="50" s="1"/>
  <c r="X29" i="50"/>
  <c r="U58" i="50"/>
  <c r="X90" i="50"/>
  <c r="V11" i="50"/>
  <c r="X7" i="50"/>
  <c r="AA9" i="50"/>
  <c r="AH24" i="50"/>
  <c r="AK24" i="50" s="1"/>
  <c r="AH83" i="50"/>
  <c r="AK83" i="50" s="1"/>
  <c r="AH87" i="50"/>
  <c r="AK87" i="50" s="1"/>
  <c r="H11" i="50"/>
  <c r="AH50" i="50"/>
  <c r="AK50" i="50" s="1"/>
  <c r="H81" i="50"/>
  <c r="S15" i="50"/>
  <c r="X15" i="50"/>
  <c r="AH17" i="50"/>
  <c r="AK17" i="50" s="1"/>
  <c r="S17" i="50"/>
  <c r="AC17" i="50" s="1"/>
  <c r="AF17" i="50" s="1"/>
  <c r="X14" i="50"/>
  <c r="X10" i="50"/>
  <c r="AH11" i="50"/>
  <c r="AK11" i="50" s="1"/>
  <c r="X18" i="50"/>
  <c r="S7" i="50"/>
  <c r="V13" i="50"/>
  <c r="X13" i="50"/>
  <c r="AH13" i="50"/>
  <c r="AK13" i="50" s="1"/>
  <c r="AH18" i="50"/>
  <c r="AK18" i="50" s="1"/>
  <c r="X11" i="50"/>
  <c r="AH49" i="50"/>
  <c r="AK49" i="50" s="1"/>
  <c r="X63" i="50"/>
  <c r="AA63" i="50" s="1"/>
  <c r="S63" i="50"/>
  <c r="AH63" i="50"/>
  <c r="AK63" i="50" s="1"/>
  <c r="U4" i="50"/>
  <c r="S8" i="50"/>
  <c r="X8" i="50"/>
  <c r="S33" i="50"/>
  <c r="S49" i="50"/>
  <c r="X62" i="50"/>
  <c r="AA62" i="50" s="1"/>
  <c r="X69" i="50"/>
  <c r="AA69" i="50" s="1"/>
  <c r="V18" i="50"/>
  <c r="V23" i="50"/>
  <c r="AH65" i="50"/>
  <c r="AK65" i="50" s="1"/>
  <c r="X65" i="50"/>
  <c r="AA65" i="50" s="1"/>
  <c r="S65" i="50"/>
  <c r="AH5" i="50"/>
  <c r="AM5" i="50" s="1"/>
  <c r="G4" i="50"/>
  <c r="AH30" i="50"/>
  <c r="AK30" i="50" s="1"/>
  <c r="S30" i="50"/>
  <c r="X30" i="50"/>
  <c r="X49" i="50"/>
  <c r="AA6" i="50"/>
  <c r="AH8" i="50"/>
  <c r="AK8" i="50" s="1"/>
  <c r="X16" i="50"/>
  <c r="AH16" i="50"/>
  <c r="AK16" i="50" s="1"/>
  <c r="X34" i="50"/>
  <c r="AA34" i="50" s="1"/>
  <c r="AH34" i="50"/>
  <c r="AK34" i="50" s="1"/>
  <c r="X41" i="50"/>
  <c r="AC41" i="50" s="1"/>
  <c r="AH41" i="50"/>
  <c r="H6" i="50"/>
  <c r="I6" i="50"/>
  <c r="I4" i="50" s="1"/>
  <c r="AH66" i="50"/>
  <c r="AK66" i="50" s="1"/>
  <c r="S66" i="50"/>
  <c r="X66" i="50"/>
  <c r="AA66" i="50" s="1"/>
  <c r="AK26" i="50"/>
  <c r="V41" i="50"/>
  <c r="AH47" i="50"/>
  <c r="AK47" i="50" s="1"/>
  <c r="X47" i="50"/>
  <c r="S47" i="50"/>
  <c r="S72" i="50"/>
  <c r="S26" i="50"/>
  <c r="X26" i="50"/>
  <c r="H42" i="50"/>
  <c r="H40" i="50" s="1"/>
  <c r="U40" i="50"/>
  <c r="S51" i="50"/>
  <c r="X51" i="50"/>
  <c r="AA51" i="50" s="1"/>
  <c r="AA82" i="50"/>
  <c r="X32" i="50"/>
  <c r="AA32" i="50" s="1"/>
  <c r="S32" i="50"/>
  <c r="V42" i="50"/>
  <c r="V25" i="50"/>
  <c r="S48" i="50"/>
  <c r="AH48" i="50"/>
  <c r="AK48" i="50" s="1"/>
  <c r="X48" i="50"/>
  <c r="AF5" i="50"/>
  <c r="U22" i="50"/>
  <c r="AH36" i="50"/>
  <c r="AK36" i="50" s="1"/>
  <c r="X36" i="50"/>
  <c r="AA36" i="50" s="1"/>
  <c r="S36" i="50"/>
  <c r="V87" i="50"/>
  <c r="AH9" i="50"/>
  <c r="AK9" i="50" s="1"/>
  <c r="S84" i="50"/>
  <c r="S9" i="50"/>
  <c r="X44" i="50"/>
  <c r="AH6" i="50"/>
  <c r="AK6" i="50" s="1"/>
  <c r="H10" i="50"/>
  <c r="AH12" i="50"/>
  <c r="AK12" i="50" s="1"/>
  <c r="AH14" i="50"/>
  <c r="AK14" i="50" s="1"/>
  <c r="AH77" i="50"/>
  <c r="X79" i="50"/>
  <c r="AC79" i="50" s="1"/>
  <c r="S80" i="50"/>
  <c r="X85" i="50"/>
  <c r="AH89" i="50"/>
  <c r="AK89" i="50" s="1"/>
  <c r="AH27" i="50"/>
  <c r="AK27" i="50" s="1"/>
  <c r="S27" i="50"/>
  <c r="X83" i="50"/>
  <c r="S43" i="50"/>
  <c r="G76" i="50"/>
  <c r="X84" i="50"/>
  <c r="X88" i="50"/>
  <c r="AH86" i="50"/>
  <c r="AK86" i="50" s="1"/>
  <c r="S6" i="50"/>
  <c r="S12" i="50"/>
  <c r="S14" i="50"/>
  <c r="AH44" i="50"/>
  <c r="AK44" i="50" s="1"/>
  <c r="S46" i="50"/>
  <c r="S50" i="50"/>
  <c r="S77" i="50"/>
  <c r="AH81" i="50"/>
  <c r="AK81" i="50" s="1"/>
  <c r="AF82" i="50"/>
  <c r="S85" i="50"/>
  <c r="S88" i="50"/>
  <c r="S81" i="50"/>
  <c r="AH82" i="50"/>
  <c r="AK82" i="50" s="1"/>
  <c r="U76" i="50"/>
  <c r="AH79" i="50"/>
  <c r="AK79" i="50" s="1"/>
  <c r="AH84" i="50"/>
  <c r="AK84" i="50" s="1"/>
  <c r="S86" i="50"/>
  <c r="G59" i="50"/>
  <c r="S89" i="50"/>
  <c r="AC89" i="50" s="1"/>
  <c r="AF89" i="50" s="1"/>
  <c r="S79" i="50"/>
  <c r="X86" i="50"/>
  <c r="S41" i="49"/>
  <c r="L41" i="49" s="1"/>
  <c r="R41" i="49"/>
  <c r="P41" i="49"/>
  <c r="S18" i="49"/>
  <c r="L18" i="49" s="1"/>
  <c r="R18" i="49"/>
  <c r="P18" i="49"/>
  <c r="S17" i="49"/>
  <c r="L17" i="49" s="1"/>
  <c r="R17" i="49"/>
  <c r="P17" i="49"/>
  <c r="S16" i="49"/>
  <c r="L16" i="49" s="1"/>
  <c r="M16" i="49" s="1"/>
  <c r="R16" i="49"/>
  <c r="P16" i="49"/>
  <c r="X15" i="49"/>
  <c r="W15" i="49"/>
  <c r="U15" i="49"/>
  <c r="S15" i="49"/>
  <c r="R15" i="49"/>
  <c r="P15" i="49"/>
  <c r="S14" i="49"/>
  <c r="R14" i="49"/>
  <c r="P14" i="49"/>
  <c r="S13" i="49"/>
  <c r="L13" i="49" s="1"/>
  <c r="R13" i="49"/>
  <c r="P13" i="49"/>
  <c r="X14" i="49"/>
  <c r="W14" i="49"/>
  <c r="U14" i="49"/>
  <c r="X12" i="49"/>
  <c r="W12" i="49"/>
  <c r="U12" i="49"/>
  <c r="X11" i="49"/>
  <c r="W11" i="49"/>
  <c r="U11" i="49" s="1"/>
  <c r="X9" i="49"/>
  <c r="W9" i="49"/>
  <c r="U9" i="49"/>
  <c r="X8" i="49"/>
  <c r="W8" i="49"/>
  <c r="U8" i="49"/>
  <c r="X7" i="49"/>
  <c r="W7" i="49"/>
  <c r="U7" i="49"/>
  <c r="X6" i="49"/>
  <c r="W6" i="49"/>
  <c r="U6" i="49"/>
  <c r="X5" i="49"/>
  <c r="W5" i="49"/>
  <c r="U5" i="49"/>
  <c r="S12" i="49"/>
  <c r="R12" i="49"/>
  <c r="P12" i="49"/>
  <c r="AC29" i="49"/>
  <c r="AB29" i="49"/>
  <c r="Z29" i="49"/>
  <c r="AC28" i="49"/>
  <c r="AB28" i="49"/>
  <c r="Z28" i="49"/>
  <c r="AC27" i="49"/>
  <c r="AB27" i="49"/>
  <c r="Z27" i="49"/>
  <c r="AC26" i="49"/>
  <c r="AB26" i="49"/>
  <c r="Z26" i="49"/>
  <c r="AC25" i="49"/>
  <c r="AB25" i="49"/>
  <c r="Z25" i="49"/>
  <c r="AC24" i="49"/>
  <c r="AB24" i="49"/>
  <c r="Z24" i="49"/>
  <c r="X29" i="49"/>
  <c r="W29" i="49"/>
  <c r="U29" i="49"/>
  <c r="X28" i="49"/>
  <c r="W28" i="49"/>
  <c r="U28" i="49"/>
  <c r="X27" i="49"/>
  <c r="W27" i="49"/>
  <c r="U27" i="49"/>
  <c r="X26" i="49"/>
  <c r="W26" i="49"/>
  <c r="U26" i="49"/>
  <c r="X25" i="49"/>
  <c r="W25" i="49"/>
  <c r="U25" i="49"/>
  <c r="X24" i="49"/>
  <c r="W24" i="49"/>
  <c r="U24" i="49"/>
  <c r="X23" i="49"/>
  <c r="W23" i="49"/>
  <c r="U23" i="49"/>
  <c r="S30" i="49"/>
  <c r="L30" i="49" s="1"/>
  <c r="R30" i="49"/>
  <c r="P30" i="49"/>
  <c r="S29" i="49"/>
  <c r="R29" i="49"/>
  <c r="P29" i="49"/>
  <c r="S28" i="49"/>
  <c r="R28" i="49"/>
  <c r="P28" i="49"/>
  <c r="S27" i="49"/>
  <c r="R27" i="49"/>
  <c r="P27" i="49"/>
  <c r="S26" i="49"/>
  <c r="R26" i="49"/>
  <c r="P26" i="49"/>
  <c r="S25" i="49"/>
  <c r="R25" i="49"/>
  <c r="P25" i="49"/>
  <c r="S24" i="49"/>
  <c r="R24" i="49"/>
  <c r="P24" i="49"/>
  <c r="S23" i="49"/>
  <c r="R23" i="49"/>
  <c r="P23" i="49"/>
  <c r="K25" i="49"/>
  <c r="K24" i="49"/>
  <c r="K23" i="49"/>
  <c r="K45" i="49"/>
  <c r="AF45" i="49" s="1"/>
  <c r="K43" i="49"/>
  <c r="Q43" i="49" s="1"/>
  <c r="K44" i="49"/>
  <c r="Q44" i="49" s="1"/>
  <c r="K41" i="49"/>
  <c r="Q41" i="49" s="1"/>
  <c r="S60" i="49"/>
  <c r="L60" i="49" s="1"/>
  <c r="M60" i="49" s="1"/>
  <c r="R60" i="49"/>
  <c r="P60" i="49"/>
  <c r="S59" i="49"/>
  <c r="L59" i="49" s="1"/>
  <c r="M59" i="49" s="1"/>
  <c r="R59" i="49"/>
  <c r="P59" i="49"/>
  <c r="S58" i="49"/>
  <c r="L58" i="49" s="1"/>
  <c r="M58" i="49" s="1"/>
  <c r="R58" i="49"/>
  <c r="P58" i="49"/>
  <c r="D61" i="49"/>
  <c r="K61" i="49" s="1"/>
  <c r="Q61" i="49" s="1"/>
  <c r="D60" i="49"/>
  <c r="K60" i="49" s="1"/>
  <c r="D59" i="49"/>
  <c r="K59" i="49" s="1"/>
  <c r="D58" i="49"/>
  <c r="AC83" i="49"/>
  <c r="Z83" i="49"/>
  <c r="Z82" i="49"/>
  <c r="Z81" i="49"/>
  <c r="AC80" i="49"/>
  <c r="AB80" i="49"/>
  <c r="Z80" i="49"/>
  <c r="AC79" i="49"/>
  <c r="AB79" i="49"/>
  <c r="Z79" i="49"/>
  <c r="AC78" i="49"/>
  <c r="AB78" i="49"/>
  <c r="Z78" i="49"/>
  <c r="Z77" i="49"/>
  <c r="AC76" i="49"/>
  <c r="AB76" i="49"/>
  <c r="Z76" i="49"/>
  <c r="X83" i="49"/>
  <c r="W83" i="49"/>
  <c r="U83" i="49"/>
  <c r="X82" i="49"/>
  <c r="W82" i="49"/>
  <c r="U82" i="49"/>
  <c r="X81" i="49"/>
  <c r="W81" i="49"/>
  <c r="U81" i="49"/>
  <c r="X80" i="49"/>
  <c r="W80" i="49"/>
  <c r="U80" i="49"/>
  <c r="X79" i="49"/>
  <c r="W79" i="49"/>
  <c r="U79" i="49"/>
  <c r="X78" i="49"/>
  <c r="W78" i="49"/>
  <c r="U78" i="49"/>
  <c r="X77" i="49"/>
  <c r="W77" i="49"/>
  <c r="U77" i="49"/>
  <c r="X76" i="49"/>
  <c r="W76" i="49"/>
  <c r="U76" i="49"/>
  <c r="S83" i="49"/>
  <c r="R83" i="49"/>
  <c r="P83" i="49"/>
  <c r="S82" i="49"/>
  <c r="R82" i="49"/>
  <c r="P82" i="49"/>
  <c r="S81" i="49"/>
  <c r="R81" i="49"/>
  <c r="P81" i="49"/>
  <c r="S80" i="49"/>
  <c r="R80" i="49"/>
  <c r="P80" i="49"/>
  <c r="S79" i="49"/>
  <c r="R79" i="49"/>
  <c r="P79" i="49"/>
  <c r="S78" i="49"/>
  <c r="R78" i="49"/>
  <c r="P78" i="49"/>
  <c r="S77" i="49"/>
  <c r="R77" i="49"/>
  <c r="P77" i="49"/>
  <c r="S76" i="49"/>
  <c r="R76" i="49"/>
  <c r="P76" i="49"/>
  <c r="K83" i="49"/>
  <c r="K82" i="49"/>
  <c r="K81" i="49"/>
  <c r="AF81" i="49" s="1"/>
  <c r="K80" i="49"/>
  <c r="Q80" i="49" s="1"/>
  <c r="K79" i="49"/>
  <c r="K78" i="49"/>
  <c r="AA78" i="49" s="1"/>
  <c r="K77" i="49"/>
  <c r="V77" i="49" s="1"/>
  <c r="K89" i="49"/>
  <c r="AF89" i="49" s="1"/>
  <c r="C89" i="49"/>
  <c r="K88" i="49"/>
  <c r="AA88" i="49" s="1"/>
  <c r="C88" i="49"/>
  <c r="K87" i="49"/>
  <c r="AF87" i="49" s="1"/>
  <c r="C87" i="49"/>
  <c r="K86" i="49"/>
  <c r="V86" i="49" s="1"/>
  <c r="C86" i="49"/>
  <c r="K85" i="49"/>
  <c r="AF85" i="49" s="1"/>
  <c r="C85" i="49"/>
  <c r="K84" i="49"/>
  <c r="Q84" i="49" s="1"/>
  <c r="C84" i="49"/>
  <c r="D71" i="49"/>
  <c r="K71" i="49" s="1"/>
  <c r="Q71" i="49" s="1"/>
  <c r="C71" i="49"/>
  <c r="D70" i="49"/>
  <c r="K70" i="49" s="1"/>
  <c r="V70" i="49" s="1"/>
  <c r="C70" i="49"/>
  <c r="D69" i="49"/>
  <c r="K69" i="49" s="1"/>
  <c r="Q69" i="49" s="1"/>
  <c r="C69" i="49"/>
  <c r="D68" i="49"/>
  <c r="K68" i="49" s="1"/>
  <c r="Q68" i="49" s="1"/>
  <c r="C68" i="49"/>
  <c r="D67" i="49"/>
  <c r="K67" i="49" s="1"/>
  <c r="Q67" i="49" s="1"/>
  <c r="C67" i="49"/>
  <c r="D66" i="49"/>
  <c r="K66" i="49" s="1"/>
  <c r="Q66" i="49" s="1"/>
  <c r="C66" i="49"/>
  <c r="D65" i="49"/>
  <c r="K65" i="49" s="1"/>
  <c r="AA65" i="49" s="1"/>
  <c r="C65" i="49"/>
  <c r="D64" i="49"/>
  <c r="K64" i="49" s="1"/>
  <c r="AA64" i="49" s="1"/>
  <c r="C64" i="49"/>
  <c r="D63" i="49"/>
  <c r="K63" i="49" s="1"/>
  <c r="Q63" i="49" s="1"/>
  <c r="C63" i="49"/>
  <c r="D62" i="49"/>
  <c r="C62" i="49"/>
  <c r="D53" i="49"/>
  <c r="K53" i="49" s="1"/>
  <c r="AF53" i="49" s="1"/>
  <c r="C53" i="49"/>
  <c r="D52" i="49"/>
  <c r="K52" i="49" s="1"/>
  <c r="AF52" i="49" s="1"/>
  <c r="C52" i="49"/>
  <c r="D51" i="49"/>
  <c r="K51" i="49" s="1"/>
  <c r="AF51" i="49" s="1"/>
  <c r="C51" i="49"/>
  <c r="D50" i="49"/>
  <c r="K50" i="49" s="1"/>
  <c r="AA50" i="49" s="1"/>
  <c r="C50" i="49"/>
  <c r="K47" i="49"/>
  <c r="AA47" i="49" s="1"/>
  <c r="K46" i="49"/>
  <c r="K49" i="49"/>
  <c r="AA49" i="49" s="1"/>
  <c r="K48" i="49"/>
  <c r="AA48" i="49" s="1"/>
  <c r="D36" i="49"/>
  <c r="K36" i="49" s="1"/>
  <c r="AF36" i="49" s="1"/>
  <c r="D35" i="49"/>
  <c r="K35" i="49" s="1"/>
  <c r="AF35" i="49" s="1"/>
  <c r="D34" i="49"/>
  <c r="K34" i="49" s="1"/>
  <c r="V34" i="49" s="1"/>
  <c r="D33" i="49"/>
  <c r="K33" i="49" s="1"/>
  <c r="V33" i="49" s="1"/>
  <c r="D32" i="49"/>
  <c r="K32" i="49" s="1"/>
  <c r="Q32" i="49" s="1"/>
  <c r="D31" i="49"/>
  <c r="K31" i="49" s="1"/>
  <c r="Q31" i="49" s="1"/>
  <c r="K30" i="49"/>
  <c r="Q30" i="49" s="1"/>
  <c r="K29" i="49"/>
  <c r="Q29" i="49" s="1"/>
  <c r="K28" i="49"/>
  <c r="AA28" i="49" s="1"/>
  <c r="K27" i="49"/>
  <c r="AA27" i="49" s="1"/>
  <c r="AF46" i="49" l="1"/>
  <c r="K40" i="49"/>
  <c r="L14" i="49"/>
  <c r="L15" i="49"/>
  <c r="AA31" i="50"/>
  <c r="AA67" i="50"/>
  <c r="AA71" i="50"/>
  <c r="AC71" i="50"/>
  <c r="AF71" i="50" s="1"/>
  <c r="AA33" i="50"/>
  <c r="AC33" i="50"/>
  <c r="AF33" i="50" s="1"/>
  <c r="AM42" i="50"/>
  <c r="V62" i="50"/>
  <c r="AM62" i="50"/>
  <c r="V61" i="50"/>
  <c r="V52" i="50"/>
  <c r="AM78" i="50"/>
  <c r="AM36" i="50"/>
  <c r="V72" i="50"/>
  <c r="V8" i="50"/>
  <c r="AM8" i="50"/>
  <c r="AA28" i="50"/>
  <c r="AC28" i="50"/>
  <c r="AF28" i="50" s="1"/>
  <c r="X72" i="50"/>
  <c r="AA30" i="50"/>
  <c r="AC30" i="50"/>
  <c r="AF30" i="50" s="1"/>
  <c r="AA11" i="50"/>
  <c r="AC11" i="50"/>
  <c r="AF11" i="50" s="1"/>
  <c r="V53" i="50"/>
  <c r="V86" i="50"/>
  <c r="AM86" i="50"/>
  <c r="G40" i="50"/>
  <c r="AM33" i="50"/>
  <c r="V29" i="50"/>
  <c r="X53" i="50"/>
  <c r="V35" i="50"/>
  <c r="AM23" i="50"/>
  <c r="AM77" i="50"/>
  <c r="V30" i="50"/>
  <c r="AM30" i="50"/>
  <c r="AA45" i="50"/>
  <c r="AC45" i="50"/>
  <c r="AF45" i="50" s="1"/>
  <c r="V63" i="50"/>
  <c r="AM63" i="50"/>
  <c r="AC62" i="50"/>
  <c r="AF62" i="50" s="1"/>
  <c r="V32" i="50"/>
  <c r="AM32" i="50"/>
  <c r="AA47" i="50"/>
  <c r="AC47" i="50"/>
  <c r="AF47" i="50" s="1"/>
  <c r="X60" i="50"/>
  <c r="S69" i="50"/>
  <c r="AH33" i="50"/>
  <c r="AK33" i="50" s="1"/>
  <c r="V82" i="50"/>
  <c r="AM82" i="50"/>
  <c r="AC77" i="50"/>
  <c r="AF77" i="50" s="1"/>
  <c r="N16" i="49"/>
  <c r="O16" i="49" s="1"/>
  <c r="V66" i="50"/>
  <c r="V51" i="50"/>
  <c r="AM51" i="50"/>
  <c r="V49" i="50"/>
  <c r="AM49" i="50"/>
  <c r="AA10" i="50"/>
  <c r="AC10" i="50"/>
  <c r="AF10" i="50" s="1"/>
  <c r="AC51" i="50"/>
  <c r="AF51" i="50" s="1"/>
  <c r="AA88" i="50"/>
  <c r="AC88" i="50"/>
  <c r="AF88" i="50" s="1"/>
  <c r="V48" i="50"/>
  <c r="AM48" i="50"/>
  <c r="AA24" i="50"/>
  <c r="AC24" i="50"/>
  <c r="AF24" i="50" s="1"/>
  <c r="S54" i="50"/>
  <c r="AM47" i="50"/>
  <c r="AA83" i="50"/>
  <c r="AC83" i="50"/>
  <c r="AF83" i="50" s="1"/>
  <c r="AA26" i="50"/>
  <c r="AC26" i="50"/>
  <c r="X52" i="50"/>
  <c r="AA44" i="50"/>
  <c r="AC44" i="50"/>
  <c r="S68" i="50"/>
  <c r="AA13" i="50"/>
  <c r="AC13" i="50"/>
  <c r="V34" i="50"/>
  <c r="AM34" i="50"/>
  <c r="V81" i="50"/>
  <c r="G22" i="50"/>
  <c r="V9" i="50"/>
  <c r="X68" i="50"/>
  <c r="X61" i="50"/>
  <c r="S31" i="50"/>
  <c r="S60" i="50"/>
  <c r="X70" i="50"/>
  <c r="AH52" i="50"/>
  <c r="AK52" i="50" s="1"/>
  <c r="AH71" i="50"/>
  <c r="AK71" i="50" s="1"/>
  <c r="AA15" i="50"/>
  <c r="AC15" i="50"/>
  <c r="AF15" i="50" s="1"/>
  <c r="AA7" i="50"/>
  <c r="AC7" i="50"/>
  <c r="AF7" i="50" s="1"/>
  <c r="AC65" i="50"/>
  <c r="AF65" i="50" s="1"/>
  <c r="AC32" i="50"/>
  <c r="AF32" i="50" s="1"/>
  <c r="AA87" i="50"/>
  <c r="AC87" i="50"/>
  <c r="AF87" i="50" s="1"/>
  <c r="V14" i="50"/>
  <c r="AM14" i="50"/>
  <c r="V84" i="50"/>
  <c r="AH67" i="50"/>
  <c r="AK67" i="50" s="1"/>
  <c r="AH62" i="50"/>
  <c r="AK62" i="50" s="1"/>
  <c r="V7" i="50"/>
  <c r="AM7" i="50"/>
  <c r="V15" i="50"/>
  <c r="V28" i="50"/>
  <c r="AC66" i="50"/>
  <c r="AF66" i="50" s="1"/>
  <c r="AC64" i="50"/>
  <c r="AF64" i="50" s="1"/>
  <c r="AC63" i="50"/>
  <c r="AF63" i="50" s="1"/>
  <c r="AC81" i="50"/>
  <c r="AF81" i="50" s="1"/>
  <c r="AA49" i="50"/>
  <c r="AC49" i="50"/>
  <c r="AF49" i="50" s="1"/>
  <c r="AA29" i="50"/>
  <c r="AC29" i="50"/>
  <c r="AF29" i="50" s="1"/>
  <c r="AA16" i="50"/>
  <c r="AC16" i="50"/>
  <c r="AF16" i="50" s="1"/>
  <c r="V27" i="50"/>
  <c r="AM27" i="50"/>
  <c r="S70" i="50"/>
  <c r="AA86" i="50"/>
  <c r="AC86" i="50"/>
  <c r="AF86" i="50" s="1"/>
  <c r="V12" i="50"/>
  <c r="AA85" i="50"/>
  <c r="AC85" i="50"/>
  <c r="AF85" i="50" s="1"/>
  <c r="AH61" i="50"/>
  <c r="AK61" i="50" s="1"/>
  <c r="AH31" i="50"/>
  <c r="AK31" i="50" s="1"/>
  <c r="AA23" i="50"/>
  <c r="AA22" i="50" s="1"/>
  <c r="S67" i="50"/>
  <c r="AA8" i="50"/>
  <c r="AC8" i="50"/>
  <c r="AF8" i="50" s="1"/>
  <c r="S71" i="50"/>
  <c r="AA18" i="50"/>
  <c r="AC18" i="50"/>
  <c r="AF18" i="50" s="1"/>
  <c r="AA90" i="50"/>
  <c r="AC90" i="50"/>
  <c r="AF90" i="50" s="1"/>
  <c r="AA80" i="50"/>
  <c r="AC80" i="50"/>
  <c r="AF80" i="50" s="1"/>
  <c r="AC12" i="50"/>
  <c r="AF12" i="50" s="1"/>
  <c r="AC9" i="50"/>
  <c r="AF9" i="50" s="1"/>
  <c r="AC35" i="50"/>
  <c r="AF35" i="50" s="1"/>
  <c r="V89" i="50"/>
  <c r="AM89" i="50"/>
  <c r="AC36" i="50"/>
  <c r="AF36" i="50" s="1"/>
  <c r="AA84" i="50"/>
  <c r="AC84" i="50"/>
  <c r="AF84" i="50" s="1"/>
  <c r="AA14" i="50"/>
  <c r="AC14" i="50"/>
  <c r="AF14" i="50" s="1"/>
  <c r="AA78" i="50"/>
  <c r="AC78" i="50"/>
  <c r="AF78" i="50" s="1"/>
  <c r="AM17" i="50"/>
  <c r="AM46" i="50"/>
  <c r="V45" i="50"/>
  <c r="AC34" i="50"/>
  <c r="AF34" i="50" s="1"/>
  <c r="AC43" i="50"/>
  <c r="AF43" i="50" s="1"/>
  <c r="V26" i="50"/>
  <c r="AM26" i="50"/>
  <c r="AA25" i="50"/>
  <c r="AC25" i="50"/>
  <c r="V79" i="50"/>
  <c r="AM79" i="50"/>
  <c r="AM85" i="50"/>
  <c r="V6" i="50"/>
  <c r="AM6" i="50"/>
  <c r="V80" i="50"/>
  <c r="AM80" i="50"/>
  <c r="AA48" i="50"/>
  <c r="AC48" i="50"/>
  <c r="AF48" i="50" s="1"/>
  <c r="V65" i="50"/>
  <c r="AM65" i="50"/>
  <c r="AA42" i="50"/>
  <c r="AC42" i="50"/>
  <c r="AF42" i="50" s="1"/>
  <c r="AC54" i="50"/>
  <c r="AF54" i="50" s="1"/>
  <c r="AC50" i="50"/>
  <c r="AF50" i="50" s="1"/>
  <c r="AM87" i="50"/>
  <c r="K58" i="49"/>
  <c r="AF58" i="49" s="1"/>
  <c r="P94" i="49"/>
  <c r="P96" i="49" s="1"/>
  <c r="P97" i="49" s="1"/>
  <c r="AF50" i="49"/>
  <c r="AI50" i="49" s="1"/>
  <c r="L27" i="49"/>
  <c r="L28" i="49"/>
  <c r="L12" i="49"/>
  <c r="Q64" i="49"/>
  <c r="T64" i="49" s="1"/>
  <c r="Q70" i="49"/>
  <c r="T70" i="49" s="1"/>
  <c r="V64" i="49"/>
  <c r="Y64" i="49" s="1"/>
  <c r="AF63" i="49"/>
  <c r="AI63" i="49" s="1"/>
  <c r="AF64" i="49"/>
  <c r="AI64" i="49" s="1"/>
  <c r="V63" i="49"/>
  <c r="Y63" i="49" s="1"/>
  <c r="L23" i="49"/>
  <c r="M57" i="49"/>
  <c r="Q94" i="49" s="1"/>
  <c r="AF69" i="49"/>
  <c r="AI69" i="49" s="1"/>
  <c r="Q46" i="49"/>
  <c r="T46" i="49" s="1"/>
  <c r="V48" i="49"/>
  <c r="Y48" i="49" s="1"/>
  <c r="AA66" i="49"/>
  <c r="AD66" i="49" s="1"/>
  <c r="V47" i="49"/>
  <c r="Y47" i="49" s="1"/>
  <c r="AA46" i="49"/>
  <c r="AD46" i="49" s="1"/>
  <c r="AF59" i="49"/>
  <c r="AI59" i="49" s="1"/>
  <c r="V59" i="49"/>
  <c r="Y59" i="49" s="1"/>
  <c r="AA59" i="49"/>
  <c r="AD59" i="49" s="1"/>
  <c r="AF65" i="49"/>
  <c r="AI65" i="49" s="1"/>
  <c r="Q65" i="49"/>
  <c r="T65" i="49" s="1"/>
  <c r="V65" i="49"/>
  <c r="Y65" i="49" s="1"/>
  <c r="V66" i="49"/>
  <c r="Y66" i="49" s="1"/>
  <c r="AF48" i="49"/>
  <c r="AI48" i="49" s="1"/>
  <c r="Q50" i="49"/>
  <c r="T50" i="49" s="1"/>
  <c r="Q51" i="49"/>
  <c r="T51" i="49" s="1"/>
  <c r="V50" i="49"/>
  <c r="Y50" i="49" s="1"/>
  <c r="AA51" i="49"/>
  <c r="AD51" i="49" s="1"/>
  <c r="AF47" i="49"/>
  <c r="AI47" i="49" s="1"/>
  <c r="AA60" i="49"/>
  <c r="AD60" i="49" s="1"/>
  <c r="AF60" i="49"/>
  <c r="AI60" i="49" s="1"/>
  <c r="Q60" i="49"/>
  <c r="T60" i="49" s="1"/>
  <c r="V60" i="49"/>
  <c r="Y60" i="49" s="1"/>
  <c r="Q52" i="49"/>
  <c r="T52" i="49" s="1"/>
  <c r="AA52" i="49"/>
  <c r="AD52" i="49" s="1"/>
  <c r="AA61" i="49"/>
  <c r="AD61" i="49" s="1"/>
  <c r="Q53" i="49"/>
  <c r="T53" i="49" s="1"/>
  <c r="AA53" i="49"/>
  <c r="AD53" i="49" s="1"/>
  <c r="L57" i="49"/>
  <c r="Q59" i="49"/>
  <c r="T59" i="49" s="1"/>
  <c r="V61" i="49"/>
  <c r="Y61" i="49" s="1"/>
  <c r="AA63" i="49"/>
  <c r="AD63" i="49" s="1"/>
  <c r="V49" i="49"/>
  <c r="Y49" i="49" s="1"/>
  <c r="AF49" i="49"/>
  <c r="AI49" i="49" s="1"/>
  <c r="AF66" i="49"/>
  <c r="AI66" i="49" s="1"/>
  <c r="V46" i="49"/>
  <c r="Y46" i="49" s="1"/>
  <c r="L29" i="49"/>
  <c r="AF61" i="49"/>
  <c r="AI61" i="49" s="1"/>
  <c r="AF67" i="49"/>
  <c r="AI67" i="49" s="1"/>
  <c r="AA69" i="49"/>
  <c r="AD69" i="49" s="1"/>
  <c r="V53" i="49"/>
  <c r="Y53" i="49" s="1"/>
  <c r="V68" i="49"/>
  <c r="Y68" i="49" s="1"/>
  <c r="AA70" i="49"/>
  <c r="AD70" i="49" s="1"/>
  <c r="Q48" i="49"/>
  <c r="T48" i="49" s="1"/>
  <c r="V35" i="49"/>
  <c r="Y35" i="49" s="1"/>
  <c r="AA67" i="49"/>
  <c r="AD67" i="49" s="1"/>
  <c r="V51" i="49"/>
  <c r="Y51" i="49" s="1"/>
  <c r="AA68" i="49"/>
  <c r="AD68" i="49" s="1"/>
  <c r="AF70" i="49"/>
  <c r="AI70" i="49" s="1"/>
  <c r="V52" i="49"/>
  <c r="Y52" i="49" s="1"/>
  <c r="L25" i="49"/>
  <c r="V67" i="49"/>
  <c r="Y67" i="49" s="1"/>
  <c r="AF71" i="49"/>
  <c r="AI71" i="49" s="1"/>
  <c r="V69" i="49"/>
  <c r="Y69" i="49" s="1"/>
  <c r="AA71" i="49"/>
  <c r="AD71" i="49" s="1"/>
  <c r="Q49" i="49"/>
  <c r="T49" i="49" s="1"/>
  <c r="V36" i="49"/>
  <c r="Y36" i="49" s="1"/>
  <c r="L26" i="49"/>
  <c r="L24" i="49"/>
  <c r="AF68" i="49"/>
  <c r="AI68" i="49" s="1"/>
  <c r="AA32" i="49"/>
  <c r="AD32" i="49" s="1"/>
  <c r="V71" i="49"/>
  <c r="Y71" i="49" s="1"/>
  <c r="Q47" i="49"/>
  <c r="T47" i="49" s="1"/>
  <c r="H22" i="50"/>
  <c r="H76" i="50"/>
  <c r="H4" i="50"/>
  <c r="V90" i="50"/>
  <c r="AK22" i="50"/>
  <c r="V64" i="50"/>
  <c r="V17" i="50"/>
  <c r="V36" i="50"/>
  <c r="AF41" i="50"/>
  <c r="V33" i="50"/>
  <c r="V77" i="50"/>
  <c r="S76" i="50"/>
  <c r="V43" i="50"/>
  <c r="AA41" i="50"/>
  <c r="X40" i="50"/>
  <c r="AF79" i="50"/>
  <c r="V54" i="50"/>
  <c r="X22" i="50"/>
  <c r="AK41" i="50"/>
  <c r="V50" i="50"/>
  <c r="AF26" i="50"/>
  <c r="V47" i="50"/>
  <c r="V46" i="50"/>
  <c r="S40" i="50"/>
  <c r="V88" i="50"/>
  <c r="AH22" i="50"/>
  <c r="AA5" i="50"/>
  <c r="X4" i="50"/>
  <c r="V85" i="50"/>
  <c r="X76" i="50"/>
  <c r="AA79" i="50"/>
  <c r="AK5" i="50"/>
  <c r="AK4" i="50" s="1"/>
  <c r="AH4" i="50"/>
  <c r="S59" i="50"/>
  <c r="G58" i="50"/>
  <c r="AH59" i="50"/>
  <c r="X59" i="50"/>
  <c r="AC59" i="50" s="1"/>
  <c r="AH76" i="50"/>
  <c r="AK77" i="50"/>
  <c r="AK76" i="50" s="1"/>
  <c r="V5" i="50"/>
  <c r="S4" i="50"/>
  <c r="AF30" i="49"/>
  <c r="AI30" i="49" s="1"/>
  <c r="AA44" i="49"/>
  <c r="AD44" i="49" s="1"/>
  <c r="V44" i="49"/>
  <c r="Y44" i="49" s="1"/>
  <c r="V41" i="49"/>
  <c r="Y41" i="49" s="1"/>
  <c r="Q45" i="49"/>
  <c r="T45" i="49" s="1"/>
  <c r="AF41" i="49"/>
  <c r="AI41" i="49" s="1"/>
  <c r="AF44" i="49"/>
  <c r="AI44" i="49" s="1"/>
  <c r="AA41" i="49"/>
  <c r="AD41" i="49" s="1"/>
  <c r="AF43" i="49"/>
  <c r="AI43" i="49" s="1"/>
  <c r="V43" i="49"/>
  <c r="Y43" i="49" s="1"/>
  <c r="AA45" i="49"/>
  <c r="AD45" i="49" s="1"/>
  <c r="AA43" i="49"/>
  <c r="AD43" i="49" s="1"/>
  <c r="V45" i="49"/>
  <c r="Y45" i="49" s="1"/>
  <c r="AA36" i="49"/>
  <c r="AD36" i="49" s="1"/>
  <c r="AF31" i="49"/>
  <c r="AI31" i="49" s="1"/>
  <c r="AF29" i="49"/>
  <c r="AI29" i="49" s="1"/>
  <c r="Q34" i="49"/>
  <c r="T34" i="49" s="1"/>
  <c r="Q35" i="49"/>
  <c r="T35" i="49" s="1"/>
  <c r="Q36" i="49"/>
  <c r="T36" i="49" s="1"/>
  <c r="AF32" i="49"/>
  <c r="AI32" i="49" s="1"/>
  <c r="AA31" i="49"/>
  <c r="AD31" i="49" s="1"/>
  <c r="AA34" i="49"/>
  <c r="AD34" i="49" s="1"/>
  <c r="V31" i="49"/>
  <c r="Y31" i="49" s="1"/>
  <c r="AF33" i="49"/>
  <c r="AI33" i="49" s="1"/>
  <c r="AA35" i="49"/>
  <c r="AD35" i="49" s="1"/>
  <c r="Q33" i="49"/>
  <c r="T33" i="49" s="1"/>
  <c r="V32" i="49"/>
  <c r="Y32" i="49" s="1"/>
  <c r="AF34" i="49"/>
  <c r="AI34" i="49" s="1"/>
  <c r="AA33" i="49"/>
  <c r="AD33" i="49" s="1"/>
  <c r="V24" i="49"/>
  <c r="Y24" i="49" s="1"/>
  <c r="Q24" i="49"/>
  <c r="T24" i="49" s="1"/>
  <c r="AA24" i="49"/>
  <c r="AD24" i="49" s="1"/>
  <c r="AF24" i="49"/>
  <c r="AI24" i="49" s="1"/>
  <c r="Q23" i="49"/>
  <c r="AA23" i="49"/>
  <c r="V23" i="49"/>
  <c r="AF23" i="49"/>
  <c r="AA25" i="49"/>
  <c r="AD25" i="49" s="1"/>
  <c r="AF25" i="49"/>
  <c r="AI25" i="49" s="1"/>
  <c r="Q25" i="49"/>
  <c r="T25" i="49" s="1"/>
  <c r="V25" i="49"/>
  <c r="Y25" i="49" s="1"/>
  <c r="V27" i="49"/>
  <c r="Y27" i="49" s="1"/>
  <c r="Q27" i="49"/>
  <c r="T27" i="49" s="1"/>
  <c r="AA30" i="49"/>
  <c r="AD30" i="49" s="1"/>
  <c r="Q28" i="49"/>
  <c r="T28" i="49" s="1"/>
  <c r="V28" i="49"/>
  <c r="Y28" i="49" s="1"/>
  <c r="V29" i="49"/>
  <c r="Y29" i="49" s="1"/>
  <c r="AF27" i="49"/>
  <c r="AI27" i="49" s="1"/>
  <c r="AF28" i="49"/>
  <c r="AI28" i="49" s="1"/>
  <c r="AA29" i="49"/>
  <c r="AD29" i="49" s="1"/>
  <c r="V30" i="49"/>
  <c r="Y30" i="49" s="1"/>
  <c r="T32" i="49"/>
  <c r="L81" i="49"/>
  <c r="Q102" i="49" s="1"/>
  <c r="L76" i="49"/>
  <c r="M76" i="49" s="1"/>
  <c r="L79" i="49"/>
  <c r="L77" i="49"/>
  <c r="L80" i="49"/>
  <c r="Q101" i="49" s="1"/>
  <c r="L78" i="49"/>
  <c r="M78" i="49" s="1"/>
  <c r="L83" i="49"/>
  <c r="Q104" i="49" s="1"/>
  <c r="L82" i="49"/>
  <c r="Q103" i="49" s="1"/>
  <c r="Q82" i="49"/>
  <c r="T82" i="49" s="1"/>
  <c r="AF82" i="49"/>
  <c r="AI82" i="49" s="1"/>
  <c r="Q81" i="49"/>
  <c r="T81" i="49" s="1"/>
  <c r="Q85" i="49"/>
  <c r="T85" i="49" s="1"/>
  <c r="AA87" i="49"/>
  <c r="AD87" i="49" s="1"/>
  <c r="AA89" i="49"/>
  <c r="AD89" i="49" s="1"/>
  <c r="Q78" i="49"/>
  <c r="T78" i="49" s="1"/>
  <c r="Q86" i="49"/>
  <c r="T86" i="49" s="1"/>
  <c r="Q87" i="49"/>
  <c r="T87" i="49" s="1"/>
  <c r="Q77" i="49"/>
  <c r="T77" i="49" s="1"/>
  <c r="V78" i="49"/>
  <c r="Y78" i="49" s="1"/>
  <c r="V87" i="49"/>
  <c r="Y87" i="49" s="1"/>
  <c r="AA86" i="49"/>
  <c r="AD86" i="49" s="1"/>
  <c r="AF84" i="49"/>
  <c r="AI84" i="49" s="1"/>
  <c r="Q83" i="49"/>
  <c r="T83" i="49" s="1"/>
  <c r="AF83" i="49"/>
  <c r="AI83" i="49" s="1"/>
  <c r="V83" i="49"/>
  <c r="Y83" i="49" s="1"/>
  <c r="V85" i="49"/>
  <c r="Y85" i="49" s="1"/>
  <c r="V84" i="49"/>
  <c r="Y84" i="49" s="1"/>
  <c r="AA80" i="49"/>
  <c r="AD80" i="49" s="1"/>
  <c r="AA81" i="49"/>
  <c r="AD81" i="49" s="1"/>
  <c r="AA82" i="49"/>
  <c r="AD82" i="49" s="1"/>
  <c r="AA85" i="49"/>
  <c r="AD85" i="49" s="1"/>
  <c r="V81" i="49"/>
  <c r="Y81" i="49" s="1"/>
  <c r="Q79" i="49"/>
  <c r="T79" i="49" s="1"/>
  <c r="AA79" i="49"/>
  <c r="AD79" i="49" s="1"/>
  <c r="V79" i="49"/>
  <c r="Y79" i="49" s="1"/>
  <c r="AF79" i="49"/>
  <c r="AI79" i="49" s="1"/>
  <c r="T67" i="49"/>
  <c r="V88" i="49"/>
  <c r="Y88" i="49" s="1"/>
  <c r="V89" i="49"/>
  <c r="Y89" i="49" s="1"/>
  <c r="AF77" i="49"/>
  <c r="AI77" i="49" s="1"/>
  <c r="Q88" i="49"/>
  <c r="T88" i="49" s="1"/>
  <c r="AF78" i="49"/>
  <c r="AI78" i="49" s="1"/>
  <c r="S22" i="49"/>
  <c r="AF88" i="49"/>
  <c r="AI88" i="49" s="1"/>
  <c r="T71" i="49"/>
  <c r="S40" i="49"/>
  <c r="D22" i="49"/>
  <c r="Q89" i="49"/>
  <c r="T89" i="49" s="1"/>
  <c r="AA77" i="49"/>
  <c r="AD77" i="49" s="1"/>
  <c r="S57" i="49"/>
  <c r="AF80" i="49"/>
  <c r="AI80" i="49" s="1"/>
  <c r="D57" i="49"/>
  <c r="V80" i="49"/>
  <c r="Y80" i="49" s="1"/>
  <c r="AA83" i="49"/>
  <c r="AD83" i="49" s="1"/>
  <c r="V82" i="49"/>
  <c r="Y82" i="49" s="1"/>
  <c r="AA84" i="49"/>
  <c r="AD84" i="49" s="1"/>
  <c r="AF86" i="49"/>
  <c r="AI86" i="49" s="1"/>
  <c r="S75" i="49"/>
  <c r="D75" i="49"/>
  <c r="T84" i="49"/>
  <c r="AI85" i="49"/>
  <c r="T80" i="49"/>
  <c r="Y77" i="49"/>
  <c r="AI81" i="49"/>
  <c r="Y86" i="49"/>
  <c r="AD78" i="49"/>
  <c r="AD88" i="49"/>
  <c r="AI87" i="49"/>
  <c r="AI89" i="49"/>
  <c r="K76" i="49"/>
  <c r="T68" i="49"/>
  <c r="T61" i="49"/>
  <c r="AD64" i="49"/>
  <c r="T69" i="49"/>
  <c r="Y70" i="49"/>
  <c r="AD65" i="49"/>
  <c r="T66" i="49"/>
  <c r="K62" i="49"/>
  <c r="T63" i="49"/>
  <c r="AD50" i="49"/>
  <c r="AI45" i="49"/>
  <c r="AD47" i="49"/>
  <c r="AD48" i="49"/>
  <c r="AI51" i="49"/>
  <c r="T43" i="49"/>
  <c r="T41" i="49"/>
  <c r="AD49" i="49"/>
  <c r="AI53" i="49"/>
  <c r="AI46" i="49"/>
  <c r="AI52" i="49"/>
  <c r="K42" i="49"/>
  <c r="AD27" i="49"/>
  <c r="T31" i="49"/>
  <c r="AI35" i="49"/>
  <c r="T30" i="49"/>
  <c r="Y33" i="49"/>
  <c r="Y34" i="49"/>
  <c r="T29" i="49"/>
  <c r="AI36" i="49"/>
  <c r="K26" i="49"/>
  <c r="AD28" i="49"/>
  <c r="S11" i="49"/>
  <c r="L11" i="49" s="1"/>
  <c r="R11" i="49"/>
  <c r="P11" i="49"/>
  <c r="S10" i="49"/>
  <c r="R10" i="49"/>
  <c r="P10" i="49"/>
  <c r="S9" i="49"/>
  <c r="L9" i="49" s="1"/>
  <c r="R9" i="49"/>
  <c r="P9" i="49"/>
  <c r="S8" i="49"/>
  <c r="L8" i="49" s="1"/>
  <c r="R8" i="49"/>
  <c r="P8" i="49"/>
  <c r="S7" i="49"/>
  <c r="L7" i="49" s="1"/>
  <c r="R7" i="49"/>
  <c r="P7" i="49"/>
  <c r="R6" i="49"/>
  <c r="P6" i="49"/>
  <c r="S5" i="49"/>
  <c r="L5" i="49" s="1"/>
  <c r="R5" i="49"/>
  <c r="E66" i="11"/>
  <c r="E65" i="11"/>
  <c r="E63" i="11"/>
  <c r="D56" i="11"/>
  <c r="X47" i="11"/>
  <c r="K47" i="11"/>
  <c r="G47" i="11"/>
  <c r="G11" i="11"/>
  <c r="AF76" i="50" l="1"/>
  <c r="V67" i="50"/>
  <c r="AA70" i="50"/>
  <c r="AC70" i="50"/>
  <c r="AF70" i="50" s="1"/>
  <c r="AC76" i="50"/>
  <c r="AM76" i="50" s="1"/>
  <c r="AM28" i="50"/>
  <c r="V60" i="50"/>
  <c r="AM60" i="50"/>
  <c r="AM64" i="50"/>
  <c r="AM59" i="50"/>
  <c r="AM18" i="50"/>
  <c r="V31" i="50"/>
  <c r="V22" i="50" s="1"/>
  <c r="AM31" i="50"/>
  <c r="AM13" i="50"/>
  <c r="AF13" i="50"/>
  <c r="AF4" i="50" s="1"/>
  <c r="AM54" i="50"/>
  <c r="V69" i="50"/>
  <c r="AM69" i="50"/>
  <c r="S22" i="50"/>
  <c r="AM22" i="50" s="1"/>
  <c r="AA40" i="50"/>
  <c r="AM90" i="50"/>
  <c r="AA61" i="50"/>
  <c r="AC61" i="50"/>
  <c r="AF61" i="50" s="1"/>
  <c r="AA60" i="50"/>
  <c r="AC60" i="50"/>
  <c r="AF60" i="50" s="1"/>
  <c r="AF22" i="50"/>
  <c r="AC4" i="50"/>
  <c r="AM4" i="50" s="1"/>
  <c r="AM25" i="50"/>
  <c r="AF25" i="50"/>
  <c r="AM11" i="50"/>
  <c r="AM15" i="50"/>
  <c r="AA68" i="50"/>
  <c r="AC68" i="50"/>
  <c r="AF68" i="50" s="1"/>
  <c r="V68" i="50"/>
  <c r="AM68" i="50"/>
  <c r="AM9" i="50"/>
  <c r="AM66" i="50"/>
  <c r="AA76" i="50"/>
  <c r="AK40" i="50"/>
  <c r="AM35" i="50"/>
  <c r="AC67" i="50"/>
  <c r="AF67" i="50" s="1"/>
  <c r="AH40" i="50"/>
  <c r="AC40" i="50"/>
  <c r="AM40" i="50" s="1"/>
  <c r="AM88" i="50"/>
  <c r="AM81" i="50"/>
  <c r="AA52" i="50"/>
  <c r="AC52" i="50"/>
  <c r="AM43" i="50"/>
  <c r="AM44" i="50"/>
  <c r="AF44" i="50"/>
  <c r="AM50" i="50"/>
  <c r="AA53" i="50"/>
  <c r="AC53" i="50"/>
  <c r="AF53" i="50" s="1"/>
  <c r="AM16" i="50"/>
  <c r="AC31" i="50"/>
  <c r="AF31" i="50" s="1"/>
  <c r="V70" i="50"/>
  <c r="AM70" i="50"/>
  <c r="AC22" i="50"/>
  <c r="AM12" i="50"/>
  <c r="AM83" i="50"/>
  <c r="V71" i="50"/>
  <c r="AM71" i="50"/>
  <c r="AA4" i="50"/>
  <c r="AM45" i="50"/>
  <c r="AM84" i="50"/>
  <c r="AM24" i="50"/>
  <c r="AM10" i="50"/>
  <c r="AC69" i="50"/>
  <c r="AF69" i="50" s="1"/>
  <c r="AM29" i="50"/>
  <c r="AA72" i="50"/>
  <c r="AC72" i="50"/>
  <c r="V58" i="49"/>
  <c r="Y58" i="49" s="1"/>
  <c r="M75" i="49"/>
  <c r="Q95" i="49" s="1"/>
  <c r="Q96" i="49" s="1"/>
  <c r="Q58" i="49"/>
  <c r="T58" i="49" s="1"/>
  <c r="AA58" i="49"/>
  <c r="AD58" i="49" s="1"/>
  <c r="Q100" i="49"/>
  <c r="L22" i="49"/>
  <c r="L75" i="49"/>
  <c r="M10" i="49"/>
  <c r="L10" i="49"/>
  <c r="L6" i="49"/>
  <c r="M6" i="49"/>
  <c r="O6" i="49" s="1"/>
  <c r="K57" i="49"/>
  <c r="Q62" i="49"/>
  <c r="V62" i="49"/>
  <c r="Y62" i="49" s="1"/>
  <c r="AA62" i="49"/>
  <c r="AD62" i="49" s="1"/>
  <c r="AF62" i="49"/>
  <c r="AI62" i="49" s="1"/>
  <c r="V4" i="50"/>
  <c r="V40" i="50"/>
  <c r="V76" i="50"/>
  <c r="AH58" i="50"/>
  <c r="AK59" i="50"/>
  <c r="AK58" i="50" s="1"/>
  <c r="AF59" i="50"/>
  <c r="V59" i="50"/>
  <c r="S58" i="50"/>
  <c r="AA59" i="50"/>
  <c r="X58" i="50"/>
  <c r="AA42" i="49"/>
  <c r="AF42" i="49"/>
  <c r="Q42" i="49"/>
  <c r="V42" i="49"/>
  <c r="Q26" i="49"/>
  <c r="T26" i="49" s="1"/>
  <c r="AA26" i="49"/>
  <c r="AD26" i="49" s="1"/>
  <c r="AF26" i="49"/>
  <c r="AI26" i="49" s="1"/>
  <c r="V26" i="49"/>
  <c r="Y26" i="49" s="1"/>
  <c r="AK84" i="49"/>
  <c r="AK43" i="49"/>
  <c r="AK47" i="49"/>
  <c r="AK51" i="49"/>
  <c r="AK34" i="49"/>
  <c r="AK88" i="49"/>
  <c r="AK35" i="49"/>
  <c r="Q76" i="49"/>
  <c r="T76" i="49" s="1"/>
  <c r="V76" i="49"/>
  <c r="AA76" i="49"/>
  <c r="AF76" i="49"/>
  <c r="AK53" i="49"/>
  <c r="AK78" i="49"/>
  <c r="AK83" i="49"/>
  <c r="AK89" i="49"/>
  <c r="AK82" i="49"/>
  <c r="AK86" i="49"/>
  <c r="AK80" i="49"/>
  <c r="AK79" i="49"/>
  <c r="AK85" i="49"/>
  <c r="AK77" i="49"/>
  <c r="K75" i="49"/>
  <c r="AK81" i="49"/>
  <c r="AK87" i="49"/>
  <c r="AK69" i="49"/>
  <c r="AK61" i="49"/>
  <c r="AK65" i="49"/>
  <c r="AK68" i="49"/>
  <c r="AK59" i="49"/>
  <c r="AI58" i="49"/>
  <c r="AK63" i="49"/>
  <c r="AK66" i="49"/>
  <c r="AK70" i="49"/>
  <c r="AK64" i="49"/>
  <c r="AK60" i="49"/>
  <c r="AK71" i="49"/>
  <c r="AK67" i="49"/>
  <c r="AK45" i="49"/>
  <c r="T44" i="49"/>
  <c r="AK44" i="49"/>
  <c r="AK49" i="49"/>
  <c r="AK41" i="49"/>
  <c r="AK46" i="49"/>
  <c r="AK48" i="49"/>
  <c r="AK52" i="49"/>
  <c r="AK50" i="49"/>
  <c r="AK28" i="49"/>
  <c r="AK32" i="49"/>
  <c r="AK31" i="49"/>
  <c r="AI23" i="49"/>
  <c r="AK29" i="49"/>
  <c r="AK25" i="49"/>
  <c r="AK24" i="49"/>
  <c r="AK36" i="49"/>
  <c r="K22" i="49"/>
  <c r="AK23" i="49"/>
  <c r="Y23" i="49"/>
  <c r="T23" i="49"/>
  <c r="AD23" i="49"/>
  <c r="AK33" i="49"/>
  <c r="AK30" i="49"/>
  <c r="AK27" i="49"/>
  <c r="AK58" i="49" l="1"/>
  <c r="AA58" i="50"/>
  <c r="V58" i="50"/>
  <c r="Q57" i="49"/>
  <c r="AC58" i="50"/>
  <c r="AM58" i="50" s="1"/>
  <c r="AM61" i="50"/>
  <c r="AF52" i="50"/>
  <c r="AF40" i="50" s="1"/>
  <c r="AM52" i="50"/>
  <c r="AM53" i="50"/>
  <c r="AF72" i="50"/>
  <c r="AF58" i="50" s="1"/>
  <c r="AM72" i="50"/>
  <c r="AM67" i="50"/>
  <c r="N10" i="49"/>
  <c r="O10" i="49" s="1"/>
  <c r="L4" i="49"/>
  <c r="T62" i="49"/>
  <c r="T57" i="49" s="1"/>
  <c r="M4" i="49"/>
  <c r="AA22" i="49"/>
  <c r="AI57" i="49"/>
  <c r="AK42" i="49"/>
  <c r="AF57" i="49"/>
  <c r="AD22" i="49"/>
  <c r="V57" i="49"/>
  <c r="Y57" i="49"/>
  <c r="AF22" i="49"/>
  <c r="AI22" i="49"/>
  <c r="AK76" i="49"/>
  <c r="V75" i="49"/>
  <c r="Y76" i="49"/>
  <c r="Y75" i="49" s="1"/>
  <c r="AD76" i="49"/>
  <c r="AD75" i="49" s="1"/>
  <c r="AA75" i="49"/>
  <c r="AF75" i="49"/>
  <c r="AI76" i="49"/>
  <c r="AI75" i="49" s="1"/>
  <c r="Q75" i="49"/>
  <c r="T75" i="49"/>
  <c r="AD57" i="49"/>
  <c r="AK62" i="49"/>
  <c r="AA57" i="49"/>
  <c r="AI42" i="49"/>
  <c r="AI40" i="49" s="1"/>
  <c r="AF40" i="49"/>
  <c r="AA40" i="49"/>
  <c r="AD42" i="49"/>
  <c r="AD40" i="49" s="1"/>
  <c r="T42" i="49"/>
  <c r="T40" i="49" s="1"/>
  <c r="Q40" i="49"/>
  <c r="V40" i="49"/>
  <c r="Y42" i="49"/>
  <c r="Y40" i="49" s="1"/>
  <c r="Q22" i="49"/>
  <c r="T22" i="49"/>
  <c r="V22" i="49"/>
  <c r="AK26" i="49"/>
  <c r="Y22" i="49"/>
  <c r="Q93" i="49" l="1"/>
  <c r="Q97" i="49" s="1"/>
  <c r="O4" i="49"/>
  <c r="AK75" i="49"/>
  <c r="AK22" i="49"/>
  <c r="AK40" i="49"/>
  <c r="AK57" i="49"/>
  <c r="Q104" i="28" l="1"/>
  <c r="Q103" i="28"/>
  <c r="Q102" i="28"/>
  <c r="O102" i="28"/>
  <c r="Q91" i="28"/>
  <c r="Q90" i="28"/>
  <c r="Q89" i="28"/>
  <c r="O89" i="28"/>
  <c r="Q86" i="28"/>
  <c r="Q80" i="28"/>
  <c r="P5" i="49"/>
  <c r="S4" i="49"/>
  <c r="AK19" i="49"/>
  <c r="K18" i="49"/>
  <c r="K17" i="49"/>
  <c r="K16" i="49"/>
  <c r="K15" i="49"/>
  <c r="K14" i="49"/>
  <c r="K13" i="49"/>
  <c r="K12" i="49"/>
  <c r="K11" i="49"/>
  <c r="K10" i="49"/>
  <c r="K9" i="49"/>
  <c r="K8" i="49"/>
  <c r="K7" i="49"/>
  <c r="K6" i="49"/>
  <c r="K5" i="49"/>
  <c r="Y16" i="13"/>
  <c r="Y41" i="11"/>
  <c r="Y21" i="11"/>
  <c r="X21" i="11"/>
  <c r="Y26" i="11"/>
  <c r="Y31" i="11"/>
  <c r="Y56" i="10"/>
  <c r="Y46" i="10"/>
  <c r="Y26" i="10"/>
  <c r="Y21" i="10"/>
  <c r="Y16" i="10"/>
  <c r="Y11" i="10"/>
  <c r="R38" i="28"/>
  <c r="R37" i="28"/>
  <c r="AF14" i="49" l="1"/>
  <c r="AI14" i="49" s="1"/>
  <c r="AF10" i="49"/>
  <c r="AI10" i="49" s="1"/>
  <c r="AA15" i="49"/>
  <c r="AD15" i="49" s="1"/>
  <c r="Q8" i="49"/>
  <c r="T8" i="49" s="1"/>
  <c r="AA9" i="49"/>
  <c r="AD9" i="49" s="1"/>
  <c r="AF16" i="49"/>
  <c r="AI16" i="49" s="1"/>
  <c r="AA11" i="49"/>
  <c r="AD11" i="49" s="1"/>
  <c r="AA17" i="49"/>
  <c r="AD17" i="49" s="1"/>
  <c r="V14" i="49"/>
  <c r="Y14" i="49" s="1"/>
  <c r="D4" i="49"/>
  <c r="D91" i="49" s="1"/>
  <c r="AA7" i="49"/>
  <c r="AD7" i="49" s="1"/>
  <c r="V7" i="49"/>
  <c r="Y7" i="49" s="1"/>
  <c r="AF6" i="49"/>
  <c r="AI6" i="49" s="1"/>
  <c r="AF12" i="49"/>
  <c r="AI12" i="49" s="1"/>
  <c r="AF18" i="49"/>
  <c r="AI18" i="49" s="1"/>
  <c r="V18" i="49"/>
  <c r="Y18" i="49" s="1"/>
  <c r="AA5" i="49"/>
  <c r="AD5" i="49" s="1"/>
  <c r="V15" i="49"/>
  <c r="Y15" i="49" s="1"/>
  <c r="Q15" i="49"/>
  <c r="T15" i="49" s="1"/>
  <c r="AF15" i="49"/>
  <c r="AA10" i="49"/>
  <c r="AD10" i="49" s="1"/>
  <c r="AA13" i="49"/>
  <c r="AD13" i="49" s="1"/>
  <c r="AF13" i="49"/>
  <c r="AI13" i="49" s="1"/>
  <c r="V13" i="49"/>
  <c r="Y13" i="49" s="1"/>
  <c r="Q13" i="49"/>
  <c r="Q7" i="49"/>
  <c r="T7" i="49" s="1"/>
  <c r="V8" i="49"/>
  <c r="Y8" i="49" s="1"/>
  <c r="V12" i="49"/>
  <c r="Y12" i="49" s="1"/>
  <c r="V16" i="49"/>
  <c r="Y16" i="49" s="1"/>
  <c r="AA16" i="49"/>
  <c r="AD16" i="49" s="1"/>
  <c r="Q12" i="49"/>
  <c r="T12" i="49" s="1"/>
  <c r="AA12" i="49"/>
  <c r="AD12" i="49" s="1"/>
  <c r="AF7" i="49"/>
  <c r="AI7" i="49" s="1"/>
  <c r="Q6" i="49"/>
  <c r="T6" i="49" s="1"/>
  <c r="Q10" i="49"/>
  <c r="T10" i="49" s="1"/>
  <c r="Q14" i="49"/>
  <c r="T14" i="49" s="1"/>
  <c r="Q18" i="49"/>
  <c r="T18" i="49" s="1"/>
  <c r="V6" i="49"/>
  <c r="Y6" i="49" s="1"/>
  <c r="AA6" i="49"/>
  <c r="AD6" i="49" s="1"/>
  <c r="AA14" i="49"/>
  <c r="AD14" i="49" s="1"/>
  <c r="AA18" i="49"/>
  <c r="AD18" i="49" s="1"/>
  <c r="D92" i="10"/>
  <c r="I97" i="10"/>
  <c r="I96" i="10"/>
  <c r="H96" i="10"/>
  <c r="G96" i="10"/>
  <c r="I93" i="10"/>
  <c r="H93" i="10"/>
  <c r="G93" i="10"/>
  <c r="R31" i="41"/>
  <c r="F154" i="47"/>
  <c r="G154" i="47"/>
  <c r="H154" i="47"/>
  <c r="I154" i="47"/>
  <c r="J154" i="47"/>
  <c r="K154" i="47"/>
  <c r="L154" i="47"/>
  <c r="E154" i="47"/>
  <c r="F127" i="47"/>
  <c r="G127" i="47"/>
  <c r="H127" i="47"/>
  <c r="I127" i="47"/>
  <c r="J127" i="47"/>
  <c r="K127" i="47"/>
  <c r="L127" i="47"/>
  <c r="E127" i="47"/>
  <c r="F117" i="47"/>
  <c r="G117" i="47"/>
  <c r="H117" i="47"/>
  <c r="I117" i="47"/>
  <c r="J117" i="47"/>
  <c r="K117" i="47"/>
  <c r="L117" i="47"/>
  <c r="E117" i="47"/>
  <c r="F108" i="47"/>
  <c r="G108" i="47"/>
  <c r="H108" i="47"/>
  <c r="I108" i="47"/>
  <c r="J108" i="47"/>
  <c r="K108" i="47"/>
  <c r="L108" i="47"/>
  <c r="E108" i="47"/>
  <c r="F90" i="47"/>
  <c r="G90" i="47"/>
  <c r="H90" i="47"/>
  <c r="I90" i="47"/>
  <c r="J90" i="47"/>
  <c r="K90" i="47"/>
  <c r="L90" i="47"/>
  <c r="E90" i="47"/>
  <c r="F72" i="47"/>
  <c r="G72" i="47"/>
  <c r="H72" i="47"/>
  <c r="I72" i="47"/>
  <c r="J72" i="47"/>
  <c r="K72" i="47"/>
  <c r="L72" i="47"/>
  <c r="E74" i="47"/>
  <c r="E72" i="47"/>
  <c r="F185" i="48"/>
  <c r="G185" i="48"/>
  <c r="E185" i="48"/>
  <c r="F167" i="48"/>
  <c r="G167" i="48"/>
  <c r="E167" i="48"/>
  <c r="F156" i="48"/>
  <c r="G156" i="48"/>
  <c r="E156" i="48"/>
  <c r="F154" i="48"/>
  <c r="G154" i="48"/>
  <c r="E154" i="48"/>
  <c r="F129" i="48"/>
  <c r="G129" i="48"/>
  <c r="E129" i="48"/>
  <c r="F127" i="48"/>
  <c r="G127" i="48"/>
  <c r="E127" i="48"/>
  <c r="F110" i="48"/>
  <c r="G110" i="48"/>
  <c r="E110" i="48"/>
  <c r="F108" i="48"/>
  <c r="G108" i="48"/>
  <c r="E108" i="48"/>
  <c r="F92" i="48"/>
  <c r="G92" i="48"/>
  <c r="E92" i="48"/>
  <c r="F90" i="48"/>
  <c r="G90" i="48"/>
  <c r="E90" i="48"/>
  <c r="F65" i="48"/>
  <c r="G65" i="48"/>
  <c r="E65" i="48"/>
  <c r="F63" i="48"/>
  <c r="G63" i="48"/>
  <c r="E63" i="48"/>
  <c r="F19" i="47"/>
  <c r="F156" i="47" s="1"/>
  <c r="G19" i="47"/>
  <c r="G156" i="47" s="1"/>
  <c r="H19" i="47"/>
  <c r="H65" i="47" s="1"/>
  <c r="I19" i="47"/>
  <c r="I65" i="47" s="1"/>
  <c r="J19" i="47"/>
  <c r="J65" i="47" s="1"/>
  <c r="K19" i="47"/>
  <c r="K65" i="47" s="1"/>
  <c r="L19" i="47"/>
  <c r="L65" i="47" s="1"/>
  <c r="E19" i="47"/>
  <c r="E65" i="47" s="1"/>
  <c r="F224" i="48"/>
  <c r="G224" i="48"/>
  <c r="F227" i="48"/>
  <c r="G227" i="48"/>
  <c r="F229" i="48"/>
  <c r="G229" i="48"/>
  <c r="F230" i="48"/>
  <c r="G230" i="48"/>
  <c r="G65" i="47"/>
  <c r="F65" i="47"/>
  <c r="L63" i="47"/>
  <c r="K63" i="47"/>
  <c r="J63" i="47"/>
  <c r="I63" i="47"/>
  <c r="H63" i="47"/>
  <c r="G63" i="47"/>
  <c r="F63" i="47"/>
  <c r="E63" i="47"/>
  <c r="E65" i="38"/>
  <c r="E63" i="38"/>
  <c r="AI15" i="49" l="1"/>
  <c r="Q16" i="49"/>
  <c r="T16" i="49" s="1"/>
  <c r="AF11" i="49"/>
  <c r="AI11" i="49" s="1"/>
  <c r="AA8" i="49"/>
  <c r="AF9" i="49"/>
  <c r="AF8" i="49"/>
  <c r="AI8" i="49" s="1"/>
  <c r="V9" i="49"/>
  <c r="Y9" i="49" s="1"/>
  <c r="AF17" i="49"/>
  <c r="AI17" i="49" s="1"/>
  <c r="V17" i="49"/>
  <c r="Y17" i="49" s="1"/>
  <c r="Q9" i="49"/>
  <c r="T9" i="49" s="1"/>
  <c r="V10" i="49"/>
  <c r="Y10" i="49" s="1"/>
  <c r="V11" i="49"/>
  <c r="Y11" i="49" s="1"/>
  <c r="Q11" i="49"/>
  <c r="Q17" i="49"/>
  <c r="T17" i="49" s="1"/>
  <c r="AK13" i="49"/>
  <c r="T13" i="49"/>
  <c r="AK18" i="49"/>
  <c r="V5" i="49"/>
  <c r="K4" i="49"/>
  <c r="Q5" i="49"/>
  <c r="AK15" i="49"/>
  <c r="AK12" i="49"/>
  <c r="AK6" i="49"/>
  <c r="AK7" i="49"/>
  <c r="AF5" i="49"/>
  <c r="AK14" i="49"/>
  <c r="E92" i="47"/>
  <c r="E110" i="47"/>
  <c r="E119" i="47"/>
  <c r="E129" i="47"/>
  <c r="E156" i="47"/>
  <c r="L74" i="47"/>
  <c r="L92" i="47"/>
  <c r="L110" i="47"/>
  <c r="L119" i="47"/>
  <c r="L129" i="47"/>
  <c r="L156" i="47"/>
  <c r="K74" i="47"/>
  <c r="K92" i="47"/>
  <c r="K110" i="47"/>
  <c r="K119" i="47"/>
  <c r="K129" i="47"/>
  <c r="K156" i="47"/>
  <c r="J74" i="47"/>
  <c r="J92" i="47"/>
  <c r="J110" i="47"/>
  <c r="J119" i="47"/>
  <c r="J129" i="47"/>
  <c r="J156" i="47"/>
  <c r="I74" i="47"/>
  <c r="I92" i="47"/>
  <c r="I110" i="47"/>
  <c r="I119" i="47"/>
  <c r="I129" i="47"/>
  <c r="I156" i="47"/>
  <c r="H74" i="47"/>
  <c r="H92" i="47"/>
  <c r="H110" i="47"/>
  <c r="H119" i="47"/>
  <c r="H129" i="47"/>
  <c r="H156" i="47"/>
  <c r="G74" i="47"/>
  <c r="G92" i="47"/>
  <c r="G110" i="47"/>
  <c r="G119" i="47"/>
  <c r="G129" i="47"/>
  <c r="F74" i="47"/>
  <c r="F92" i="47"/>
  <c r="F110" i="47"/>
  <c r="F119" i="47"/>
  <c r="F129" i="47"/>
  <c r="AK8" i="49" l="1"/>
  <c r="AI9" i="49"/>
  <c r="AK16" i="49"/>
  <c r="AK11" i="49"/>
  <c r="T11" i="49"/>
  <c r="AA4" i="49"/>
  <c r="AD8" i="49"/>
  <c r="AD4" i="49" s="1"/>
  <c r="AF4" i="49"/>
  <c r="AI5" i="49"/>
  <c r="AK9" i="49"/>
  <c r="AK17" i="49"/>
  <c r="AK10" i="49"/>
  <c r="V4" i="49"/>
  <c r="Y5" i="49"/>
  <c r="Y4" i="49" s="1"/>
  <c r="Q4" i="49"/>
  <c r="T5" i="49"/>
  <c r="AK5" i="49"/>
  <c r="B32" i="39"/>
  <c r="B31" i="39"/>
  <c r="B30" i="39"/>
  <c r="B39" i="39"/>
  <c r="G5" i="48"/>
  <c r="F5" i="48"/>
  <c r="F6" i="48" s="1"/>
  <c r="E5" i="48"/>
  <c r="E6" i="48" s="1"/>
  <c r="H18" i="39"/>
  <c r="G18" i="39"/>
  <c r="F18" i="39"/>
  <c r="B63" i="39"/>
  <c r="M218" i="47"/>
  <c r="N218" i="47"/>
  <c r="O218" i="47"/>
  <c r="P218" i="47"/>
  <c r="Q218" i="47"/>
  <c r="M201" i="47"/>
  <c r="N201" i="47"/>
  <c r="O201" i="47"/>
  <c r="P201" i="47"/>
  <c r="Q201" i="47"/>
  <c r="M183" i="47"/>
  <c r="N183" i="47"/>
  <c r="O183" i="47"/>
  <c r="P183" i="47"/>
  <c r="Q183" i="47"/>
  <c r="M165" i="47"/>
  <c r="N165" i="47"/>
  <c r="O165" i="47"/>
  <c r="P165" i="47"/>
  <c r="Q165" i="47"/>
  <c r="B56" i="39"/>
  <c r="B55" i="39"/>
  <c r="B80" i="39"/>
  <c r="B54" i="39"/>
  <c r="M152" i="47"/>
  <c r="N152" i="47"/>
  <c r="O152" i="47"/>
  <c r="P152" i="47"/>
  <c r="Q152" i="47"/>
  <c r="M125" i="47"/>
  <c r="N125" i="47"/>
  <c r="O125" i="47"/>
  <c r="P125" i="47"/>
  <c r="Q125" i="47"/>
  <c r="M106" i="47"/>
  <c r="N106" i="47"/>
  <c r="O106" i="47"/>
  <c r="P106" i="47"/>
  <c r="Q106" i="47"/>
  <c r="M61" i="47"/>
  <c r="N61" i="47"/>
  <c r="O61" i="47"/>
  <c r="P61" i="47"/>
  <c r="Q61" i="47"/>
  <c r="M88" i="47"/>
  <c r="N88" i="47"/>
  <c r="O88" i="47"/>
  <c r="P88" i="47"/>
  <c r="Q88" i="47"/>
  <c r="M70" i="47"/>
  <c r="N70" i="47"/>
  <c r="O70" i="47"/>
  <c r="P70" i="47"/>
  <c r="Q70" i="47"/>
  <c r="E3" i="39"/>
  <c r="F4" i="39" s="1"/>
  <c r="L5" i="47"/>
  <c r="L6" i="47" s="1"/>
  <c r="K5" i="47"/>
  <c r="L42" i="39" s="1"/>
  <c r="J5" i="47"/>
  <c r="K42" i="39" s="1"/>
  <c r="I5" i="47"/>
  <c r="J42" i="39" s="1"/>
  <c r="H5" i="47"/>
  <c r="I42" i="39" s="1"/>
  <c r="G5" i="47"/>
  <c r="H42" i="39" s="1"/>
  <c r="F5" i="47"/>
  <c r="G42" i="39" s="1"/>
  <c r="E5" i="47"/>
  <c r="E6" i="47" s="1"/>
  <c r="O26" i="47"/>
  <c r="P26" i="47"/>
  <c r="Q26" i="47"/>
  <c r="M36" i="47"/>
  <c r="M41" i="47" s="1"/>
  <c r="N36" i="47"/>
  <c r="N41" i="47" s="1"/>
  <c r="O36" i="47"/>
  <c r="O41" i="47" s="1"/>
  <c r="P36" i="47"/>
  <c r="P41" i="47" s="1"/>
  <c r="Q36" i="47"/>
  <c r="Q41" i="47" s="1"/>
  <c r="N58" i="47"/>
  <c r="O58" i="47"/>
  <c r="P58" i="47"/>
  <c r="Q58" i="47"/>
  <c r="M65" i="47"/>
  <c r="N65" i="47"/>
  <c r="O65" i="47"/>
  <c r="P65" i="47"/>
  <c r="Q65" i="47"/>
  <c r="M72" i="47"/>
  <c r="N72" i="47"/>
  <c r="O72" i="47"/>
  <c r="P72" i="47"/>
  <c r="Q72" i="47"/>
  <c r="M74" i="47"/>
  <c r="N74" i="47"/>
  <c r="O74" i="47"/>
  <c r="P74" i="47"/>
  <c r="Q74" i="47"/>
  <c r="M81" i="47"/>
  <c r="N81" i="47"/>
  <c r="O81" i="47"/>
  <c r="P81" i="47"/>
  <c r="Q81" i="47"/>
  <c r="M82" i="47"/>
  <c r="N82" i="47"/>
  <c r="O82" i="47"/>
  <c r="P82" i="47"/>
  <c r="Q82" i="47"/>
  <c r="M83" i="47"/>
  <c r="N83" i="47"/>
  <c r="O83" i="47"/>
  <c r="P83" i="47"/>
  <c r="Q83" i="47"/>
  <c r="M92" i="47"/>
  <c r="N92" i="47"/>
  <c r="O92" i="47"/>
  <c r="P92" i="47"/>
  <c r="Q92" i="47"/>
  <c r="M99" i="47"/>
  <c r="N99" i="47"/>
  <c r="O99" i="47"/>
  <c r="P99" i="47"/>
  <c r="Q99" i="47"/>
  <c r="N100" i="47"/>
  <c r="O100" i="47"/>
  <c r="P100" i="47"/>
  <c r="Q100" i="47"/>
  <c r="M101" i="47"/>
  <c r="N101" i="47"/>
  <c r="O101" i="47"/>
  <c r="P101" i="47"/>
  <c r="Q101" i="47"/>
  <c r="M110" i="47"/>
  <c r="N110" i="47"/>
  <c r="O110" i="47"/>
  <c r="P110" i="47"/>
  <c r="Q110" i="47"/>
  <c r="N117" i="47"/>
  <c r="O117" i="47"/>
  <c r="P117" i="47"/>
  <c r="Q117" i="47"/>
  <c r="N119" i="47"/>
  <c r="O119" i="47"/>
  <c r="P119" i="47"/>
  <c r="Q119" i="47"/>
  <c r="M127" i="47"/>
  <c r="N127" i="47"/>
  <c r="O127" i="47"/>
  <c r="P127" i="47"/>
  <c r="Q127" i="47"/>
  <c r="M129" i="47"/>
  <c r="N129" i="47"/>
  <c r="O129" i="47"/>
  <c r="P129" i="47"/>
  <c r="Q129" i="47"/>
  <c r="M154" i="47"/>
  <c r="N154" i="47"/>
  <c r="O154" i="47"/>
  <c r="P154" i="47"/>
  <c r="Q154" i="47"/>
  <c r="M156" i="47"/>
  <c r="N156" i="47"/>
  <c r="O156" i="47"/>
  <c r="P156" i="47"/>
  <c r="Q156" i="47"/>
  <c r="M203" i="47"/>
  <c r="N203" i="47"/>
  <c r="O203" i="47"/>
  <c r="P203" i="47"/>
  <c r="Q203" i="47"/>
  <c r="M303" i="47"/>
  <c r="M331" i="47"/>
  <c r="N331" i="47"/>
  <c r="O331" i="47"/>
  <c r="P331" i="47"/>
  <c r="Q331" i="47"/>
  <c r="M335" i="47"/>
  <c r="N335" i="47"/>
  <c r="O335" i="47"/>
  <c r="P335" i="47"/>
  <c r="Q335" i="47"/>
  <c r="M336" i="47"/>
  <c r="N336" i="47"/>
  <c r="O336" i="47"/>
  <c r="P336" i="47"/>
  <c r="Q336" i="47"/>
  <c r="M337" i="47"/>
  <c r="N337" i="47"/>
  <c r="O337" i="47"/>
  <c r="P337" i="47"/>
  <c r="Q337" i="47"/>
  <c r="M338" i="47"/>
  <c r="N338" i="47"/>
  <c r="O338" i="47"/>
  <c r="P338" i="47"/>
  <c r="Q338" i="47"/>
  <c r="M339" i="47"/>
  <c r="N339" i="47"/>
  <c r="O339" i="47"/>
  <c r="P339" i="47"/>
  <c r="Q339" i="47"/>
  <c r="M340" i="47"/>
  <c r="N340" i="47"/>
  <c r="O340" i="47"/>
  <c r="P340" i="47"/>
  <c r="Q340" i="47"/>
  <c r="M341" i="47"/>
  <c r="N341" i="47"/>
  <c r="O341" i="47"/>
  <c r="P341" i="47"/>
  <c r="Q341" i="47"/>
  <c r="M342" i="47"/>
  <c r="N342" i="47"/>
  <c r="O342" i="47"/>
  <c r="P342" i="47"/>
  <c r="Q342" i="47"/>
  <c r="M343" i="47"/>
  <c r="N343" i="47"/>
  <c r="O343" i="47"/>
  <c r="P343" i="47"/>
  <c r="Q343" i="47"/>
  <c r="M344" i="47"/>
  <c r="N344" i="47"/>
  <c r="O344" i="47"/>
  <c r="P344" i="47"/>
  <c r="Q344" i="47"/>
  <c r="M345" i="47"/>
  <c r="N345" i="47"/>
  <c r="O345" i="47"/>
  <c r="P345" i="47"/>
  <c r="Q345" i="47"/>
  <c r="M346" i="47"/>
  <c r="N346" i="47"/>
  <c r="O346" i="47"/>
  <c r="P346" i="47"/>
  <c r="Q346" i="47"/>
  <c r="M347" i="47"/>
  <c r="N347" i="47"/>
  <c r="O347" i="47"/>
  <c r="P347" i="47"/>
  <c r="Q347" i="47"/>
  <c r="M348" i="47"/>
  <c r="N348" i="47"/>
  <c r="O348" i="47"/>
  <c r="P348" i="47"/>
  <c r="Q348" i="47"/>
  <c r="M349" i="47"/>
  <c r="N349" i="47"/>
  <c r="O349" i="47"/>
  <c r="P349" i="47"/>
  <c r="Q349" i="47"/>
  <c r="M350" i="47"/>
  <c r="N350" i="47"/>
  <c r="O350" i="47"/>
  <c r="P350" i="47"/>
  <c r="Q350" i="47"/>
  <c r="M351" i="47"/>
  <c r="N351" i="47"/>
  <c r="O351" i="47"/>
  <c r="P351" i="47"/>
  <c r="Q351" i="47"/>
  <c r="M352" i="47"/>
  <c r="N352" i="47"/>
  <c r="O352" i="47"/>
  <c r="P352" i="47"/>
  <c r="Q352" i="47"/>
  <c r="M353" i="47"/>
  <c r="N353" i="47"/>
  <c r="O353" i="47"/>
  <c r="P353" i="47"/>
  <c r="Q353" i="47"/>
  <c r="M354" i="47"/>
  <c r="N354" i="47"/>
  <c r="O354" i="47"/>
  <c r="P354" i="47"/>
  <c r="Q354" i="47"/>
  <c r="M355" i="47"/>
  <c r="N355" i="47"/>
  <c r="O355" i="47"/>
  <c r="P355" i="47"/>
  <c r="Q355" i="47"/>
  <c r="M356" i="47"/>
  <c r="N356" i="47"/>
  <c r="O356" i="47"/>
  <c r="P356" i="47"/>
  <c r="Q356" i="47"/>
  <c r="M357" i="47"/>
  <c r="N357" i="47"/>
  <c r="O357" i="47"/>
  <c r="P357" i="47"/>
  <c r="Q357" i="47"/>
  <c r="M358" i="47"/>
  <c r="N358" i="47"/>
  <c r="O358" i="47"/>
  <c r="P358" i="47"/>
  <c r="Q358" i="47"/>
  <c r="Y327" i="48"/>
  <c r="X327" i="48"/>
  <c r="W327" i="48"/>
  <c r="V327" i="48"/>
  <c r="U327" i="48"/>
  <c r="T327" i="48"/>
  <c r="Q327" i="48"/>
  <c r="P327" i="48"/>
  <c r="O327" i="48"/>
  <c r="N327" i="48"/>
  <c r="M327" i="48"/>
  <c r="L327" i="48"/>
  <c r="K327" i="48"/>
  <c r="J327" i="48"/>
  <c r="I327" i="48"/>
  <c r="H327" i="48"/>
  <c r="G327" i="48"/>
  <c r="F327" i="48"/>
  <c r="E327" i="48"/>
  <c r="Y326" i="48"/>
  <c r="X326" i="48"/>
  <c r="W326" i="48"/>
  <c r="V326" i="48"/>
  <c r="U326" i="48"/>
  <c r="T326" i="48"/>
  <c r="Q326" i="48"/>
  <c r="P326" i="48"/>
  <c r="O326" i="48"/>
  <c r="N326" i="48"/>
  <c r="M326" i="48"/>
  <c r="L326" i="48"/>
  <c r="K326" i="48"/>
  <c r="J326" i="48"/>
  <c r="I326" i="48"/>
  <c r="H326" i="48"/>
  <c r="G326" i="48"/>
  <c r="F326" i="48"/>
  <c r="E326" i="48"/>
  <c r="Y325" i="48"/>
  <c r="X325" i="48"/>
  <c r="W325" i="48"/>
  <c r="V325" i="48"/>
  <c r="U325" i="48"/>
  <c r="T325" i="48"/>
  <c r="Q325" i="48"/>
  <c r="P325" i="48"/>
  <c r="O325" i="48"/>
  <c r="N325" i="48"/>
  <c r="M325" i="48"/>
  <c r="L325" i="48"/>
  <c r="K325" i="48"/>
  <c r="J325" i="48"/>
  <c r="I325" i="48"/>
  <c r="H325" i="48"/>
  <c r="G325" i="48"/>
  <c r="F325" i="48"/>
  <c r="E325" i="48"/>
  <c r="Y324" i="48"/>
  <c r="X324" i="48"/>
  <c r="W324" i="48"/>
  <c r="V324" i="48"/>
  <c r="U324" i="48"/>
  <c r="T324" i="48"/>
  <c r="Q324" i="48"/>
  <c r="P324" i="48"/>
  <c r="O324" i="48"/>
  <c r="N324" i="48"/>
  <c r="M324" i="48"/>
  <c r="L324" i="48"/>
  <c r="K324" i="48"/>
  <c r="J324" i="48"/>
  <c r="I324" i="48"/>
  <c r="H324" i="48"/>
  <c r="G324" i="48"/>
  <c r="F324" i="48"/>
  <c r="E324" i="48"/>
  <c r="Y323" i="48"/>
  <c r="X323" i="48"/>
  <c r="W323" i="48"/>
  <c r="V323" i="48"/>
  <c r="U323" i="48"/>
  <c r="T323" i="48"/>
  <c r="Q323" i="48"/>
  <c r="P323" i="48"/>
  <c r="O323" i="48"/>
  <c r="N323" i="48"/>
  <c r="M323" i="48"/>
  <c r="L323" i="48"/>
  <c r="K323" i="48"/>
  <c r="J323" i="48"/>
  <c r="I323" i="48"/>
  <c r="H323" i="48"/>
  <c r="G323" i="48"/>
  <c r="F323" i="48"/>
  <c r="E323" i="48"/>
  <c r="Y322" i="48"/>
  <c r="X322" i="48"/>
  <c r="W322" i="48"/>
  <c r="V322" i="48"/>
  <c r="U322" i="48"/>
  <c r="T322" i="48"/>
  <c r="Q322" i="48"/>
  <c r="P322" i="48"/>
  <c r="O322" i="48"/>
  <c r="N322" i="48"/>
  <c r="M322" i="48"/>
  <c r="L322" i="48"/>
  <c r="K322" i="48"/>
  <c r="J322" i="48"/>
  <c r="I322" i="48"/>
  <c r="H322" i="48"/>
  <c r="G322" i="48"/>
  <c r="F322" i="48"/>
  <c r="E322" i="48"/>
  <c r="Y321" i="48"/>
  <c r="X321" i="48"/>
  <c r="W321" i="48"/>
  <c r="V321" i="48"/>
  <c r="U321" i="48"/>
  <c r="T321" i="48"/>
  <c r="Q321" i="48"/>
  <c r="P321" i="48"/>
  <c r="O321" i="48"/>
  <c r="N321" i="48"/>
  <c r="M321" i="48"/>
  <c r="L321" i="48"/>
  <c r="K321" i="48"/>
  <c r="J321" i="48"/>
  <c r="I321" i="48"/>
  <c r="H321" i="48"/>
  <c r="G321" i="48"/>
  <c r="F321" i="48"/>
  <c r="E321" i="48"/>
  <c r="Y320" i="48"/>
  <c r="X320" i="48"/>
  <c r="W320" i="48"/>
  <c r="V320" i="48"/>
  <c r="U320" i="48"/>
  <c r="T320" i="48"/>
  <c r="Q320" i="48"/>
  <c r="P320" i="48"/>
  <c r="O320" i="48"/>
  <c r="N320" i="48"/>
  <c r="M320" i="48"/>
  <c r="L320" i="48"/>
  <c r="K320" i="48"/>
  <c r="J320" i="48"/>
  <c r="I320" i="48"/>
  <c r="H320" i="48"/>
  <c r="G320" i="48"/>
  <c r="F320" i="48"/>
  <c r="E320" i="48"/>
  <c r="Y319" i="48"/>
  <c r="X319" i="48"/>
  <c r="W319" i="48"/>
  <c r="V319" i="48"/>
  <c r="U319" i="48"/>
  <c r="T319" i="48"/>
  <c r="Q319" i="48"/>
  <c r="P319" i="48"/>
  <c r="O319" i="48"/>
  <c r="N319" i="48"/>
  <c r="M319" i="48"/>
  <c r="L319" i="48"/>
  <c r="K319" i="48"/>
  <c r="J319" i="48"/>
  <c r="I319" i="48"/>
  <c r="H319" i="48"/>
  <c r="G319" i="48"/>
  <c r="F319" i="48"/>
  <c r="E319" i="48"/>
  <c r="Y318" i="48"/>
  <c r="X318" i="48"/>
  <c r="W318" i="48"/>
  <c r="V318" i="48"/>
  <c r="U318" i="48"/>
  <c r="T318" i="48"/>
  <c r="Q318" i="48"/>
  <c r="P318" i="48"/>
  <c r="O318" i="48"/>
  <c r="N318" i="48"/>
  <c r="M318" i="48"/>
  <c r="L318" i="48"/>
  <c r="K318" i="48"/>
  <c r="J318" i="48"/>
  <c r="I318" i="48"/>
  <c r="H318" i="48"/>
  <c r="G318" i="48"/>
  <c r="F318" i="48"/>
  <c r="E318" i="48"/>
  <c r="Y317" i="48"/>
  <c r="X317" i="48"/>
  <c r="W317" i="48"/>
  <c r="V317" i="48"/>
  <c r="U317" i="48"/>
  <c r="T317" i="48"/>
  <c r="Q317" i="48"/>
  <c r="P317" i="48"/>
  <c r="O317" i="48"/>
  <c r="N317" i="48"/>
  <c r="M317" i="48"/>
  <c r="L317" i="48"/>
  <c r="K317" i="48"/>
  <c r="J317" i="48"/>
  <c r="I317" i="48"/>
  <c r="H317" i="48"/>
  <c r="G317" i="48"/>
  <c r="F317" i="48"/>
  <c r="E317" i="48"/>
  <c r="Y316" i="48"/>
  <c r="X316" i="48"/>
  <c r="W316" i="48"/>
  <c r="V316" i="48"/>
  <c r="U316" i="48"/>
  <c r="T316" i="48"/>
  <c r="Q316" i="48"/>
  <c r="P316" i="48"/>
  <c r="O316" i="48"/>
  <c r="N316" i="48"/>
  <c r="M316" i="48"/>
  <c r="L316" i="48"/>
  <c r="K316" i="48"/>
  <c r="J316" i="48"/>
  <c r="I316" i="48"/>
  <c r="H316" i="48"/>
  <c r="G316" i="48"/>
  <c r="F316" i="48"/>
  <c r="E316" i="48"/>
  <c r="Y315" i="48"/>
  <c r="X315" i="48"/>
  <c r="W315" i="48"/>
  <c r="V315" i="48"/>
  <c r="U315" i="48"/>
  <c r="T315" i="48"/>
  <c r="Q315" i="48"/>
  <c r="P315" i="48"/>
  <c r="O315" i="48"/>
  <c r="N315" i="48"/>
  <c r="M315" i="48"/>
  <c r="L315" i="48"/>
  <c r="K315" i="48"/>
  <c r="J315" i="48"/>
  <c r="I315" i="48"/>
  <c r="H315" i="48"/>
  <c r="G315" i="48"/>
  <c r="F315" i="48"/>
  <c r="E315" i="48"/>
  <c r="Y314" i="48"/>
  <c r="X314" i="48"/>
  <c r="W314" i="48"/>
  <c r="V314" i="48"/>
  <c r="U314" i="48"/>
  <c r="T314" i="48"/>
  <c r="Q314" i="48"/>
  <c r="P314" i="48"/>
  <c r="O314" i="48"/>
  <c r="N314" i="48"/>
  <c r="M314" i="48"/>
  <c r="L314" i="48"/>
  <c r="K314" i="48"/>
  <c r="J314" i="48"/>
  <c r="I314" i="48"/>
  <c r="H314" i="48"/>
  <c r="G314" i="48"/>
  <c r="F314" i="48"/>
  <c r="E314" i="48"/>
  <c r="Y313" i="48"/>
  <c r="X313" i="48"/>
  <c r="W313" i="48"/>
  <c r="V313" i="48"/>
  <c r="U313" i="48"/>
  <c r="T313" i="48"/>
  <c r="Q313" i="48"/>
  <c r="P313" i="48"/>
  <c r="O313" i="48"/>
  <c r="N313" i="48"/>
  <c r="M313" i="48"/>
  <c r="L313" i="48"/>
  <c r="K313" i="48"/>
  <c r="J313" i="48"/>
  <c r="I313" i="48"/>
  <c r="H313" i="48"/>
  <c r="G313" i="48"/>
  <c r="F313" i="48"/>
  <c r="E313" i="48"/>
  <c r="Y312" i="48"/>
  <c r="X312" i="48"/>
  <c r="W312" i="48"/>
  <c r="V312" i="48"/>
  <c r="U312" i="48"/>
  <c r="T312" i="48"/>
  <c r="Q312" i="48"/>
  <c r="P312" i="48"/>
  <c r="O312" i="48"/>
  <c r="N312" i="48"/>
  <c r="M312" i="48"/>
  <c r="L312" i="48"/>
  <c r="K312" i="48"/>
  <c r="J312" i="48"/>
  <c r="I312" i="48"/>
  <c r="H312" i="48"/>
  <c r="G312" i="48"/>
  <c r="F312" i="48"/>
  <c r="E312" i="48"/>
  <c r="Y311" i="48"/>
  <c r="X311" i="48"/>
  <c r="W311" i="48"/>
  <c r="V311" i="48"/>
  <c r="U311" i="48"/>
  <c r="T311" i="48"/>
  <c r="Q311" i="48"/>
  <c r="P311" i="48"/>
  <c r="O311" i="48"/>
  <c r="N311" i="48"/>
  <c r="M311" i="48"/>
  <c r="L311" i="48"/>
  <c r="K311" i="48"/>
  <c r="J311" i="48"/>
  <c r="I311" i="48"/>
  <c r="H311" i="48"/>
  <c r="G311" i="48"/>
  <c r="F311" i="48"/>
  <c r="E311" i="48"/>
  <c r="Y310" i="48"/>
  <c r="X310" i="48"/>
  <c r="W310" i="48"/>
  <c r="V310" i="48"/>
  <c r="U310" i="48"/>
  <c r="T310" i="48"/>
  <c r="Q310" i="48"/>
  <c r="P310" i="48"/>
  <c r="O310" i="48"/>
  <c r="N310" i="48"/>
  <c r="M310" i="48"/>
  <c r="L310" i="48"/>
  <c r="K310" i="48"/>
  <c r="J310" i="48"/>
  <c r="I310" i="48"/>
  <c r="H310" i="48"/>
  <c r="G310" i="48"/>
  <c r="F310" i="48"/>
  <c r="E310" i="48"/>
  <c r="Y309" i="48"/>
  <c r="X309" i="48"/>
  <c r="W309" i="48"/>
  <c r="V309" i="48"/>
  <c r="U309" i="48"/>
  <c r="T309" i="48"/>
  <c r="Q309" i="48"/>
  <c r="P309" i="48"/>
  <c r="O309" i="48"/>
  <c r="N309" i="48"/>
  <c r="M309" i="48"/>
  <c r="L309" i="48"/>
  <c r="K309" i="48"/>
  <c r="J309" i="48"/>
  <c r="I309" i="48"/>
  <c r="H309" i="48"/>
  <c r="G309" i="48"/>
  <c r="F309" i="48"/>
  <c r="E309" i="48"/>
  <c r="Y308" i="48"/>
  <c r="X308" i="48"/>
  <c r="W308" i="48"/>
  <c r="V308" i="48"/>
  <c r="U308" i="48"/>
  <c r="T308" i="48"/>
  <c r="Q308" i="48"/>
  <c r="P308" i="48"/>
  <c r="O308" i="48"/>
  <c r="N308" i="48"/>
  <c r="M308" i="48"/>
  <c r="L308" i="48"/>
  <c r="K308" i="48"/>
  <c r="J308" i="48"/>
  <c r="I308" i="48"/>
  <c r="H308" i="48"/>
  <c r="G308" i="48"/>
  <c r="F308" i="48"/>
  <c r="E308" i="48"/>
  <c r="Y307" i="48"/>
  <c r="X307" i="48"/>
  <c r="W307" i="48"/>
  <c r="V307" i="48"/>
  <c r="U307" i="48"/>
  <c r="T307" i="48"/>
  <c r="Q307" i="48"/>
  <c r="P307" i="48"/>
  <c r="O307" i="48"/>
  <c r="N307" i="48"/>
  <c r="M307" i="48"/>
  <c r="L307" i="48"/>
  <c r="K307" i="48"/>
  <c r="J307" i="48"/>
  <c r="I307" i="48"/>
  <c r="H307" i="48"/>
  <c r="G307" i="48"/>
  <c r="F307" i="48"/>
  <c r="E307" i="48"/>
  <c r="Y306" i="48"/>
  <c r="X306" i="48"/>
  <c r="W306" i="48"/>
  <c r="V306" i="48"/>
  <c r="U306" i="48"/>
  <c r="T306" i="48"/>
  <c r="Q306" i="48"/>
  <c r="P306" i="48"/>
  <c r="O306" i="48"/>
  <c r="N306" i="48"/>
  <c r="M306" i="48"/>
  <c r="L306" i="48"/>
  <c r="K306" i="48"/>
  <c r="J306" i="48"/>
  <c r="I306" i="48"/>
  <c r="H306" i="48"/>
  <c r="G306" i="48"/>
  <c r="F306" i="48"/>
  <c r="E306" i="48"/>
  <c r="Y305" i="48"/>
  <c r="X305" i="48"/>
  <c r="W305" i="48"/>
  <c r="V305" i="48"/>
  <c r="U305" i="48"/>
  <c r="T305" i="48"/>
  <c r="Q305" i="48"/>
  <c r="P305" i="48"/>
  <c r="O305" i="48"/>
  <c r="N305" i="48"/>
  <c r="M305" i="48"/>
  <c r="L305" i="48"/>
  <c r="K305" i="48"/>
  <c r="J305" i="48"/>
  <c r="I305" i="48"/>
  <c r="H305" i="48"/>
  <c r="G305" i="48"/>
  <c r="F305" i="48"/>
  <c r="E305" i="48"/>
  <c r="D305" i="48"/>
  <c r="D306" i="48" s="1"/>
  <c r="D307" i="48" s="1"/>
  <c r="D308" i="48" s="1"/>
  <c r="D309" i="48" s="1"/>
  <c r="D310" i="48" s="1"/>
  <c r="D311" i="48" s="1"/>
  <c r="D312" i="48" s="1"/>
  <c r="D313" i="48" s="1"/>
  <c r="D314" i="48" s="1"/>
  <c r="D315" i="48" s="1"/>
  <c r="D316" i="48" s="1"/>
  <c r="D317" i="48" s="1"/>
  <c r="D318" i="48" s="1"/>
  <c r="D319" i="48" s="1"/>
  <c r="D320" i="48" s="1"/>
  <c r="D321" i="48" s="1"/>
  <c r="D322" i="48" s="1"/>
  <c r="D323" i="48" s="1"/>
  <c r="D324" i="48" s="1"/>
  <c r="D325" i="48" s="1"/>
  <c r="D326" i="48" s="1"/>
  <c r="D327" i="48" s="1"/>
  <c r="Y304" i="48"/>
  <c r="X304" i="48"/>
  <c r="W304" i="48"/>
  <c r="V304" i="48"/>
  <c r="U304" i="48"/>
  <c r="T304" i="48"/>
  <c r="Q304" i="48"/>
  <c r="P304" i="48"/>
  <c r="O304" i="48"/>
  <c r="N304" i="48"/>
  <c r="M304" i="48"/>
  <c r="L304" i="48"/>
  <c r="K304" i="48"/>
  <c r="J304" i="48"/>
  <c r="I304" i="48"/>
  <c r="H304" i="48"/>
  <c r="G304" i="48"/>
  <c r="F304" i="48"/>
  <c r="E304" i="48"/>
  <c r="Y300" i="48"/>
  <c r="X300" i="48"/>
  <c r="W300" i="48"/>
  <c r="V300" i="48"/>
  <c r="U300" i="48"/>
  <c r="T300" i="48"/>
  <c r="Q300" i="48"/>
  <c r="P300" i="48"/>
  <c r="O300" i="48"/>
  <c r="N300" i="48"/>
  <c r="M300" i="48"/>
  <c r="L300" i="48"/>
  <c r="K300" i="48"/>
  <c r="J300" i="48"/>
  <c r="I300" i="48"/>
  <c r="H300" i="48"/>
  <c r="G300" i="48"/>
  <c r="F300" i="48"/>
  <c r="E300" i="48"/>
  <c r="D273" i="48"/>
  <c r="D274" i="48" s="1"/>
  <c r="D275" i="48" s="1"/>
  <c r="D276" i="48" s="1"/>
  <c r="D277" i="48" s="1"/>
  <c r="D278" i="48" s="1"/>
  <c r="D279" i="48" s="1"/>
  <c r="D280" i="48" s="1"/>
  <c r="D281" i="48" s="1"/>
  <c r="D282" i="48" s="1"/>
  <c r="D283" i="48" s="1"/>
  <c r="D284" i="48" s="1"/>
  <c r="D285" i="48" s="1"/>
  <c r="D286" i="48" s="1"/>
  <c r="D287" i="48" s="1"/>
  <c r="D288" i="48" s="1"/>
  <c r="D289" i="48" s="1"/>
  <c r="D290" i="48" s="1"/>
  <c r="D291" i="48" s="1"/>
  <c r="D292" i="48" s="1"/>
  <c r="D293" i="48" s="1"/>
  <c r="D294" i="48" s="1"/>
  <c r="D295" i="48" s="1"/>
  <c r="Y272" i="48"/>
  <c r="X272" i="48"/>
  <c r="W272" i="48"/>
  <c r="V272" i="48"/>
  <c r="U272" i="48"/>
  <c r="T272" i="48"/>
  <c r="M272" i="48"/>
  <c r="L272" i="48"/>
  <c r="K272" i="48"/>
  <c r="J272" i="48"/>
  <c r="I272" i="48"/>
  <c r="H272" i="48"/>
  <c r="G272" i="48"/>
  <c r="F272" i="48"/>
  <c r="E272" i="48"/>
  <c r="X268" i="48"/>
  <c r="W268" i="48"/>
  <c r="V268" i="48"/>
  <c r="U268" i="48"/>
  <c r="T268" i="48"/>
  <c r="I268" i="48"/>
  <c r="H268" i="48"/>
  <c r="G268" i="48"/>
  <c r="F268" i="48"/>
  <c r="E268" i="48"/>
  <c r="D241" i="48"/>
  <c r="D242" i="48" s="1"/>
  <c r="D243" i="48" s="1"/>
  <c r="D244" i="48" s="1"/>
  <c r="D245" i="48" s="1"/>
  <c r="D246" i="48" s="1"/>
  <c r="D247" i="48" s="1"/>
  <c r="D248" i="48" s="1"/>
  <c r="D249" i="48" s="1"/>
  <c r="D250" i="48" s="1"/>
  <c r="D251" i="48" s="1"/>
  <c r="D252" i="48" s="1"/>
  <c r="D253" i="48" s="1"/>
  <c r="D254" i="48" s="1"/>
  <c r="D255" i="48" s="1"/>
  <c r="D256" i="48" s="1"/>
  <c r="D257" i="48" s="1"/>
  <c r="D258" i="48" s="1"/>
  <c r="D259" i="48" s="1"/>
  <c r="D260" i="48" s="1"/>
  <c r="D261" i="48" s="1"/>
  <c r="D262" i="48" s="1"/>
  <c r="D263" i="48" s="1"/>
  <c r="X232" i="48"/>
  <c r="W232" i="48"/>
  <c r="V232" i="48"/>
  <c r="U232" i="48"/>
  <c r="T232" i="48"/>
  <c r="G232" i="48"/>
  <c r="F232" i="48"/>
  <c r="E232" i="48"/>
  <c r="X230" i="48"/>
  <c r="W230" i="48"/>
  <c r="V230" i="48"/>
  <c r="U230" i="48"/>
  <c r="T230" i="48"/>
  <c r="E230" i="48"/>
  <c r="X229" i="48"/>
  <c r="W229" i="48"/>
  <c r="V229" i="48"/>
  <c r="U229" i="48"/>
  <c r="T229" i="48"/>
  <c r="E229" i="48"/>
  <c r="X227" i="48"/>
  <c r="W227" i="48"/>
  <c r="V227" i="48"/>
  <c r="U227" i="48"/>
  <c r="T227" i="48"/>
  <c r="E227" i="48"/>
  <c r="X224" i="48"/>
  <c r="W224" i="48"/>
  <c r="V224" i="48"/>
  <c r="U224" i="48"/>
  <c r="T224" i="48"/>
  <c r="E224" i="48"/>
  <c r="D224" i="48"/>
  <c r="D225" i="48" s="1"/>
  <c r="D226" i="48" s="1"/>
  <c r="D227" i="48" s="1"/>
  <c r="D228" i="48" s="1"/>
  <c r="D229" i="48" s="1"/>
  <c r="D230" i="48" s="1"/>
  <c r="D231" i="48" s="1"/>
  <c r="D232" i="48" s="1"/>
  <c r="Y219" i="48"/>
  <c r="Y216" i="48" s="1"/>
  <c r="X219" i="48"/>
  <c r="X216" i="48" s="1"/>
  <c r="W219" i="48"/>
  <c r="W216" i="48" s="1"/>
  <c r="V219" i="48"/>
  <c r="V216" i="48" s="1"/>
  <c r="U219" i="48"/>
  <c r="U216" i="48" s="1"/>
  <c r="T219" i="48"/>
  <c r="T216" i="48" s="1"/>
  <c r="X214" i="48"/>
  <c r="W214" i="48"/>
  <c r="V214" i="48"/>
  <c r="U214" i="48"/>
  <c r="T214" i="48"/>
  <c r="I214" i="48"/>
  <c r="H214" i="48"/>
  <c r="G214" i="48"/>
  <c r="F214" i="48"/>
  <c r="E214" i="48"/>
  <c r="X213" i="48"/>
  <c r="W213" i="48"/>
  <c r="V213" i="48"/>
  <c r="U213" i="48"/>
  <c r="T213" i="48"/>
  <c r="I213" i="48"/>
  <c r="H213" i="48"/>
  <c r="G213" i="48"/>
  <c r="F213" i="48"/>
  <c r="E213" i="48"/>
  <c r="X212" i="48"/>
  <c r="W212" i="48"/>
  <c r="V212" i="48"/>
  <c r="U212" i="48"/>
  <c r="T212" i="48"/>
  <c r="I212" i="48"/>
  <c r="H212" i="48"/>
  <c r="G212" i="48"/>
  <c r="F212" i="48"/>
  <c r="E212" i="48"/>
  <c r="X211" i="48"/>
  <c r="W211" i="48"/>
  <c r="V211" i="48"/>
  <c r="U211" i="48"/>
  <c r="T211" i="48"/>
  <c r="I211" i="48"/>
  <c r="H211" i="48"/>
  <c r="G211" i="48"/>
  <c r="F211" i="48"/>
  <c r="E211" i="48"/>
  <c r="X210" i="48"/>
  <c r="W210" i="48"/>
  <c r="V210" i="48"/>
  <c r="U210" i="48"/>
  <c r="T210" i="48"/>
  <c r="I210" i="48"/>
  <c r="H210" i="48"/>
  <c r="G210" i="48"/>
  <c r="F210" i="48"/>
  <c r="E210" i="48"/>
  <c r="X209" i="48"/>
  <c r="W209" i="48"/>
  <c r="V209" i="48"/>
  <c r="U209" i="48"/>
  <c r="T209" i="48"/>
  <c r="I209" i="48"/>
  <c r="H209" i="48"/>
  <c r="G209" i="48"/>
  <c r="F209" i="48"/>
  <c r="E209" i="48"/>
  <c r="X208" i="48"/>
  <c r="W208" i="48"/>
  <c r="V208" i="48"/>
  <c r="U208" i="48"/>
  <c r="T208" i="48"/>
  <c r="I208" i="48"/>
  <c r="H208" i="48"/>
  <c r="G208" i="48"/>
  <c r="F208" i="48"/>
  <c r="E208" i="48"/>
  <c r="X207" i="48"/>
  <c r="W207" i="48"/>
  <c r="V207" i="48"/>
  <c r="U207" i="48"/>
  <c r="T207" i="48"/>
  <c r="I207" i="48"/>
  <c r="H207" i="48"/>
  <c r="G207" i="48"/>
  <c r="F207" i="48"/>
  <c r="E207" i="48"/>
  <c r="X206" i="48"/>
  <c r="W206" i="48"/>
  <c r="V206" i="48"/>
  <c r="U206" i="48"/>
  <c r="T206" i="48"/>
  <c r="I206" i="48"/>
  <c r="H206" i="48"/>
  <c r="G206" i="48"/>
  <c r="F206" i="48"/>
  <c r="E206" i="48"/>
  <c r="D206" i="48"/>
  <c r="D207" i="48" s="1"/>
  <c r="D208" i="48" s="1"/>
  <c r="D209" i="48" s="1"/>
  <c r="D210" i="48" s="1"/>
  <c r="D211" i="48" s="1"/>
  <c r="D212" i="48" s="1"/>
  <c r="D213" i="48" s="1"/>
  <c r="D214" i="48" s="1"/>
  <c r="Y203" i="48"/>
  <c r="X203" i="48"/>
  <c r="W203" i="48"/>
  <c r="V203" i="48"/>
  <c r="U203" i="48"/>
  <c r="T203" i="48"/>
  <c r="Q203" i="48"/>
  <c r="P203" i="48"/>
  <c r="O203" i="48"/>
  <c r="N203" i="48"/>
  <c r="M203" i="48"/>
  <c r="L203" i="48"/>
  <c r="K203" i="48"/>
  <c r="J203" i="48"/>
  <c r="I203" i="48"/>
  <c r="H203" i="48"/>
  <c r="G203" i="48"/>
  <c r="F203" i="48"/>
  <c r="E203" i="48"/>
  <c r="Y201" i="48"/>
  <c r="X201" i="48"/>
  <c r="W201" i="48"/>
  <c r="V201" i="48"/>
  <c r="U201" i="48"/>
  <c r="T201" i="48"/>
  <c r="X196" i="48"/>
  <c r="W196" i="48"/>
  <c r="V196" i="48"/>
  <c r="U196" i="48"/>
  <c r="T196" i="48"/>
  <c r="I196" i="48"/>
  <c r="H196" i="48"/>
  <c r="G196" i="48"/>
  <c r="F196" i="48"/>
  <c r="E196" i="48"/>
  <c r="X195" i="48"/>
  <c r="W195" i="48"/>
  <c r="V195" i="48"/>
  <c r="U195" i="48"/>
  <c r="T195" i="48"/>
  <c r="I195" i="48"/>
  <c r="H195" i="48"/>
  <c r="G195" i="48"/>
  <c r="F195" i="48"/>
  <c r="E195" i="48"/>
  <c r="X194" i="48"/>
  <c r="W194" i="48"/>
  <c r="V194" i="48"/>
  <c r="U194" i="48"/>
  <c r="T194" i="48"/>
  <c r="I194" i="48"/>
  <c r="H194" i="48"/>
  <c r="G194" i="48"/>
  <c r="F194" i="48"/>
  <c r="E194" i="48"/>
  <c r="X193" i="48"/>
  <c r="W193" i="48"/>
  <c r="V193" i="48"/>
  <c r="U193" i="48"/>
  <c r="T193" i="48"/>
  <c r="I193" i="48"/>
  <c r="H193" i="48"/>
  <c r="G193" i="48"/>
  <c r="F193" i="48"/>
  <c r="E193" i="48"/>
  <c r="X192" i="48"/>
  <c r="W192" i="48"/>
  <c r="V192" i="48"/>
  <c r="U192" i="48"/>
  <c r="T192" i="48"/>
  <c r="I192" i="48"/>
  <c r="H192" i="48"/>
  <c r="G192" i="48"/>
  <c r="F192" i="48"/>
  <c r="E192" i="48"/>
  <c r="X190" i="48"/>
  <c r="W190" i="48"/>
  <c r="V190" i="48"/>
  <c r="U190" i="48"/>
  <c r="T190" i="48"/>
  <c r="I190" i="48"/>
  <c r="H190" i="48"/>
  <c r="G190" i="48"/>
  <c r="F190" i="48"/>
  <c r="E190" i="48"/>
  <c r="X189" i="48"/>
  <c r="W189" i="48"/>
  <c r="V189" i="48"/>
  <c r="U189" i="48"/>
  <c r="T189" i="48"/>
  <c r="I189" i="48"/>
  <c r="H189" i="48"/>
  <c r="G189" i="48"/>
  <c r="F189" i="48"/>
  <c r="E189" i="48"/>
  <c r="X188" i="48"/>
  <c r="W188" i="48"/>
  <c r="V188" i="48"/>
  <c r="U188" i="48"/>
  <c r="T188" i="48"/>
  <c r="I188" i="48"/>
  <c r="H188" i="48"/>
  <c r="G188" i="48"/>
  <c r="F188" i="48"/>
  <c r="E188" i="48"/>
  <c r="D188" i="48"/>
  <c r="D189" i="48" s="1"/>
  <c r="D190" i="48" s="1"/>
  <c r="D191" i="48" s="1"/>
  <c r="D192" i="48" s="1"/>
  <c r="D193" i="48" s="1"/>
  <c r="D194" i="48" s="1"/>
  <c r="D195" i="48" s="1"/>
  <c r="D196" i="48" s="1"/>
  <c r="Y183" i="48"/>
  <c r="X183" i="48"/>
  <c r="W183" i="48"/>
  <c r="V183" i="48"/>
  <c r="U183" i="48"/>
  <c r="T183" i="48"/>
  <c r="T181" i="48" s="1"/>
  <c r="D170" i="48"/>
  <c r="D171" i="48" s="1"/>
  <c r="D172" i="48" s="1"/>
  <c r="D173" i="48" s="1"/>
  <c r="D174" i="48" s="1"/>
  <c r="D175" i="48" s="1"/>
  <c r="D176" i="48" s="1"/>
  <c r="D177" i="48" s="1"/>
  <c r="D178" i="48" s="1"/>
  <c r="Y165" i="48"/>
  <c r="X165" i="48"/>
  <c r="W165" i="48"/>
  <c r="V165" i="48"/>
  <c r="U165" i="48"/>
  <c r="T165" i="48"/>
  <c r="Y156" i="48"/>
  <c r="X156" i="48"/>
  <c r="W156" i="48"/>
  <c r="V156" i="48"/>
  <c r="U156" i="48"/>
  <c r="T156" i="48"/>
  <c r="Q156" i="48"/>
  <c r="P156" i="48"/>
  <c r="O156" i="48"/>
  <c r="N156" i="48"/>
  <c r="M156" i="48"/>
  <c r="L156" i="48"/>
  <c r="K156" i="48"/>
  <c r="J156" i="48"/>
  <c r="I156" i="48"/>
  <c r="H156" i="48"/>
  <c r="X155" i="48"/>
  <c r="W155" i="48"/>
  <c r="V155" i="48"/>
  <c r="U155" i="48"/>
  <c r="T155" i="48"/>
  <c r="I155" i="48"/>
  <c r="H155" i="48"/>
  <c r="G155" i="48"/>
  <c r="F155" i="48"/>
  <c r="E155" i="48"/>
  <c r="Y154" i="48"/>
  <c r="X154" i="48"/>
  <c r="W154" i="48"/>
  <c r="V154" i="48"/>
  <c r="U154" i="48"/>
  <c r="T154" i="48"/>
  <c r="Q154" i="48"/>
  <c r="P154" i="48"/>
  <c r="O154" i="48"/>
  <c r="N154" i="48"/>
  <c r="M154" i="48"/>
  <c r="L154" i="48"/>
  <c r="K154" i="48"/>
  <c r="J154" i="48"/>
  <c r="I154" i="48"/>
  <c r="H154" i="48"/>
  <c r="Y152" i="48"/>
  <c r="X152" i="48"/>
  <c r="W152" i="48"/>
  <c r="V152" i="48"/>
  <c r="U152" i="48"/>
  <c r="T152" i="48"/>
  <c r="Y129" i="48"/>
  <c r="X129" i="48"/>
  <c r="W129" i="48"/>
  <c r="V129" i="48"/>
  <c r="U129" i="48"/>
  <c r="T129" i="48"/>
  <c r="Q129" i="48"/>
  <c r="P129" i="48"/>
  <c r="O129" i="48"/>
  <c r="N129" i="48"/>
  <c r="M129" i="48"/>
  <c r="L129" i="48"/>
  <c r="K129" i="48"/>
  <c r="J129" i="48"/>
  <c r="I129" i="48"/>
  <c r="H129" i="48"/>
  <c r="T128" i="48"/>
  <c r="E128" i="48"/>
  <c r="Y127" i="48"/>
  <c r="X127" i="48"/>
  <c r="W127" i="48"/>
  <c r="V127" i="48"/>
  <c r="U127" i="48"/>
  <c r="T127" i="48"/>
  <c r="Q127" i="48"/>
  <c r="P127" i="48"/>
  <c r="O127" i="48"/>
  <c r="N127" i="48"/>
  <c r="M127" i="48"/>
  <c r="L127" i="48"/>
  <c r="K127" i="48"/>
  <c r="J127" i="48"/>
  <c r="I127" i="48"/>
  <c r="H127" i="48"/>
  <c r="Y125" i="48"/>
  <c r="X125" i="48"/>
  <c r="W125" i="48"/>
  <c r="V125" i="48"/>
  <c r="U125" i="48"/>
  <c r="T125" i="48"/>
  <c r="X119" i="48"/>
  <c r="W119" i="48"/>
  <c r="V119" i="48"/>
  <c r="U119" i="48"/>
  <c r="T119" i="48"/>
  <c r="Q119" i="48"/>
  <c r="X118" i="48"/>
  <c r="W118" i="48"/>
  <c r="V118" i="48"/>
  <c r="U118" i="48"/>
  <c r="T118" i="48"/>
  <c r="I118" i="48"/>
  <c r="H118" i="48"/>
  <c r="G118" i="48"/>
  <c r="F118" i="48"/>
  <c r="E118" i="48"/>
  <c r="X117" i="48"/>
  <c r="W117" i="48"/>
  <c r="V117" i="48"/>
  <c r="U117" i="48"/>
  <c r="T117" i="48"/>
  <c r="Q117" i="48"/>
  <c r="Y110" i="48"/>
  <c r="X110" i="48"/>
  <c r="W110" i="48"/>
  <c r="V110" i="48"/>
  <c r="U110" i="48"/>
  <c r="T110" i="48"/>
  <c r="X109" i="48"/>
  <c r="W109" i="48"/>
  <c r="V109" i="48"/>
  <c r="U109" i="48"/>
  <c r="T109" i="48"/>
  <c r="I109" i="48"/>
  <c r="H109" i="48"/>
  <c r="G109" i="48"/>
  <c r="F109" i="48"/>
  <c r="E109" i="48"/>
  <c r="Y106" i="48"/>
  <c r="X106" i="48"/>
  <c r="W106" i="48"/>
  <c r="V106" i="48"/>
  <c r="U106" i="48"/>
  <c r="T106" i="48"/>
  <c r="Y101" i="48"/>
  <c r="X101" i="48"/>
  <c r="W101" i="48"/>
  <c r="V101" i="48"/>
  <c r="U101" i="48"/>
  <c r="T101" i="48"/>
  <c r="Q101" i="48"/>
  <c r="P101" i="48"/>
  <c r="O101" i="48"/>
  <c r="N101" i="48"/>
  <c r="M101" i="48"/>
  <c r="L101" i="48"/>
  <c r="K101" i="48"/>
  <c r="J101" i="48"/>
  <c r="I101" i="48"/>
  <c r="H101" i="48"/>
  <c r="G101" i="48"/>
  <c r="F101" i="48"/>
  <c r="E101" i="48"/>
  <c r="X100" i="48"/>
  <c r="W100" i="48"/>
  <c r="V100" i="48"/>
  <c r="U100" i="48"/>
  <c r="T100" i="48"/>
  <c r="Q100" i="48"/>
  <c r="P100" i="48"/>
  <c r="O100" i="48"/>
  <c r="N100" i="48"/>
  <c r="I100" i="48"/>
  <c r="H100" i="48"/>
  <c r="G100" i="48"/>
  <c r="F100" i="48"/>
  <c r="E100" i="48"/>
  <c r="Y99" i="48"/>
  <c r="X99" i="48"/>
  <c r="W99" i="48"/>
  <c r="V99" i="48"/>
  <c r="U99" i="48"/>
  <c r="T99" i="48"/>
  <c r="Q99" i="48"/>
  <c r="P99" i="48"/>
  <c r="O99" i="48"/>
  <c r="N99" i="48"/>
  <c r="M99" i="48"/>
  <c r="L99" i="48"/>
  <c r="K99" i="48"/>
  <c r="J99" i="48"/>
  <c r="I99" i="48"/>
  <c r="H99" i="48"/>
  <c r="G99" i="48"/>
  <c r="F99" i="48"/>
  <c r="E99" i="48"/>
  <c r="Y92" i="48"/>
  <c r="X92" i="48"/>
  <c r="W92" i="48"/>
  <c r="V92" i="48"/>
  <c r="U92" i="48"/>
  <c r="T92" i="48"/>
  <c r="T91" i="48"/>
  <c r="E91" i="48"/>
  <c r="Y88" i="48"/>
  <c r="X88" i="48"/>
  <c r="W88" i="48"/>
  <c r="V88" i="48"/>
  <c r="U88" i="48"/>
  <c r="T88" i="48"/>
  <c r="Y83" i="48"/>
  <c r="X83" i="48"/>
  <c r="W83" i="48"/>
  <c r="V83" i="48"/>
  <c r="U83" i="48"/>
  <c r="T83" i="48"/>
  <c r="Q83" i="48"/>
  <c r="P83" i="48"/>
  <c r="O83" i="48"/>
  <c r="N83" i="48"/>
  <c r="M83" i="48"/>
  <c r="L83" i="48"/>
  <c r="K83" i="48"/>
  <c r="J83" i="48"/>
  <c r="I83" i="48"/>
  <c r="H83" i="48"/>
  <c r="G83" i="48"/>
  <c r="F83" i="48"/>
  <c r="E83" i="48"/>
  <c r="Y82" i="48"/>
  <c r="X82" i="48"/>
  <c r="W82" i="48"/>
  <c r="V82" i="48"/>
  <c r="U82" i="48"/>
  <c r="T82" i="48"/>
  <c r="Q82" i="48"/>
  <c r="P82" i="48"/>
  <c r="O82" i="48"/>
  <c r="N82" i="48"/>
  <c r="M82" i="48"/>
  <c r="L82" i="48"/>
  <c r="K82" i="48"/>
  <c r="J82" i="48"/>
  <c r="I82" i="48"/>
  <c r="H82" i="48"/>
  <c r="G82" i="48"/>
  <c r="F82" i="48"/>
  <c r="E82" i="48"/>
  <c r="Y81" i="48"/>
  <c r="X81" i="48"/>
  <c r="W81" i="48"/>
  <c r="V81" i="48"/>
  <c r="U81" i="48"/>
  <c r="T81" i="48"/>
  <c r="Q81" i="48"/>
  <c r="P81" i="48"/>
  <c r="O81" i="48"/>
  <c r="N81" i="48"/>
  <c r="M81" i="48"/>
  <c r="L81" i="48"/>
  <c r="K81" i="48"/>
  <c r="J81" i="48"/>
  <c r="I81" i="48"/>
  <c r="H81" i="48"/>
  <c r="G81" i="48"/>
  <c r="F81" i="48"/>
  <c r="E81" i="48"/>
  <c r="Y74" i="48"/>
  <c r="X74" i="48"/>
  <c r="W74" i="48"/>
  <c r="V74" i="48"/>
  <c r="U74" i="48"/>
  <c r="T74" i="48"/>
  <c r="X73" i="48"/>
  <c r="W73" i="48"/>
  <c r="V73" i="48"/>
  <c r="U73" i="48"/>
  <c r="T73" i="48"/>
  <c r="G73" i="48"/>
  <c r="F73" i="48"/>
  <c r="E73" i="48"/>
  <c r="Y72" i="48"/>
  <c r="X72" i="48"/>
  <c r="W72" i="48"/>
  <c r="V72" i="48"/>
  <c r="U72" i="48"/>
  <c r="T72" i="48"/>
  <c r="Y70" i="48"/>
  <c r="X70" i="48"/>
  <c r="W70" i="48"/>
  <c r="V70" i="48"/>
  <c r="U70" i="48"/>
  <c r="T70" i="48"/>
  <c r="Y65" i="48"/>
  <c r="X65" i="48"/>
  <c r="W65" i="48"/>
  <c r="V65" i="48"/>
  <c r="U65" i="48"/>
  <c r="T65" i="48"/>
  <c r="Y61" i="48"/>
  <c r="X61" i="48"/>
  <c r="W61" i="48"/>
  <c r="V61" i="48"/>
  <c r="U61" i="48"/>
  <c r="T61" i="48"/>
  <c r="T58" i="48"/>
  <c r="Q58" i="48"/>
  <c r="P58" i="48"/>
  <c r="O58" i="48"/>
  <c r="N58" i="48"/>
  <c r="Y36" i="48"/>
  <c r="X36" i="48"/>
  <c r="X41" i="48" s="1"/>
  <c r="W36" i="48"/>
  <c r="W41" i="48" s="1"/>
  <c r="V36" i="48"/>
  <c r="U36" i="48"/>
  <c r="T36" i="48"/>
  <c r="Q36" i="48"/>
  <c r="Q41" i="48" s="1"/>
  <c r="P41" i="48"/>
  <c r="M41" i="48"/>
  <c r="L41" i="48"/>
  <c r="K41" i="48"/>
  <c r="I41" i="48"/>
  <c r="H41" i="48"/>
  <c r="X26" i="48"/>
  <c r="Q26" i="48"/>
  <c r="N26" i="48"/>
  <c r="M26" i="48"/>
  <c r="L26" i="48"/>
  <c r="K26" i="48"/>
  <c r="J26" i="48"/>
  <c r="Y24" i="48"/>
  <c r="X24" i="48"/>
  <c r="W24" i="48"/>
  <c r="V24" i="48"/>
  <c r="U24" i="48"/>
  <c r="T24" i="48"/>
  <c r="Y5" i="48"/>
  <c r="Y6" i="48" s="1"/>
  <c r="X5" i="48"/>
  <c r="X6" i="48" s="1"/>
  <c r="W5" i="48"/>
  <c r="W6" i="48" s="1"/>
  <c r="V5" i="48"/>
  <c r="V6" i="48" s="1"/>
  <c r="U5" i="48"/>
  <c r="U6" i="48" s="1"/>
  <c r="T5" i="48"/>
  <c r="T6" i="48" s="1"/>
  <c r="G6" i="48"/>
  <c r="Y358" i="47"/>
  <c r="X358" i="47"/>
  <c r="W358" i="47"/>
  <c r="V358" i="47"/>
  <c r="U358" i="47"/>
  <c r="T358" i="47"/>
  <c r="L358" i="47"/>
  <c r="K358" i="47"/>
  <c r="J358" i="47"/>
  <c r="I358" i="47"/>
  <c r="H358" i="47"/>
  <c r="G358" i="47"/>
  <c r="F358" i="47"/>
  <c r="E358" i="47"/>
  <c r="Y357" i="47"/>
  <c r="X357" i="47"/>
  <c r="W357" i="47"/>
  <c r="V357" i="47"/>
  <c r="U357" i="47"/>
  <c r="T357" i="47"/>
  <c r="L357" i="47"/>
  <c r="K357" i="47"/>
  <c r="J357" i="47"/>
  <c r="I357" i="47"/>
  <c r="H357" i="47"/>
  <c r="G357" i="47"/>
  <c r="F357" i="47"/>
  <c r="E357" i="47"/>
  <c r="Y356" i="47"/>
  <c r="X356" i="47"/>
  <c r="W356" i="47"/>
  <c r="V356" i="47"/>
  <c r="U356" i="47"/>
  <c r="T356" i="47"/>
  <c r="L356" i="47"/>
  <c r="K356" i="47"/>
  <c r="J356" i="47"/>
  <c r="I356" i="47"/>
  <c r="H356" i="47"/>
  <c r="G356" i="47"/>
  <c r="F356" i="47"/>
  <c r="E356" i="47"/>
  <c r="Y355" i="47"/>
  <c r="X355" i="47"/>
  <c r="W355" i="47"/>
  <c r="V355" i="47"/>
  <c r="U355" i="47"/>
  <c r="T355" i="47"/>
  <c r="L355" i="47"/>
  <c r="K355" i="47"/>
  <c r="J355" i="47"/>
  <c r="I355" i="47"/>
  <c r="H355" i="47"/>
  <c r="G355" i="47"/>
  <c r="F355" i="47"/>
  <c r="E355" i="47"/>
  <c r="Y354" i="47"/>
  <c r="X354" i="47"/>
  <c r="W354" i="47"/>
  <c r="V354" i="47"/>
  <c r="U354" i="47"/>
  <c r="T354" i="47"/>
  <c r="L354" i="47"/>
  <c r="K354" i="47"/>
  <c r="J354" i="47"/>
  <c r="I354" i="47"/>
  <c r="H354" i="47"/>
  <c r="G354" i="47"/>
  <c r="F354" i="47"/>
  <c r="E354" i="47"/>
  <c r="Y353" i="47"/>
  <c r="X353" i="47"/>
  <c r="W353" i="47"/>
  <c r="V353" i="47"/>
  <c r="U353" i="47"/>
  <c r="T353" i="47"/>
  <c r="L353" i="47"/>
  <c r="K353" i="47"/>
  <c r="J353" i="47"/>
  <c r="I353" i="47"/>
  <c r="H353" i="47"/>
  <c r="G353" i="47"/>
  <c r="F353" i="47"/>
  <c r="E353" i="47"/>
  <c r="Y352" i="47"/>
  <c r="X352" i="47"/>
  <c r="W352" i="47"/>
  <c r="V352" i="47"/>
  <c r="U352" i="47"/>
  <c r="T352" i="47"/>
  <c r="L352" i="47"/>
  <c r="K352" i="47"/>
  <c r="J352" i="47"/>
  <c r="I352" i="47"/>
  <c r="H352" i="47"/>
  <c r="G352" i="47"/>
  <c r="F352" i="47"/>
  <c r="E352" i="47"/>
  <c r="Y351" i="47"/>
  <c r="X351" i="47"/>
  <c r="W351" i="47"/>
  <c r="V351" i="47"/>
  <c r="U351" i="47"/>
  <c r="T351" i="47"/>
  <c r="L351" i="47"/>
  <c r="K351" i="47"/>
  <c r="J351" i="47"/>
  <c r="I351" i="47"/>
  <c r="H351" i="47"/>
  <c r="G351" i="47"/>
  <c r="F351" i="47"/>
  <c r="E351" i="47"/>
  <c r="Y350" i="47"/>
  <c r="X350" i="47"/>
  <c r="W350" i="47"/>
  <c r="V350" i="47"/>
  <c r="U350" i="47"/>
  <c r="T350" i="47"/>
  <c r="L350" i="47"/>
  <c r="K350" i="47"/>
  <c r="J350" i="47"/>
  <c r="I350" i="47"/>
  <c r="H350" i="47"/>
  <c r="G350" i="47"/>
  <c r="F350" i="47"/>
  <c r="E350" i="47"/>
  <c r="Y349" i="47"/>
  <c r="X349" i="47"/>
  <c r="W349" i="47"/>
  <c r="V349" i="47"/>
  <c r="U349" i="47"/>
  <c r="T349" i="47"/>
  <c r="L349" i="47"/>
  <c r="K349" i="47"/>
  <c r="J349" i="47"/>
  <c r="I349" i="47"/>
  <c r="H349" i="47"/>
  <c r="G349" i="47"/>
  <c r="F349" i="47"/>
  <c r="E349" i="47"/>
  <c r="Y348" i="47"/>
  <c r="X348" i="47"/>
  <c r="W348" i="47"/>
  <c r="V348" i="47"/>
  <c r="U348" i="47"/>
  <c r="T348" i="47"/>
  <c r="L348" i="47"/>
  <c r="K348" i="47"/>
  <c r="J348" i="47"/>
  <c r="I348" i="47"/>
  <c r="H348" i="47"/>
  <c r="G348" i="47"/>
  <c r="F348" i="47"/>
  <c r="E348" i="47"/>
  <c r="Y347" i="47"/>
  <c r="X347" i="47"/>
  <c r="W347" i="47"/>
  <c r="V347" i="47"/>
  <c r="U347" i="47"/>
  <c r="T347" i="47"/>
  <c r="L347" i="47"/>
  <c r="K347" i="47"/>
  <c r="J347" i="47"/>
  <c r="I347" i="47"/>
  <c r="H347" i="47"/>
  <c r="G347" i="47"/>
  <c r="F347" i="47"/>
  <c r="E347" i="47"/>
  <c r="Y346" i="47"/>
  <c r="X346" i="47"/>
  <c r="W346" i="47"/>
  <c r="V346" i="47"/>
  <c r="U346" i="47"/>
  <c r="T346" i="47"/>
  <c r="L346" i="47"/>
  <c r="K346" i="47"/>
  <c r="J346" i="47"/>
  <c r="I346" i="47"/>
  <c r="H346" i="47"/>
  <c r="G346" i="47"/>
  <c r="F346" i="47"/>
  <c r="E346" i="47"/>
  <c r="Y345" i="47"/>
  <c r="X345" i="47"/>
  <c r="W345" i="47"/>
  <c r="V345" i="47"/>
  <c r="U345" i="47"/>
  <c r="T345" i="47"/>
  <c r="L345" i="47"/>
  <c r="K345" i="47"/>
  <c r="J345" i="47"/>
  <c r="I345" i="47"/>
  <c r="H345" i="47"/>
  <c r="G345" i="47"/>
  <c r="F345" i="47"/>
  <c r="E345" i="47"/>
  <c r="Y344" i="47"/>
  <c r="X344" i="47"/>
  <c r="W344" i="47"/>
  <c r="V344" i="47"/>
  <c r="U344" i="47"/>
  <c r="T344" i="47"/>
  <c r="L344" i="47"/>
  <c r="K344" i="47"/>
  <c r="J344" i="47"/>
  <c r="I344" i="47"/>
  <c r="H344" i="47"/>
  <c r="G344" i="47"/>
  <c r="F344" i="47"/>
  <c r="E344" i="47"/>
  <c r="Y343" i="47"/>
  <c r="X343" i="47"/>
  <c r="W343" i="47"/>
  <c r="V343" i="47"/>
  <c r="U343" i="47"/>
  <c r="T343" i="47"/>
  <c r="L343" i="47"/>
  <c r="K343" i="47"/>
  <c r="J343" i="47"/>
  <c r="I343" i="47"/>
  <c r="H343" i="47"/>
  <c r="G343" i="47"/>
  <c r="F343" i="47"/>
  <c r="E343" i="47"/>
  <c r="Y342" i="47"/>
  <c r="X342" i="47"/>
  <c r="W342" i="47"/>
  <c r="V342" i="47"/>
  <c r="U342" i="47"/>
  <c r="T342" i="47"/>
  <c r="L342" i="47"/>
  <c r="K342" i="47"/>
  <c r="J342" i="47"/>
  <c r="I342" i="47"/>
  <c r="H342" i="47"/>
  <c r="G342" i="47"/>
  <c r="F342" i="47"/>
  <c r="E342" i="47"/>
  <c r="Y341" i="47"/>
  <c r="X341" i="47"/>
  <c r="W341" i="47"/>
  <c r="V341" i="47"/>
  <c r="U341" i="47"/>
  <c r="T341" i="47"/>
  <c r="L341" i="47"/>
  <c r="K341" i="47"/>
  <c r="J341" i="47"/>
  <c r="I341" i="47"/>
  <c r="H341" i="47"/>
  <c r="G341" i="47"/>
  <c r="F341" i="47"/>
  <c r="E341" i="47"/>
  <c r="Y340" i="47"/>
  <c r="X340" i="47"/>
  <c r="W340" i="47"/>
  <c r="V340" i="47"/>
  <c r="U340" i="47"/>
  <c r="T340" i="47"/>
  <c r="L340" i="47"/>
  <c r="K340" i="47"/>
  <c r="J340" i="47"/>
  <c r="I340" i="47"/>
  <c r="H340" i="47"/>
  <c r="G340" i="47"/>
  <c r="F340" i="47"/>
  <c r="E340" i="47"/>
  <c r="Y339" i="47"/>
  <c r="X339" i="47"/>
  <c r="W339" i="47"/>
  <c r="V339" i="47"/>
  <c r="U339" i="47"/>
  <c r="T339" i="47"/>
  <c r="L339" i="47"/>
  <c r="K339" i="47"/>
  <c r="J339" i="47"/>
  <c r="I339" i="47"/>
  <c r="H339" i="47"/>
  <c r="G339" i="47"/>
  <c r="F339" i="47"/>
  <c r="E339" i="47"/>
  <c r="Y338" i="47"/>
  <c r="X338" i="47"/>
  <c r="W338" i="47"/>
  <c r="V338" i="47"/>
  <c r="U338" i="47"/>
  <c r="T338" i="47"/>
  <c r="L338" i="47"/>
  <c r="K338" i="47"/>
  <c r="J338" i="47"/>
  <c r="I338" i="47"/>
  <c r="H338" i="47"/>
  <c r="G338" i="47"/>
  <c r="F338" i="47"/>
  <c r="E338" i="47"/>
  <c r="Y337" i="47"/>
  <c r="X337" i="47"/>
  <c r="W337" i="47"/>
  <c r="V337" i="47"/>
  <c r="U337" i="47"/>
  <c r="T337" i="47"/>
  <c r="L337" i="47"/>
  <c r="K337" i="47"/>
  <c r="J337" i="47"/>
  <c r="I337" i="47"/>
  <c r="H337" i="47"/>
  <c r="G337" i="47"/>
  <c r="F337" i="47"/>
  <c r="E337" i="47"/>
  <c r="Y336" i="47"/>
  <c r="X336" i="47"/>
  <c r="W336" i="47"/>
  <c r="V336" i="47"/>
  <c r="U336" i="47"/>
  <c r="T336" i="47"/>
  <c r="L336" i="47"/>
  <c r="K336" i="47"/>
  <c r="J336" i="47"/>
  <c r="I336" i="47"/>
  <c r="H336" i="47"/>
  <c r="G336" i="47"/>
  <c r="F336" i="47"/>
  <c r="E336" i="47"/>
  <c r="D336" i="47"/>
  <c r="D337" i="47" s="1"/>
  <c r="D338" i="47" s="1"/>
  <c r="D339" i="47" s="1"/>
  <c r="D340" i="47" s="1"/>
  <c r="D341" i="47" s="1"/>
  <c r="D342" i="47" s="1"/>
  <c r="D343" i="47" s="1"/>
  <c r="D344" i="47" s="1"/>
  <c r="D345" i="47" s="1"/>
  <c r="D346" i="47" s="1"/>
  <c r="D347" i="47" s="1"/>
  <c r="D348" i="47" s="1"/>
  <c r="D349" i="47" s="1"/>
  <c r="D350" i="47" s="1"/>
  <c r="D351" i="47" s="1"/>
  <c r="D352" i="47" s="1"/>
  <c r="D353" i="47" s="1"/>
  <c r="D354" i="47" s="1"/>
  <c r="D355" i="47" s="1"/>
  <c r="D356" i="47" s="1"/>
  <c r="D357" i="47" s="1"/>
  <c r="D358" i="47" s="1"/>
  <c r="Y335" i="47"/>
  <c r="X335" i="47"/>
  <c r="W335" i="47"/>
  <c r="V335" i="47"/>
  <c r="U335" i="47"/>
  <c r="T335" i="47"/>
  <c r="L335" i="47"/>
  <c r="K335" i="47"/>
  <c r="J335" i="47"/>
  <c r="I335" i="47"/>
  <c r="H335" i="47"/>
  <c r="G335" i="47"/>
  <c r="F335" i="47"/>
  <c r="E335" i="47"/>
  <c r="Y331" i="47"/>
  <c r="X331" i="47"/>
  <c r="W331" i="47"/>
  <c r="V331" i="47"/>
  <c r="U331" i="47"/>
  <c r="T331" i="47"/>
  <c r="L331" i="47"/>
  <c r="K331" i="47"/>
  <c r="J331" i="47"/>
  <c r="I331" i="47"/>
  <c r="H331" i="47"/>
  <c r="G331" i="47"/>
  <c r="F331" i="47"/>
  <c r="E331" i="47"/>
  <c r="D304" i="47"/>
  <c r="D305" i="47" s="1"/>
  <c r="D306" i="47" s="1"/>
  <c r="D307" i="47" s="1"/>
  <c r="D308" i="47" s="1"/>
  <c r="D309" i="47" s="1"/>
  <c r="D310" i="47" s="1"/>
  <c r="D311" i="47" s="1"/>
  <c r="D312" i="47" s="1"/>
  <c r="D313" i="47" s="1"/>
  <c r="D314" i="47" s="1"/>
  <c r="D315" i="47" s="1"/>
  <c r="D316" i="47" s="1"/>
  <c r="D317" i="47" s="1"/>
  <c r="D318" i="47" s="1"/>
  <c r="D319" i="47" s="1"/>
  <c r="D320" i="47" s="1"/>
  <c r="D321" i="47" s="1"/>
  <c r="D322" i="47" s="1"/>
  <c r="D323" i="47" s="1"/>
  <c r="D324" i="47" s="1"/>
  <c r="D325" i="47" s="1"/>
  <c r="D326" i="47" s="1"/>
  <c r="Y303" i="47"/>
  <c r="X303" i="47"/>
  <c r="W303" i="47"/>
  <c r="V303" i="47"/>
  <c r="U303" i="47"/>
  <c r="T303" i="47"/>
  <c r="L303" i="47"/>
  <c r="K303" i="47"/>
  <c r="J303" i="47"/>
  <c r="I303" i="47"/>
  <c r="H303" i="47"/>
  <c r="G303" i="47"/>
  <c r="F303" i="47"/>
  <c r="E303" i="47"/>
  <c r="X299" i="47"/>
  <c r="W299" i="47"/>
  <c r="V299" i="47"/>
  <c r="U299" i="47"/>
  <c r="T299" i="47"/>
  <c r="I299" i="47"/>
  <c r="H299" i="47"/>
  <c r="G299" i="47"/>
  <c r="F299" i="47"/>
  <c r="E299" i="47"/>
  <c r="D272" i="47"/>
  <c r="D273" i="47" s="1"/>
  <c r="D274" i="47" s="1"/>
  <c r="D275" i="47" s="1"/>
  <c r="D276" i="47" s="1"/>
  <c r="D277" i="47" s="1"/>
  <c r="D278" i="47" s="1"/>
  <c r="D279" i="47" s="1"/>
  <c r="D280" i="47" s="1"/>
  <c r="D281" i="47" s="1"/>
  <c r="D282" i="47" s="1"/>
  <c r="D283" i="47" s="1"/>
  <c r="D284" i="47" s="1"/>
  <c r="D285" i="47" s="1"/>
  <c r="D286" i="47" s="1"/>
  <c r="D287" i="47" s="1"/>
  <c r="D288" i="47" s="1"/>
  <c r="D289" i="47" s="1"/>
  <c r="D290" i="47" s="1"/>
  <c r="D291" i="47" s="1"/>
  <c r="D292" i="47" s="1"/>
  <c r="D293" i="47" s="1"/>
  <c r="D294" i="47" s="1"/>
  <c r="X262" i="47"/>
  <c r="W262" i="47"/>
  <c r="V262" i="47"/>
  <c r="U262" i="47"/>
  <c r="T262" i="47"/>
  <c r="I262" i="47"/>
  <c r="H262" i="47"/>
  <c r="G262" i="47"/>
  <c r="F262" i="47"/>
  <c r="E262" i="47"/>
  <c r="X261" i="47"/>
  <c r="W261" i="47"/>
  <c r="V261" i="47"/>
  <c r="U261" i="47"/>
  <c r="T261" i="47"/>
  <c r="I261" i="47"/>
  <c r="H261" i="47"/>
  <c r="G261" i="47"/>
  <c r="F261" i="47"/>
  <c r="E261" i="47"/>
  <c r="X260" i="47"/>
  <c r="W260" i="47"/>
  <c r="V260" i="47"/>
  <c r="U260" i="47"/>
  <c r="T260" i="47"/>
  <c r="I260" i="47"/>
  <c r="H260" i="47"/>
  <c r="G260" i="47"/>
  <c r="F260" i="47"/>
  <c r="E260" i="47"/>
  <c r="X259" i="47"/>
  <c r="W259" i="47"/>
  <c r="V259" i="47"/>
  <c r="U259" i="47"/>
  <c r="T259" i="47"/>
  <c r="I259" i="47"/>
  <c r="H259" i="47"/>
  <c r="G259" i="47"/>
  <c r="F259" i="47"/>
  <c r="E259" i="47"/>
  <c r="X258" i="47"/>
  <c r="W258" i="47"/>
  <c r="V258" i="47"/>
  <c r="U258" i="47"/>
  <c r="T258" i="47"/>
  <c r="I258" i="47"/>
  <c r="H258" i="47"/>
  <c r="G258" i="47"/>
  <c r="F258" i="47"/>
  <c r="E258" i="47"/>
  <c r="X257" i="47"/>
  <c r="W257" i="47"/>
  <c r="V257" i="47"/>
  <c r="U257" i="47"/>
  <c r="T257" i="47"/>
  <c r="I257" i="47"/>
  <c r="H257" i="47"/>
  <c r="G257" i="47"/>
  <c r="F257" i="47"/>
  <c r="E257" i="47"/>
  <c r="X256" i="47"/>
  <c r="W256" i="47"/>
  <c r="V256" i="47"/>
  <c r="U256" i="47"/>
  <c r="T256" i="47"/>
  <c r="I256" i="47"/>
  <c r="H256" i="47"/>
  <c r="G256" i="47"/>
  <c r="F256" i="47"/>
  <c r="E256" i="47"/>
  <c r="X255" i="47"/>
  <c r="W255" i="47"/>
  <c r="V255" i="47"/>
  <c r="U255" i="47"/>
  <c r="T255" i="47"/>
  <c r="I255" i="47"/>
  <c r="H255" i="47"/>
  <c r="G255" i="47"/>
  <c r="F255" i="47"/>
  <c r="E255" i="47"/>
  <c r="X254" i="47"/>
  <c r="W254" i="47"/>
  <c r="V254" i="47"/>
  <c r="U254" i="47"/>
  <c r="T254" i="47"/>
  <c r="I254" i="47"/>
  <c r="H254" i="47"/>
  <c r="G254" i="47"/>
  <c r="F254" i="47"/>
  <c r="E254" i="47"/>
  <c r="X253" i="47"/>
  <c r="W253" i="47"/>
  <c r="V253" i="47"/>
  <c r="U253" i="47"/>
  <c r="T253" i="47"/>
  <c r="I253" i="47"/>
  <c r="H253" i="47"/>
  <c r="G253" i="47"/>
  <c r="F253" i="47"/>
  <c r="E253" i="47"/>
  <c r="X252" i="47"/>
  <c r="W252" i="47"/>
  <c r="V252" i="47"/>
  <c r="U252" i="47"/>
  <c r="T252" i="47"/>
  <c r="I252" i="47"/>
  <c r="H252" i="47"/>
  <c r="G252" i="47"/>
  <c r="F252" i="47"/>
  <c r="E252" i="47"/>
  <c r="X251" i="47"/>
  <c r="W251" i="47"/>
  <c r="V251" i="47"/>
  <c r="U251" i="47"/>
  <c r="T251" i="47"/>
  <c r="I251" i="47"/>
  <c r="H251" i="47"/>
  <c r="G251" i="47"/>
  <c r="F251" i="47"/>
  <c r="E251" i="47"/>
  <c r="X250" i="47"/>
  <c r="W250" i="47"/>
  <c r="V250" i="47"/>
  <c r="U250" i="47"/>
  <c r="T250" i="47"/>
  <c r="I250" i="47"/>
  <c r="H250" i="47"/>
  <c r="G250" i="47"/>
  <c r="F250" i="47"/>
  <c r="E250" i="47"/>
  <c r="X249" i="47"/>
  <c r="W249" i="47"/>
  <c r="V249" i="47"/>
  <c r="U249" i="47"/>
  <c r="T249" i="47"/>
  <c r="I249" i="47"/>
  <c r="H249" i="47"/>
  <c r="G249" i="47"/>
  <c r="F249" i="47"/>
  <c r="E249" i="47"/>
  <c r="X248" i="47"/>
  <c r="W248" i="47"/>
  <c r="V248" i="47"/>
  <c r="U248" i="47"/>
  <c r="T248" i="47"/>
  <c r="I248" i="47"/>
  <c r="H248" i="47"/>
  <c r="G248" i="47"/>
  <c r="F248" i="47"/>
  <c r="E248" i="47"/>
  <c r="X247" i="47"/>
  <c r="W247" i="47"/>
  <c r="V247" i="47"/>
  <c r="U247" i="47"/>
  <c r="T247" i="47"/>
  <c r="I247" i="47"/>
  <c r="H247" i="47"/>
  <c r="G247" i="47"/>
  <c r="F247" i="47"/>
  <c r="E247" i="47"/>
  <c r="X246" i="47"/>
  <c r="W246" i="47"/>
  <c r="V246" i="47"/>
  <c r="U246" i="47"/>
  <c r="T246" i="47"/>
  <c r="I246" i="47"/>
  <c r="H246" i="47"/>
  <c r="G246" i="47"/>
  <c r="F246" i="47"/>
  <c r="E246" i="47"/>
  <c r="X245" i="47"/>
  <c r="W245" i="47"/>
  <c r="V245" i="47"/>
  <c r="U245" i="47"/>
  <c r="T245" i="47"/>
  <c r="I245" i="47"/>
  <c r="H245" i="47"/>
  <c r="G245" i="47"/>
  <c r="F245" i="47"/>
  <c r="E245" i="47"/>
  <c r="X244" i="47"/>
  <c r="W244" i="47"/>
  <c r="V244" i="47"/>
  <c r="U244" i="47"/>
  <c r="T244" i="47"/>
  <c r="I244" i="47"/>
  <c r="H244" i="47"/>
  <c r="G244" i="47"/>
  <c r="F244" i="47"/>
  <c r="E244" i="47"/>
  <c r="X243" i="47"/>
  <c r="W243" i="47"/>
  <c r="V243" i="47"/>
  <c r="U243" i="47"/>
  <c r="T243" i="47"/>
  <c r="I243" i="47"/>
  <c r="H243" i="47"/>
  <c r="G243" i="47"/>
  <c r="F243" i="47"/>
  <c r="E243" i="47"/>
  <c r="X242" i="47"/>
  <c r="W242" i="47"/>
  <c r="V242" i="47"/>
  <c r="U242" i="47"/>
  <c r="T242" i="47"/>
  <c r="I242" i="47"/>
  <c r="H242" i="47"/>
  <c r="G242" i="47"/>
  <c r="F242" i="47"/>
  <c r="E242" i="47"/>
  <c r="X241" i="47"/>
  <c r="W241" i="47"/>
  <c r="V241" i="47"/>
  <c r="U241" i="47"/>
  <c r="T241" i="47"/>
  <c r="I241" i="47"/>
  <c r="H241" i="47"/>
  <c r="G241" i="47"/>
  <c r="F241" i="47"/>
  <c r="E241" i="47"/>
  <c r="X240" i="47"/>
  <c r="W240" i="47"/>
  <c r="V240" i="47"/>
  <c r="U240" i="47"/>
  <c r="T240" i="47"/>
  <c r="I240" i="47"/>
  <c r="H240" i="47"/>
  <c r="G240" i="47"/>
  <c r="F240" i="47"/>
  <c r="E240" i="47"/>
  <c r="D240" i="47"/>
  <c r="D241" i="47" s="1"/>
  <c r="D242" i="47" s="1"/>
  <c r="D243" i="47" s="1"/>
  <c r="D244" i="47" s="1"/>
  <c r="D245" i="47" s="1"/>
  <c r="D246" i="47" s="1"/>
  <c r="D247" i="47" s="1"/>
  <c r="D248" i="47" s="1"/>
  <c r="D249" i="47" s="1"/>
  <c r="D250" i="47" s="1"/>
  <c r="D251" i="47" s="1"/>
  <c r="D252" i="47" s="1"/>
  <c r="D253" i="47" s="1"/>
  <c r="D254" i="47" s="1"/>
  <c r="D255" i="47" s="1"/>
  <c r="D256" i="47" s="1"/>
  <c r="D257" i="47" s="1"/>
  <c r="D258" i="47" s="1"/>
  <c r="D259" i="47" s="1"/>
  <c r="D260" i="47" s="1"/>
  <c r="D261" i="47" s="1"/>
  <c r="D262" i="47" s="1"/>
  <c r="X231" i="47"/>
  <c r="W231" i="47"/>
  <c r="V231" i="47"/>
  <c r="U231" i="47"/>
  <c r="T231" i="47"/>
  <c r="X229" i="47"/>
  <c r="W229" i="47"/>
  <c r="V229" i="47"/>
  <c r="U229" i="47"/>
  <c r="T229" i="47"/>
  <c r="X228" i="47"/>
  <c r="W228" i="47"/>
  <c r="V228" i="47"/>
  <c r="U228" i="47"/>
  <c r="T228" i="47"/>
  <c r="X226" i="47"/>
  <c r="W226" i="47"/>
  <c r="V226" i="47"/>
  <c r="U226" i="47"/>
  <c r="T226" i="47"/>
  <c r="X223" i="47"/>
  <c r="W223" i="47"/>
  <c r="V223" i="47"/>
  <c r="U223" i="47"/>
  <c r="T223" i="47"/>
  <c r="D223" i="47"/>
  <c r="D224" i="47" s="1"/>
  <c r="D225" i="47" s="1"/>
  <c r="D226" i="47" s="1"/>
  <c r="D227" i="47" s="1"/>
  <c r="D228" i="47" s="1"/>
  <c r="D229" i="47" s="1"/>
  <c r="D230" i="47" s="1"/>
  <c r="D231" i="47" s="1"/>
  <c r="Y218" i="47"/>
  <c r="Y215" i="47" s="1"/>
  <c r="X218" i="47"/>
  <c r="X215" i="47" s="1"/>
  <c r="W218" i="47"/>
  <c r="W215" i="47" s="1"/>
  <c r="V218" i="47"/>
  <c r="V215" i="47" s="1"/>
  <c r="U218" i="47"/>
  <c r="U215" i="47" s="1"/>
  <c r="T218" i="47"/>
  <c r="T215" i="47" s="1"/>
  <c r="X213" i="47"/>
  <c r="W213" i="47"/>
  <c r="V213" i="47"/>
  <c r="U213" i="47"/>
  <c r="T213" i="47"/>
  <c r="I213" i="47"/>
  <c r="H213" i="47"/>
  <c r="G213" i="47"/>
  <c r="F213" i="47"/>
  <c r="E213" i="47"/>
  <c r="X212" i="47"/>
  <c r="W212" i="47"/>
  <c r="V212" i="47"/>
  <c r="U212" i="47"/>
  <c r="T212" i="47"/>
  <c r="I212" i="47"/>
  <c r="H212" i="47"/>
  <c r="G212" i="47"/>
  <c r="F212" i="47"/>
  <c r="E212" i="47"/>
  <c r="X211" i="47"/>
  <c r="W211" i="47"/>
  <c r="V211" i="47"/>
  <c r="U211" i="47"/>
  <c r="T211" i="47"/>
  <c r="I211" i="47"/>
  <c r="H211" i="47"/>
  <c r="G211" i="47"/>
  <c r="F211" i="47"/>
  <c r="E211" i="47"/>
  <c r="X210" i="47"/>
  <c r="W210" i="47"/>
  <c r="V210" i="47"/>
  <c r="U210" i="47"/>
  <c r="T210" i="47"/>
  <c r="I210" i="47"/>
  <c r="H210" i="47"/>
  <c r="G210" i="47"/>
  <c r="F210" i="47"/>
  <c r="E210" i="47"/>
  <c r="X209" i="47"/>
  <c r="W209" i="47"/>
  <c r="V209" i="47"/>
  <c r="U209" i="47"/>
  <c r="T209" i="47"/>
  <c r="I209" i="47"/>
  <c r="H209" i="47"/>
  <c r="G209" i="47"/>
  <c r="F209" i="47"/>
  <c r="E209" i="47"/>
  <c r="X208" i="47"/>
  <c r="W208" i="47"/>
  <c r="V208" i="47"/>
  <c r="U208" i="47"/>
  <c r="T208" i="47"/>
  <c r="I208" i="47"/>
  <c r="H208" i="47"/>
  <c r="G208" i="47"/>
  <c r="F208" i="47"/>
  <c r="E208" i="47"/>
  <c r="X207" i="47"/>
  <c r="W207" i="47"/>
  <c r="V207" i="47"/>
  <c r="U207" i="47"/>
  <c r="T207" i="47"/>
  <c r="I207" i="47"/>
  <c r="H207" i="47"/>
  <c r="G207" i="47"/>
  <c r="F207" i="47"/>
  <c r="E207" i="47"/>
  <c r="X206" i="47"/>
  <c r="W206" i="47"/>
  <c r="V206" i="47"/>
  <c r="U206" i="47"/>
  <c r="T206" i="47"/>
  <c r="I206" i="47"/>
  <c r="H206" i="47"/>
  <c r="G206" i="47"/>
  <c r="F206" i="47"/>
  <c r="E206" i="47"/>
  <c r="D206" i="47"/>
  <c r="D207" i="47" s="1"/>
  <c r="D208" i="47" s="1"/>
  <c r="D209" i="47" s="1"/>
  <c r="D210" i="47" s="1"/>
  <c r="D211" i="47" s="1"/>
  <c r="D212" i="47" s="1"/>
  <c r="D213" i="47" s="1"/>
  <c r="Y203" i="47"/>
  <c r="X203" i="47"/>
  <c r="W203" i="47"/>
  <c r="V203" i="47"/>
  <c r="U203" i="47"/>
  <c r="T203" i="47"/>
  <c r="L203" i="47"/>
  <c r="K203" i="47"/>
  <c r="J203" i="47"/>
  <c r="I203" i="47"/>
  <c r="H203" i="47"/>
  <c r="G203" i="47"/>
  <c r="F203" i="47"/>
  <c r="E203" i="47"/>
  <c r="Y201" i="47"/>
  <c r="X201" i="47"/>
  <c r="W201" i="47"/>
  <c r="V201" i="47"/>
  <c r="U201" i="47"/>
  <c r="T201" i="47"/>
  <c r="X196" i="47"/>
  <c r="W196" i="47"/>
  <c r="V196" i="47"/>
  <c r="U196" i="47"/>
  <c r="T196" i="47"/>
  <c r="I196" i="47"/>
  <c r="H196" i="47"/>
  <c r="G196" i="47"/>
  <c r="F196" i="47"/>
  <c r="E196" i="47"/>
  <c r="X195" i="47"/>
  <c r="W195" i="47"/>
  <c r="V195" i="47"/>
  <c r="U195" i="47"/>
  <c r="T195" i="47"/>
  <c r="I195" i="47"/>
  <c r="H195" i="47"/>
  <c r="G195" i="47"/>
  <c r="F195" i="47"/>
  <c r="E195" i="47"/>
  <c r="X194" i="47"/>
  <c r="W194" i="47"/>
  <c r="V194" i="47"/>
  <c r="U194" i="47"/>
  <c r="T194" i="47"/>
  <c r="I194" i="47"/>
  <c r="H194" i="47"/>
  <c r="G194" i="47"/>
  <c r="F194" i="47"/>
  <c r="E194" i="47"/>
  <c r="X193" i="47"/>
  <c r="W193" i="47"/>
  <c r="V193" i="47"/>
  <c r="U193" i="47"/>
  <c r="T193" i="47"/>
  <c r="I193" i="47"/>
  <c r="H193" i="47"/>
  <c r="G193" i="47"/>
  <c r="F193" i="47"/>
  <c r="E193" i="47"/>
  <c r="X192" i="47"/>
  <c r="W192" i="47"/>
  <c r="V192" i="47"/>
  <c r="U192" i="47"/>
  <c r="T192" i="47"/>
  <c r="I192" i="47"/>
  <c r="H192" i="47"/>
  <c r="G192" i="47"/>
  <c r="F192" i="47"/>
  <c r="E192" i="47"/>
  <c r="X190" i="47"/>
  <c r="W190" i="47"/>
  <c r="V190" i="47"/>
  <c r="U190" i="47"/>
  <c r="T190" i="47"/>
  <c r="I190" i="47"/>
  <c r="H190" i="47"/>
  <c r="G190" i="47"/>
  <c r="F190" i="47"/>
  <c r="E190" i="47"/>
  <c r="X189" i="47"/>
  <c r="W189" i="47"/>
  <c r="V189" i="47"/>
  <c r="U189" i="47"/>
  <c r="T189" i="47"/>
  <c r="I189" i="47"/>
  <c r="H189" i="47"/>
  <c r="G189" i="47"/>
  <c r="F189" i="47"/>
  <c r="E189" i="47"/>
  <c r="X188" i="47"/>
  <c r="W188" i="47"/>
  <c r="V188" i="47"/>
  <c r="U188" i="47"/>
  <c r="T188" i="47"/>
  <c r="I188" i="47"/>
  <c r="H188" i="47"/>
  <c r="G188" i="47"/>
  <c r="F188" i="47"/>
  <c r="E188" i="47"/>
  <c r="D188" i="47"/>
  <c r="D189" i="47" s="1"/>
  <c r="D190" i="47" s="1"/>
  <c r="D191" i="47" s="1"/>
  <c r="D192" i="47" s="1"/>
  <c r="D193" i="47" s="1"/>
  <c r="D194" i="47" s="1"/>
  <c r="D195" i="47" s="1"/>
  <c r="D196" i="47" s="1"/>
  <c r="Y183" i="47"/>
  <c r="X183" i="47"/>
  <c r="W183" i="47"/>
  <c r="V183" i="47"/>
  <c r="U183" i="47"/>
  <c r="T183" i="47"/>
  <c r="D170" i="47"/>
  <c r="D171" i="47" s="1"/>
  <c r="D172" i="47" s="1"/>
  <c r="D173" i="47" s="1"/>
  <c r="D174" i="47" s="1"/>
  <c r="D175" i="47" s="1"/>
  <c r="D176" i="47" s="1"/>
  <c r="D177" i="47" s="1"/>
  <c r="D178" i="47" s="1"/>
  <c r="Y165" i="47"/>
  <c r="X165" i="47"/>
  <c r="W165" i="47"/>
  <c r="V165" i="47"/>
  <c r="U165" i="47"/>
  <c r="T165" i="47"/>
  <c r="Y156" i="47"/>
  <c r="X156" i="47"/>
  <c r="W156" i="47"/>
  <c r="V156" i="47"/>
  <c r="U156" i="47"/>
  <c r="T156" i="47"/>
  <c r="X155" i="47"/>
  <c r="W155" i="47"/>
  <c r="V155" i="47"/>
  <c r="U155" i="47"/>
  <c r="T155" i="47"/>
  <c r="I155" i="47"/>
  <c r="H155" i="47"/>
  <c r="G155" i="47"/>
  <c r="F155" i="47"/>
  <c r="E155" i="47"/>
  <c r="Y154" i="47"/>
  <c r="X154" i="47"/>
  <c r="W154" i="47"/>
  <c r="V154" i="47"/>
  <c r="U154" i="47"/>
  <c r="T154" i="47"/>
  <c r="Y152" i="47"/>
  <c r="X152" i="47"/>
  <c r="W152" i="47"/>
  <c r="V152" i="47"/>
  <c r="U152" i="47"/>
  <c r="T152" i="47"/>
  <c r="Y129" i="47"/>
  <c r="X129" i="47"/>
  <c r="W129" i="47"/>
  <c r="V129" i="47"/>
  <c r="U129" i="47"/>
  <c r="T129" i="47"/>
  <c r="T128" i="47"/>
  <c r="E128" i="47"/>
  <c r="Y127" i="47"/>
  <c r="X127" i="47"/>
  <c r="W127" i="47"/>
  <c r="V127" i="47"/>
  <c r="U127" i="47"/>
  <c r="T127" i="47"/>
  <c r="Y125" i="47"/>
  <c r="X125" i="47"/>
  <c r="W125" i="47"/>
  <c r="V125" i="47"/>
  <c r="U125" i="47"/>
  <c r="T125" i="47"/>
  <c r="X119" i="47"/>
  <c r="W119" i="47"/>
  <c r="V119" i="47"/>
  <c r="U119" i="47"/>
  <c r="T119" i="47"/>
  <c r="X118" i="47"/>
  <c r="W118" i="47"/>
  <c r="V118" i="47"/>
  <c r="U118" i="47"/>
  <c r="T118" i="47"/>
  <c r="I118" i="47"/>
  <c r="H118" i="47"/>
  <c r="G118" i="47"/>
  <c r="F118" i="47"/>
  <c r="E118" i="47"/>
  <c r="X117" i="47"/>
  <c r="W117" i="47"/>
  <c r="V117" i="47"/>
  <c r="U117" i="47"/>
  <c r="T117" i="47"/>
  <c r="Y110" i="47"/>
  <c r="X110" i="47"/>
  <c r="W110" i="47"/>
  <c r="V110" i="47"/>
  <c r="U110" i="47"/>
  <c r="T110" i="47"/>
  <c r="X109" i="47"/>
  <c r="W109" i="47"/>
  <c r="V109" i="47"/>
  <c r="U109" i="47"/>
  <c r="T109" i="47"/>
  <c r="I109" i="47"/>
  <c r="H109" i="47"/>
  <c r="G109" i="47"/>
  <c r="F109" i="47"/>
  <c r="E109" i="47"/>
  <c r="Y106" i="47"/>
  <c r="X106" i="47"/>
  <c r="W106" i="47"/>
  <c r="V106" i="47"/>
  <c r="U106" i="47"/>
  <c r="T106" i="47"/>
  <c r="Y101" i="47"/>
  <c r="X101" i="47"/>
  <c r="W101" i="47"/>
  <c r="V101" i="47"/>
  <c r="U101" i="47"/>
  <c r="T101" i="47"/>
  <c r="L101" i="47"/>
  <c r="K101" i="47"/>
  <c r="J101" i="47"/>
  <c r="I101" i="47"/>
  <c r="H101" i="47"/>
  <c r="G101" i="47"/>
  <c r="F101" i="47"/>
  <c r="E101" i="47"/>
  <c r="X100" i="47"/>
  <c r="W100" i="47"/>
  <c r="V100" i="47"/>
  <c r="U100" i="47"/>
  <c r="T100" i="47"/>
  <c r="I100" i="47"/>
  <c r="H100" i="47"/>
  <c r="G100" i="47"/>
  <c r="F100" i="47"/>
  <c r="E100" i="47"/>
  <c r="Y99" i="47"/>
  <c r="X99" i="47"/>
  <c r="W99" i="47"/>
  <c r="V99" i="47"/>
  <c r="U99" i="47"/>
  <c r="T99" i="47"/>
  <c r="L99" i="47"/>
  <c r="K99" i="47"/>
  <c r="J99" i="47"/>
  <c r="I99" i="47"/>
  <c r="H99" i="47"/>
  <c r="G99" i="47"/>
  <c r="F99" i="47"/>
  <c r="E99" i="47"/>
  <c r="Y92" i="47"/>
  <c r="X92" i="47"/>
  <c r="W92" i="47"/>
  <c r="V92" i="47"/>
  <c r="U92" i="47"/>
  <c r="T92" i="47"/>
  <c r="T91" i="47"/>
  <c r="E91" i="47"/>
  <c r="Y88" i="47"/>
  <c r="X88" i="47"/>
  <c r="W88" i="47"/>
  <c r="V88" i="47"/>
  <c r="U88" i="47"/>
  <c r="T88" i="47"/>
  <c r="Y83" i="47"/>
  <c r="X83" i="47"/>
  <c r="W83" i="47"/>
  <c r="V83" i="47"/>
  <c r="U83" i="47"/>
  <c r="T83" i="47"/>
  <c r="L83" i="47"/>
  <c r="K83" i="47"/>
  <c r="J83" i="47"/>
  <c r="I83" i="47"/>
  <c r="H83" i="47"/>
  <c r="G83" i="47"/>
  <c r="F83" i="47"/>
  <c r="E83" i="47"/>
  <c r="Y82" i="47"/>
  <c r="X82" i="47"/>
  <c r="W82" i="47"/>
  <c r="V82" i="47"/>
  <c r="U82" i="47"/>
  <c r="T82" i="47"/>
  <c r="L82" i="47"/>
  <c r="K82" i="47"/>
  <c r="J82" i="47"/>
  <c r="I82" i="47"/>
  <c r="H82" i="47"/>
  <c r="G82" i="47"/>
  <c r="F82" i="47"/>
  <c r="E82" i="47"/>
  <c r="Y81" i="47"/>
  <c r="X81" i="47"/>
  <c r="W81" i="47"/>
  <c r="V81" i="47"/>
  <c r="U81" i="47"/>
  <c r="T81" i="47"/>
  <c r="L81" i="47"/>
  <c r="K81" i="47"/>
  <c r="J81" i="47"/>
  <c r="I81" i="47"/>
  <c r="H81" i="47"/>
  <c r="G81" i="47"/>
  <c r="F81" i="47"/>
  <c r="E81" i="47"/>
  <c r="Y74" i="47"/>
  <c r="X74" i="47"/>
  <c r="W74" i="47"/>
  <c r="V74" i="47"/>
  <c r="U74" i="47"/>
  <c r="T74" i="47"/>
  <c r="X73" i="47"/>
  <c r="W73" i="47"/>
  <c r="V73" i="47"/>
  <c r="U73" i="47"/>
  <c r="T73" i="47"/>
  <c r="I73" i="47"/>
  <c r="H73" i="47"/>
  <c r="G73" i="47"/>
  <c r="F73" i="47"/>
  <c r="E73" i="47"/>
  <c r="Y72" i="47"/>
  <c r="X72" i="47"/>
  <c r="W72" i="47"/>
  <c r="V72" i="47"/>
  <c r="U72" i="47"/>
  <c r="T72" i="47"/>
  <c r="Y70" i="47"/>
  <c r="X70" i="47"/>
  <c r="W70" i="47"/>
  <c r="V70" i="47"/>
  <c r="U70" i="47"/>
  <c r="T70" i="47"/>
  <c r="Y65" i="47"/>
  <c r="X65" i="47"/>
  <c r="W65" i="47"/>
  <c r="V65" i="47"/>
  <c r="U65" i="47"/>
  <c r="T65" i="47"/>
  <c r="Y61" i="47"/>
  <c r="X61" i="47"/>
  <c r="W61" i="47"/>
  <c r="V61" i="47"/>
  <c r="U61" i="47"/>
  <c r="T61" i="47"/>
  <c r="T58" i="47"/>
  <c r="Y36" i="47"/>
  <c r="X36" i="47"/>
  <c r="W36" i="47"/>
  <c r="V36" i="47"/>
  <c r="U36" i="47"/>
  <c r="T36" i="47"/>
  <c r="Y24" i="47"/>
  <c r="Y26" i="47" s="1"/>
  <c r="X24" i="47"/>
  <c r="X26" i="47" s="1"/>
  <c r="W24" i="47"/>
  <c r="V24" i="47"/>
  <c r="V216" i="47" s="1"/>
  <c r="U24" i="47"/>
  <c r="T24" i="47"/>
  <c r="Y5" i="47"/>
  <c r="Y6" i="47" s="1"/>
  <c r="X5" i="47"/>
  <c r="X6" i="47" s="1"/>
  <c r="W5" i="47"/>
  <c r="W6" i="47" s="1"/>
  <c r="V5" i="47"/>
  <c r="V6" i="47" s="1"/>
  <c r="U5" i="47"/>
  <c r="U6" i="47" s="1"/>
  <c r="T5" i="47"/>
  <c r="T6" i="47" s="1"/>
  <c r="AI4" i="49" l="1"/>
  <c r="T4" i="49"/>
  <c r="AK4" i="49"/>
  <c r="F6" i="47"/>
  <c r="O163" i="47"/>
  <c r="N163" i="47"/>
  <c r="M163" i="47"/>
  <c r="Q163" i="47"/>
  <c r="P163" i="47"/>
  <c r="Y161" i="48"/>
  <c r="Y217" i="48"/>
  <c r="Y26" i="48"/>
  <c r="Y122" i="48"/>
  <c r="Y41" i="48"/>
  <c r="T122" i="48"/>
  <c r="H6" i="47"/>
  <c r="I6" i="47"/>
  <c r="J6" i="47"/>
  <c r="K6" i="47"/>
  <c r="G6" i="47"/>
  <c r="Q59" i="47"/>
  <c r="N59" i="47"/>
  <c r="M59" i="47"/>
  <c r="F42" i="39"/>
  <c r="Y122" i="47"/>
  <c r="Y41" i="47"/>
  <c r="P59" i="47"/>
  <c r="O59" i="47"/>
  <c r="U41" i="47"/>
  <c r="M42" i="39"/>
  <c r="X163" i="48"/>
  <c r="T161" i="48"/>
  <c r="Y181" i="48"/>
  <c r="X59" i="48"/>
  <c r="X217" i="48"/>
  <c r="W59" i="48"/>
  <c r="T163" i="47"/>
  <c r="Y59" i="48"/>
  <c r="Y163" i="48"/>
  <c r="T163" i="48"/>
  <c r="U162" i="48"/>
  <c r="Y161" i="47"/>
  <c r="Y58" i="48"/>
  <c r="U163" i="47"/>
  <c r="Y58" i="47"/>
  <c r="W216" i="47"/>
  <c r="W162" i="47"/>
  <c r="T161" i="47"/>
  <c r="N26" i="47"/>
  <c r="Y59" i="47"/>
  <c r="V162" i="47"/>
  <c r="X163" i="47"/>
  <c r="U162" i="47"/>
  <c r="M26" i="47"/>
  <c r="T41" i="47"/>
  <c r="Y163" i="47"/>
  <c r="X59" i="47"/>
  <c r="T59" i="47"/>
  <c r="T181" i="47"/>
  <c r="V41" i="47"/>
  <c r="Y181" i="47"/>
  <c r="X216" i="47"/>
  <c r="X162" i="47"/>
  <c r="Y216" i="47"/>
  <c r="W59" i="47"/>
  <c r="Y162" i="47"/>
  <c r="W41" i="47"/>
  <c r="U59" i="47"/>
  <c r="V59" i="47"/>
  <c r="X41" i="47"/>
  <c r="T122" i="47"/>
  <c r="T162" i="47"/>
  <c r="U163" i="48"/>
  <c r="T41" i="48"/>
  <c r="T217" i="48"/>
  <c r="T26" i="48"/>
  <c r="J41" i="48"/>
  <c r="U59" i="48"/>
  <c r="H26" i="48"/>
  <c r="U41" i="48"/>
  <c r="U217" i="48"/>
  <c r="U26" i="48"/>
  <c r="V59" i="48"/>
  <c r="T162" i="48"/>
  <c r="T59" i="48"/>
  <c r="I26" i="48"/>
  <c r="V217" i="48"/>
  <c r="V26" i="48"/>
  <c r="X162" i="48"/>
  <c r="W217" i="48"/>
  <c r="W26" i="48"/>
  <c r="Y162" i="48"/>
  <c r="V162" i="48"/>
  <c r="V163" i="48"/>
  <c r="V41" i="48"/>
  <c r="W162" i="48"/>
  <c r="W163" i="48"/>
  <c r="O26" i="48"/>
  <c r="P26" i="48"/>
  <c r="N41" i="48"/>
  <c r="O41" i="48"/>
  <c r="V163" i="47"/>
  <c r="W163" i="47"/>
  <c r="T26" i="47"/>
  <c r="T216" i="47"/>
  <c r="U216" i="47"/>
  <c r="U26" i="47"/>
  <c r="V26" i="47"/>
  <c r="W26" i="47"/>
  <c r="G66" i="10" l="1"/>
  <c r="G59" i="4"/>
  <c r="F59" i="4" l="1"/>
  <c r="AD41" i="28" l="1"/>
  <c r="BM41" i="28"/>
  <c r="BF41" i="28"/>
  <c r="F12" i="41" l="1"/>
  <c r="G39" i="28" l="1"/>
  <c r="AF22" i="10"/>
  <c r="R15" i="10"/>
  <c r="C14" i="36" l="1"/>
  <c r="C20" i="4" s="1"/>
  <c r="B22" i="53" s="1"/>
  <c r="N9" i="35"/>
  <c r="N10" i="35"/>
  <c r="L28" i="35"/>
  <c r="M28" i="35"/>
  <c r="N28" i="35"/>
  <c r="O28" i="35"/>
  <c r="P28" i="35"/>
  <c r="L30" i="35"/>
  <c r="M30" i="35"/>
  <c r="N30" i="35"/>
  <c r="O30" i="35"/>
  <c r="P30" i="35"/>
  <c r="L51" i="35"/>
  <c r="M51" i="35"/>
  <c r="N51" i="35"/>
  <c r="O51" i="35"/>
  <c r="P51" i="35"/>
  <c r="L54" i="35"/>
  <c r="M54" i="35"/>
  <c r="N54" i="35"/>
  <c r="O54" i="35"/>
  <c r="P54" i="35"/>
  <c r="L56" i="35"/>
  <c r="L60" i="35" s="1"/>
  <c r="M56" i="35"/>
  <c r="N56" i="35"/>
  <c r="O56" i="35"/>
  <c r="P56" i="35"/>
  <c r="P67" i="35" s="1"/>
  <c r="L57" i="35"/>
  <c r="L68" i="35" s="1"/>
  <c r="M57" i="35"/>
  <c r="M68" i="35" s="1"/>
  <c r="N57" i="35"/>
  <c r="N68" i="35" s="1"/>
  <c r="O57" i="35"/>
  <c r="O68" i="35" s="1"/>
  <c r="P57" i="35"/>
  <c r="P68" i="35" s="1"/>
  <c r="L58" i="35"/>
  <c r="M58" i="35"/>
  <c r="M60" i="35" s="1"/>
  <c r="N58" i="35"/>
  <c r="N60" i="35" s="1"/>
  <c r="O58" i="35"/>
  <c r="P58" i="35"/>
  <c r="L59" i="35"/>
  <c r="M59" i="35"/>
  <c r="M70" i="35" s="1"/>
  <c r="N59" i="35"/>
  <c r="N70" i="35" s="1"/>
  <c r="O59" i="35"/>
  <c r="O70" i="35" s="1"/>
  <c r="P59" i="35"/>
  <c r="P70" i="35" s="1"/>
  <c r="O60" i="35"/>
  <c r="P60" i="35"/>
  <c r="L62" i="35"/>
  <c r="M62" i="35"/>
  <c r="N62" i="35"/>
  <c r="O62" i="35"/>
  <c r="P62" i="35"/>
  <c r="L63" i="35"/>
  <c r="M63" i="35"/>
  <c r="N63" i="35"/>
  <c r="O63" i="35"/>
  <c r="P63" i="35"/>
  <c r="L64" i="35"/>
  <c r="M64" i="35"/>
  <c r="N64" i="35"/>
  <c r="O64" i="35"/>
  <c r="P64" i="35"/>
  <c r="L65" i="35"/>
  <c r="M65" i="35"/>
  <c r="N65" i="35"/>
  <c r="O65" i="35"/>
  <c r="P65" i="35"/>
  <c r="M67" i="35"/>
  <c r="N67" i="35"/>
  <c r="O67" i="35"/>
  <c r="L69" i="35"/>
  <c r="M69" i="35"/>
  <c r="N69" i="35"/>
  <c r="O69" i="35"/>
  <c r="P69" i="35"/>
  <c r="L70" i="35"/>
  <c r="L74" i="35"/>
  <c r="L83" i="35" s="1"/>
  <c r="M74" i="35"/>
  <c r="M83" i="35" s="1"/>
  <c r="N74" i="35"/>
  <c r="N83" i="35" s="1"/>
  <c r="O74" i="35"/>
  <c r="O83" i="35" s="1"/>
  <c r="P74" i="35"/>
  <c r="P83" i="35" s="1"/>
  <c r="L76" i="35"/>
  <c r="L85" i="35" s="1"/>
  <c r="L78" i="35"/>
  <c r="O78" i="35"/>
  <c r="O76" i="35" s="1"/>
  <c r="O80" i="35"/>
  <c r="O85" i="35"/>
  <c r="L86" i="35"/>
  <c r="L98" i="35" s="1"/>
  <c r="M86" i="35"/>
  <c r="N86" i="35"/>
  <c r="O86" i="35"/>
  <c r="P86" i="35"/>
  <c r="L87" i="35"/>
  <c r="O87" i="35"/>
  <c r="L88" i="35"/>
  <c r="M88" i="35"/>
  <c r="M100" i="35" s="1"/>
  <c r="N88" i="35"/>
  <c r="N100" i="35" s="1"/>
  <c r="O88" i="35"/>
  <c r="O100" i="35" s="1"/>
  <c r="P88" i="35"/>
  <c r="L91" i="35"/>
  <c r="M91" i="35"/>
  <c r="N91" i="35"/>
  <c r="O91" i="35"/>
  <c r="P91" i="35"/>
  <c r="N93" i="35"/>
  <c r="O93" i="35"/>
  <c r="P93" i="35"/>
  <c r="L94" i="35"/>
  <c r="L99" i="35"/>
  <c r="O99" i="35"/>
  <c r="L100" i="35"/>
  <c r="O89" i="35" l="1"/>
  <c r="L89" i="35"/>
  <c r="L92" i="35"/>
  <c r="L67" i="35"/>
  <c r="O97" i="35"/>
  <c r="P100" i="35"/>
  <c r="P98" i="35"/>
  <c r="O98" i="35"/>
  <c r="O95" i="35"/>
  <c r="N98" i="35"/>
  <c r="N78" i="35"/>
  <c r="N95" i="35"/>
  <c r="L80" i="35"/>
  <c r="L97" i="35"/>
  <c r="M78" i="35"/>
  <c r="M95" i="35"/>
  <c r="M93" i="35"/>
  <c r="P78" i="35"/>
  <c r="P95" i="35"/>
  <c r="L95" i="35"/>
  <c r="L93" i="35"/>
  <c r="M98" i="35"/>
  <c r="O92" i="35"/>
  <c r="O94" i="35"/>
  <c r="H25" i="41"/>
  <c r="I25" i="41"/>
  <c r="G26" i="41"/>
  <c r="H26" i="41"/>
  <c r="F25" i="41"/>
  <c r="F26" i="41"/>
  <c r="L11" i="41"/>
  <c r="M11" i="41"/>
  <c r="L12" i="41"/>
  <c r="M12" i="41"/>
  <c r="F11" i="41"/>
  <c r="D25" i="41"/>
  <c r="E25" i="41"/>
  <c r="D26" i="41"/>
  <c r="E26" i="41"/>
  <c r="C26" i="41"/>
  <c r="C25" i="41"/>
  <c r="D12" i="41"/>
  <c r="D11" i="41"/>
  <c r="C12" i="41"/>
  <c r="H12" i="41" s="1"/>
  <c r="C11" i="41"/>
  <c r="G12" i="41"/>
  <c r="H11" i="41"/>
  <c r="I11" i="41"/>
  <c r="N87" i="35" l="1"/>
  <c r="N99" i="35" s="1"/>
  <c r="N76" i="35"/>
  <c r="N94" i="35"/>
  <c r="P76" i="35"/>
  <c r="P94" i="35"/>
  <c r="P87" i="35"/>
  <c r="P99" i="35" s="1"/>
  <c r="M87" i="35"/>
  <c r="M99" i="35" s="1"/>
  <c r="M76" i="35"/>
  <c r="M94" i="35"/>
  <c r="I12" i="41"/>
  <c r="G11" i="41"/>
  <c r="J11" i="41" l="1"/>
  <c r="G25" i="41"/>
  <c r="J25" i="41" s="1"/>
  <c r="J12" i="41"/>
  <c r="I26" i="41"/>
  <c r="J26" i="41" s="1"/>
  <c r="P92" i="35"/>
  <c r="P80" i="35"/>
  <c r="P85" i="35"/>
  <c r="M92" i="35"/>
  <c r="M80" i="35"/>
  <c r="M85" i="35"/>
  <c r="N92" i="35"/>
  <c r="N80" i="35"/>
  <c r="N85" i="35"/>
  <c r="N89" i="35" l="1"/>
  <c r="N97" i="35"/>
  <c r="M89" i="35"/>
  <c r="M97" i="35"/>
  <c r="P89" i="35"/>
  <c r="P97" i="35"/>
  <c r="C7" i="46" l="1"/>
  <c r="T70" i="38"/>
  <c r="U70" i="38"/>
  <c r="V70" i="38"/>
  <c r="W70" i="38"/>
  <c r="X70" i="38"/>
  <c r="Y70" i="38"/>
  <c r="T72" i="38"/>
  <c r="U72" i="38"/>
  <c r="V72" i="38"/>
  <c r="W72" i="38"/>
  <c r="X72" i="38"/>
  <c r="Y72" i="38"/>
  <c r="T73" i="38"/>
  <c r="U73" i="38"/>
  <c r="V73" i="38"/>
  <c r="W73" i="38"/>
  <c r="X73" i="38"/>
  <c r="T74" i="38"/>
  <c r="U74" i="38"/>
  <c r="V74" i="38"/>
  <c r="W74" i="38"/>
  <c r="X74" i="38"/>
  <c r="Y74" i="38"/>
  <c r="T81" i="38"/>
  <c r="U81" i="38"/>
  <c r="V81" i="38"/>
  <c r="W81" i="38"/>
  <c r="X81" i="38"/>
  <c r="Y81" i="38"/>
  <c r="T82" i="38"/>
  <c r="U82" i="38"/>
  <c r="V82" i="38"/>
  <c r="W82" i="38"/>
  <c r="X82" i="38"/>
  <c r="Y82" i="38"/>
  <c r="T83" i="38"/>
  <c r="U83" i="38"/>
  <c r="V83" i="38"/>
  <c r="W83" i="38"/>
  <c r="X83" i="38"/>
  <c r="Y83" i="38"/>
  <c r="T88" i="38"/>
  <c r="U88" i="38"/>
  <c r="V88" i="38"/>
  <c r="W88" i="38"/>
  <c r="X88" i="38"/>
  <c r="Y88" i="38"/>
  <c r="T91" i="38"/>
  <c r="T92" i="38"/>
  <c r="U92" i="38"/>
  <c r="V92" i="38"/>
  <c r="W92" i="38"/>
  <c r="X92" i="38"/>
  <c r="Y92" i="38"/>
  <c r="T99" i="38"/>
  <c r="U99" i="38"/>
  <c r="V99" i="38"/>
  <c r="W99" i="38"/>
  <c r="X99" i="38"/>
  <c r="Y99" i="38"/>
  <c r="T100" i="38"/>
  <c r="U100" i="38"/>
  <c r="V100" i="38"/>
  <c r="W100" i="38"/>
  <c r="X100" i="38"/>
  <c r="T101" i="38"/>
  <c r="U101" i="38"/>
  <c r="V101" i="38"/>
  <c r="W101" i="38"/>
  <c r="X101" i="38"/>
  <c r="Y101" i="38"/>
  <c r="T106" i="38"/>
  <c r="U106" i="38"/>
  <c r="V106" i="38"/>
  <c r="W106" i="38"/>
  <c r="X106" i="38"/>
  <c r="Y106" i="38"/>
  <c r="T109" i="38"/>
  <c r="U109" i="38"/>
  <c r="V109" i="38"/>
  <c r="W109" i="38"/>
  <c r="X109" i="38"/>
  <c r="T110" i="38"/>
  <c r="U110" i="38"/>
  <c r="V110" i="38"/>
  <c r="W110" i="38"/>
  <c r="X110" i="38"/>
  <c r="Y110" i="38"/>
  <c r="T117" i="38"/>
  <c r="U117" i="38"/>
  <c r="V117" i="38"/>
  <c r="W117" i="38"/>
  <c r="X117" i="38"/>
  <c r="T118" i="38"/>
  <c r="U118" i="38"/>
  <c r="V118" i="38"/>
  <c r="W118" i="38"/>
  <c r="X118" i="38"/>
  <c r="T119" i="38"/>
  <c r="U119" i="38"/>
  <c r="V119" i="38"/>
  <c r="W119" i="38"/>
  <c r="X119" i="38"/>
  <c r="T125" i="38"/>
  <c r="U125" i="38"/>
  <c r="V125" i="38"/>
  <c r="W125" i="38"/>
  <c r="X125" i="38"/>
  <c r="Y125" i="38"/>
  <c r="T127" i="38"/>
  <c r="U127" i="38"/>
  <c r="V127" i="38"/>
  <c r="W127" i="38"/>
  <c r="X127" i="38"/>
  <c r="Y127" i="38"/>
  <c r="T128" i="38"/>
  <c r="T129" i="38"/>
  <c r="U129" i="38"/>
  <c r="V129" i="38"/>
  <c r="W129" i="38"/>
  <c r="X129" i="38"/>
  <c r="Y129" i="38"/>
  <c r="T152" i="38"/>
  <c r="U152" i="38"/>
  <c r="V152" i="38"/>
  <c r="W152" i="38"/>
  <c r="X152" i="38"/>
  <c r="Y152" i="38"/>
  <c r="T154" i="38"/>
  <c r="U154" i="38"/>
  <c r="V154" i="38"/>
  <c r="W154" i="38"/>
  <c r="X154" i="38"/>
  <c r="Y154" i="38"/>
  <c r="T155" i="38"/>
  <c r="U155" i="38"/>
  <c r="V155" i="38"/>
  <c r="W155" i="38"/>
  <c r="X155" i="38"/>
  <c r="T156" i="38"/>
  <c r="U156" i="38"/>
  <c r="V156" i="38"/>
  <c r="W156" i="38"/>
  <c r="X156" i="38"/>
  <c r="Y156" i="38"/>
  <c r="T165" i="38"/>
  <c r="U165" i="38"/>
  <c r="V165" i="38"/>
  <c r="W165" i="38"/>
  <c r="X165" i="38"/>
  <c r="Y165" i="38"/>
  <c r="T197" i="38"/>
  <c r="U197" i="38"/>
  <c r="V197" i="38"/>
  <c r="W197" i="38"/>
  <c r="X197" i="38"/>
  <c r="Y197" i="38"/>
  <c r="T202" i="38"/>
  <c r="U202" i="38"/>
  <c r="V202" i="38"/>
  <c r="W202" i="38"/>
  <c r="X202" i="38"/>
  <c r="T203" i="38"/>
  <c r="U203" i="38"/>
  <c r="V203" i="38"/>
  <c r="W203" i="38"/>
  <c r="X203" i="38"/>
  <c r="T204" i="38"/>
  <c r="U204" i="38"/>
  <c r="V204" i="38"/>
  <c r="W204" i="38"/>
  <c r="X204" i="38"/>
  <c r="T206" i="38"/>
  <c r="U206" i="38"/>
  <c r="V206" i="38"/>
  <c r="W206" i="38"/>
  <c r="X206" i="38"/>
  <c r="T207" i="38"/>
  <c r="U207" i="38"/>
  <c r="V207" i="38"/>
  <c r="W207" i="38"/>
  <c r="X207" i="38"/>
  <c r="T208" i="38"/>
  <c r="U208" i="38"/>
  <c r="V208" i="38"/>
  <c r="W208" i="38"/>
  <c r="X208" i="38"/>
  <c r="T209" i="38"/>
  <c r="U209" i="38"/>
  <c r="V209" i="38"/>
  <c r="W209" i="38"/>
  <c r="X209" i="38"/>
  <c r="T210" i="38"/>
  <c r="U210" i="38"/>
  <c r="V210" i="38"/>
  <c r="W210" i="38"/>
  <c r="X210" i="38"/>
  <c r="T211" i="38"/>
  <c r="U211" i="38"/>
  <c r="V211" i="38"/>
  <c r="W211" i="38"/>
  <c r="X211" i="38"/>
  <c r="T212" i="38"/>
  <c r="U212" i="38"/>
  <c r="V212" i="38"/>
  <c r="W212" i="38"/>
  <c r="X212" i="38"/>
  <c r="T213" i="38"/>
  <c r="U213" i="38"/>
  <c r="V213" i="38"/>
  <c r="W213" i="38"/>
  <c r="X213" i="38"/>
  <c r="T214" i="38"/>
  <c r="U214" i="38"/>
  <c r="V214" i="38"/>
  <c r="W214" i="38"/>
  <c r="X214" i="38"/>
  <c r="T215" i="38"/>
  <c r="U215" i="38"/>
  <c r="V215" i="38"/>
  <c r="W215" i="38"/>
  <c r="X215" i="38"/>
  <c r="T216" i="38"/>
  <c r="U216" i="38"/>
  <c r="V216" i="38"/>
  <c r="W216" i="38"/>
  <c r="X216" i="38"/>
  <c r="T217" i="38"/>
  <c r="U217" i="38"/>
  <c r="V217" i="38"/>
  <c r="W217" i="38"/>
  <c r="X217" i="38"/>
  <c r="T224" i="38"/>
  <c r="U224" i="38"/>
  <c r="V224" i="38"/>
  <c r="W224" i="38"/>
  <c r="X224" i="38"/>
  <c r="Y224" i="38"/>
  <c r="T229" i="38"/>
  <c r="U229" i="38"/>
  <c r="V229" i="38"/>
  <c r="W229" i="38"/>
  <c r="X229" i="38"/>
  <c r="Y229" i="38"/>
  <c r="T231" i="38"/>
  <c r="U231" i="38"/>
  <c r="V231" i="38"/>
  <c r="W231" i="38"/>
  <c r="X231" i="38"/>
  <c r="Y231" i="38"/>
  <c r="T234" i="38"/>
  <c r="U234" i="38"/>
  <c r="V234" i="38"/>
  <c r="W234" i="38"/>
  <c r="X234" i="38"/>
  <c r="T235" i="38"/>
  <c r="U235" i="38"/>
  <c r="V235" i="38"/>
  <c r="W235" i="38"/>
  <c r="X235" i="38"/>
  <c r="T236" i="38"/>
  <c r="U236" i="38"/>
  <c r="V236" i="38"/>
  <c r="W236" i="38"/>
  <c r="X236" i="38"/>
  <c r="T237" i="38"/>
  <c r="U237" i="38"/>
  <c r="V237" i="38"/>
  <c r="W237" i="38"/>
  <c r="X237" i="38"/>
  <c r="T238" i="38"/>
  <c r="U238" i="38"/>
  <c r="V238" i="38"/>
  <c r="W238" i="38"/>
  <c r="X238" i="38"/>
  <c r="T239" i="38"/>
  <c r="U239" i="38"/>
  <c r="V239" i="38"/>
  <c r="W239" i="38"/>
  <c r="X239" i="38"/>
  <c r="T240" i="38"/>
  <c r="U240" i="38"/>
  <c r="V240" i="38"/>
  <c r="W240" i="38"/>
  <c r="X240" i="38"/>
  <c r="T241" i="38"/>
  <c r="U241" i="38"/>
  <c r="V241" i="38"/>
  <c r="W241" i="38"/>
  <c r="X241" i="38"/>
  <c r="T242" i="38"/>
  <c r="U242" i="38"/>
  <c r="V242" i="38"/>
  <c r="W242" i="38"/>
  <c r="X242" i="38"/>
  <c r="T243" i="38"/>
  <c r="U243" i="38"/>
  <c r="V243" i="38"/>
  <c r="W243" i="38"/>
  <c r="X243" i="38"/>
  <c r="T244" i="38"/>
  <c r="U244" i="38"/>
  <c r="V244" i="38"/>
  <c r="W244" i="38"/>
  <c r="X244" i="38"/>
  <c r="T245" i="38"/>
  <c r="U245" i="38"/>
  <c r="V245" i="38"/>
  <c r="W245" i="38"/>
  <c r="X245" i="38"/>
  <c r="T246" i="38"/>
  <c r="U246" i="38"/>
  <c r="V246" i="38"/>
  <c r="W246" i="38"/>
  <c r="X246" i="38"/>
  <c r="T247" i="38"/>
  <c r="U247" i="38"/>
  <c r="V247" i="38"/>
  <c r="W247" i="38"/>
  <c r="X247" i="38"/>
  <c r="T248" i="38"/>
  <c r="U248" i="38"/>
  <c r="V248" i="38"/>
  <c r="W248" i="38"/>
  <c r="X248" i="38"/>
  <c r="T249" i="38"/>
  <c r="U249" i="38"/>
  <c r="V249" i="38"/>
  <c r="W249" i="38"/>
  <c r="X249" i="38"/>
  <c r="T250" i="38"/>
  <c r="U250" i="38"/>
  <c r="V250" i="38"/>
  <c r="W250" i="38"/>
  <c r="X250" i="38"/>
  <c r="T251" i="38"/>
  <c r="U251" i="38"/>
  <c r="V251" i="38"/>
  <c r="W251" i="38"/>
  <c r="X251" i="38"/>
  <c r="T252" i="38"/>
  <c r="U252" i="38"/>
  <c r="V252" i="38"/>
  <c r="W252" i="38"/>
  <c r="X252" i="38"/>
  <c r="T253" i="38"/>
  <c r="U253" i="38"/>
  <c r="V253" i="38"/>
  <c r="W253" i="38"/>
  <c r="X253" i="38"/>
  <c r="T254" i="38"/>
  <c r="U254" i="38"/>
  <c r="V254" i="38"/>
  <c r="W254" i="38"/>
  <c r="X254" i="38"/>
  <c r="T255" i="38"/>
  <c r="U255" i="38"/>
  <c r="V255" i="38"/>
  <c r="W255" i="38"/>
  <c r="X255" i="38"/>
  <c r="T256" i="38"/>
  <c r="U256" i="38"/>
  <c r="V256" i="38"/>
  <c r="W256" i="38"/>
  <c r="X256" i="38"/>
  <c r="T261" i="38"/>
  <c r="U261" i="38"/>
  <c r="U258" i="38" s="1"/>
  <c r="V261" i="38"/>
  <c r="V258" i="38" s="1"/>
  <c r="W261" i="38"/>
  <c r="W258" i="38" s="1"/>
  <c r="X261" i="38"/>
  <c r="X258" i="38" s="1"/>
  <c r="Y261" i="38"/>
  <c r="Y258" i="38" s="1"/>
  <c r="T266" i="38"/>
  <c r="U266" i="38"/>
  <c r="V266" i="38"/>
  <c r="W266" i="38"/>
  <c r="X266" i="38"/>
  <c r="T269" i="38"/>
  <c r="U269" i="38"/>
  <c r="V269" i="38"/>
  <c r="W269" i="38"/>
  <c r="X269" i="38"/>
  <c r="T271" i="38"/>
  <c r="U271" i="38"/>
  <c r="V271" i="38"/>
  <c r="W271" i="38"/>
  <c r="X271" i="38"/>
  <c r="T272" i="38"/>
  <c r="U272" i="38"/>
  <c r="V272" i="38"/>
  <c r="W272" i="38"/>
  <c r="X272" i="38"/>
  <c r="T274" i="38"/>
  <c r="U274" i="38"/>
  <c r="V274" i="38"/>
  <c r="W274" i="38"/>
  <c r="X274" i="38"/>
  <c r="T275" i="38"/>
  <c r="U275" i="38"/>
  <c r="V275" i="38"/>
  <c r="W275" i="38"/>
  <c r="X275" i="38"/>
  <c r="T276" i="38"/>
  <c r="U276" i="38"/>
  <c r="V276" i="38"/>
  <c r="W276" i="38"/>
  <c r="X276" i="38"/>
  <c r="T277" i="38"/>
  <c r="U277" i="38"/>
  <c r="V277" i="38"/>
  <c r="W277" i="38"/>
  <c r="X277" i="38"/>
  <c r="T278" i="38"/>
  <c r="U278" i="38"/>
  <c r="V278" i="38"/>
  <c r="W278" i="38"/>
  <c r="X278" i="38"/>
  <c r="T279" i="38"/>
  <c r="U279" i="38"/>
  <c r="V279" i="38"/>
  <c r="W279" i="38"/>
  <c r="X279" i="38"/>
  <c r="T280" i="38"/>
  <c r="U280" i="38"/>
  <c r="V280" i="38"/>
  <c r="W280" i="38"/>
  <c r="X280" i="38"/>
  <c r="T281" i="38"/>
  <c r="U281" i="38"/>
  <c r="V281" i="38"/>
  <c r="W281" i="38"/>
  <c r="X281" i="38"/>
  <c r="T282" i="38"/>
  <c r="U282" i="38"/>
  <c r="V282" i="38"/>
  <c r="W282" i="38"/>
  <c r="X282" i="38"/>
  <c r="T283" i="38"/>
  <c r="U283" i="38"/>
  <c r="V283" i="38"/>
  <c r="W283" i="38"/>
  <c r="X283" i="38"/>
  <c r="T284" i="38"/>
  <c r="U284" i="38"/>
  <c r="V284" i="38"/>
  <c r="W284" i="38"/>
  <c r="X284" i="38"/>
  <c r="T285" i="38"/>
  <c r="U285" i="38"/>
  <c r="V285" i="38"/>
  <c r="W285" i="38"/>
  <c r="X285" i="38"/>
  <c r="T286" i="38"/>
  <c r="U286" i="38"/>
  <c r="V286" i="38"/>
  <c r="W286" i="38"/>
  <c r="X286" i="38"/>
  <c r="T287" i="38"/>
  <c r="U287" i="38"/>
  <c r="V287" i="38"/>
  <c r="W287" i="38"/>
  <c r="X287" i="38"/>
  <c r="T288" i="38"/>
  <c r="U288" i="38"/>
  <c r="V288" i="38"/>
  <c r="W288" i="38"/>
  <c r="X288" i="38"/>
  <c r="T300" i="38"/>
  <c r="U300" i="38"/>
  <c r="V300" i="38"/>
  <c r="W300" i="38"/>
  <c r="X300" i="38"/>
  <c r="T301" i="38"/>
  <c r="U301" i="38"/>
  <c r="V301" i="38"/>
  <c r="W301" i="38"/>
  <c r="X301" i="38"/>
  <c r="T302" i="38"/>
  <c r="U302" i="38"/>
  <c r="V302" i="38"/>
  <c r="W302" i="38"/>
  <c r="X302" i="38"/>
  <c r="T303" i="38"/>
  <c r="U303" i="38"/>
  <c r="V303" i="38"/>
  <c r="W303" i="38"/>
  <c r="X303" i="38"/>
  <c r="T304" i="38"/>
  <c r="U304" i="38"/>
  <c r="V304" i="38"/>
  <c r="W304" i="38"/>
  <c r="X304" i="38"/>
  <c r="T305" i="38"/>
  <c r="U305" i="38"/>
  <c r="V305" i="38"/>
  <c r="W305" i="38"/>
  <c r="X305" i="38"/>
  <c r="T306" i="38"/>
  <c r="U306" i="38"/>
  <c r="V306" i="38"/>
  <c r="W306" i="38"/>
  <c r="X306" i="38"/>
  <c r="T307" i="38"/>
  <c r="U307" i="38"/>
  <c r="V307" i="38"/>
  <c r="W307" i="38"/>
  <c r="X307" i="38"/>
  <c r="T308" i="38"/>
  <c r="U308" i="38"/>
  <c r="V308" i="38"/>
  <c r="W308" i="38"/>
  <c r="X308" i="38"/>
  <c r="T309" i="38"/>
  <c r="U309" i="38"/>
  <c r="V309" i="38"/>
  <c r="W309" i="38"/>
  <c r="X309" i="38"/>
  <c r="T310" i="38"/>
  <c r="U310" i="38"/>
  <c r="V310" i="38"/>
  <c r="W310" i="38"/>
  <c r="X310" i="38"/>
  <c r="T311" i="38"/>
  <c r="U311" i="38"/>
  <c r="V311" i="38"/>
  <c r="W311" i="38"/>
  <c r="X311" i="38"/>
  <c r="T312" i="38"/>
  <c r="U312" i="38"/>
  <c r="V312" i="38"/>
  <c r="W312" i="38"/>
  <c r="X312" i="38"/>
  <c r="T313" i="38"/>
  <c r="U313" i="38"/>
  <c r="V313" i="38"/>
  <c r="W313" i="38"/>
  <c r="X313" i="38"/>
  <c r="T314" i="38"/>
  <c r="U314" i="38"/>
  <c r="V314" i="38"/>
  <c r="W314" i="38"/>
  <c r="X314" i="38"/>
  <c r="T315" i="38"/>
  <c r="U315" i="38"/>
  <c r="V315" i="38"/>
  <c r="W315" i="38"/>
  <c r="X315" i="38"/>
  <c r="T316" i="38"/>
  <c r="U316" i="38"/>
  <c r="V316" i="38"/>
  <c r="W316" i="38"/>
  <c r="X316" i="38"/>
  <c r="T317" i="38"/>
  <c r="U317" i="38"/>
  <c r="V317" i="38"/>
  <c r="W317" i="38"/>
  <c r="X317" i="38"/>
  <c r="T318" i="38"/>
  <c r="U318" i="38"/>
  <c r="V318" i="38"/>
  <c r="W318" i="38"/>
  <c r="X318" i="38"/>
  <c r="T319" i="38"/>
  <c r="U319" i="38"/>
  <c r="V319" i="38"/>
  <c r="W319" i="38"/>
  <c r="X319" i="38"/>
  <c r="T320" i="38"/>
  <c r="U320" i="38"/>
  <c r="V320" i="38"/>
  <c r="W320" i="38"/>
  <c r="X320" i="38"/>
  <c r="T321" i="38"/>
  <c r="U321" i="38"/>
  <c r="V321" i="38"/>
  <c r="W321" i="38"/>
  <c r="X321" i="38"/>
  <c r="T322" i="38"/>
  <c r="U322" i="38"/>
  <c r="V322" i="38"/>
  <c r="W322" i="38"/>
  <c r="X322" i="38"/>
  <c r="T359" i="38"/>
  <c r="U359" i="38"/>
  <c r="V359" i="38"/>
  <c r="W359" i="38"/>
  <c r="X359" i="38"/>
  <c r="T363" i="38"/>
  <c r="U363" i="38"/>
  <c r="V363" i="38"/>
  <c r="W363" i="38"/>
  <c r="X363" i="38"/>
  <c r="Y363" i="38"/>
  <c r="T391" i="38"/>
  <c r="U391" i="38"/>
  <c r="V391" i="38"/>
  <c r="W391" i="38"/>
  <c r="X391" i="38"/>
  <c r="Y391" i="38"/>
  <c r="T395" i="38"/>
  <c r="U395" i="38"/>
  <c r="V395" i="38"/>
  <c r="W395" i="38"/>
  <c r="X395" i="38"/>
  <c r="Y395" i="38"/>
  <c r="T396" i="38"/>
  <c r="U396" i="38"/>
  <c r="V396" i="38"/>
  <c r="W396" i="38"/>
  <c r="X396" i="38"/>
  <c r="Y396" i="38"/>
  <c r="T397" i="38"/>
  <c r="U397" i="38"/>
  <c r="V397" i="38"/>
  <c r="W397" i="38"/>
  <c r="X397" i="38"/>
  <c r="Y397" i="38"/>
  <c r="T398" i="38"/>
  <c r="U398" i="38"/>
  <c r="V398" i="38"/>
  <c r="W398" i="38"/>
  <c r="X398" i="38"/>
  <c r="Y398" i="38"/>
  <c r="T399" i="38"/>
  <c r="U399" i="38"/>
  <c r="V399" i="38"/>
  <c r="W399" i="38"/>
  <c r="X399" i="38"/>
  <c r="Y399" i="38"/>
  <c r="T400" i="38"/>
  <c r="U400" i="38"/>
  <c r="V400" i="38"/>
  <c r="W400" i="38"/>
  <c r="X400" i="38"/>
  <c r="Y400" i="38"/>
  <c r="T401" i="38"/>
  <c r="U401" i="38"/>
  <c r="V401" i="38"/>
  <c r="W401" i="38"/>
  <c r="X401" i="38"/>
  <c r="Y401" i="38"/>
  <c r="T402" i="38"/>
  <c r="U402" i="38"/>
  <c r="V402" i="38"/>
  <c r="W402" i="38"/>
  <c r="X402" i="38"/>
  <c r="Y402" i="38"/>
  <c r="T403" i="38"/>
  <c r="U403" i="38"/>
  <c r="V403" i="38"/>
  <c r="W403" i="38"/>
  <c r="X403" i="38"/>
  <c r="Y403" i="38"/>
  <c r="T404" i="38"/>
  <c r="U404" i="38"/>
  <c r="V404" i="38"/>
  <c r="W404" i="38"/>
  <c r="X404" i="38"/>
  <c r="Y404" i="38"/>
  <c r="T405" i="38"/>
  <c r="U405" i="38"/>
  <c r="V405" i="38"/>
  <c r="W405" i="38"/>
  <c r="X405" i="38"/>
  <c r="Y405" i="38"/>
  <c r="T406" i="38"/>
  <c r="U406" i="38"/>
  <c r="V406" i="38"/>
  <c r="W406" i="38"/>
  <c r="X406" i="38"/>
  <c r="Y406" i="38"/>
  <c r="T407" i="38"/>
  <c r="U407" i="38"/>
  <c r="V407" i="38"/>
  <c r="W407" i="38"/>
  <c r="X407" i="38"/>
  <c r="Y407" i="38"/>
  <c r="T408" i="38"/>
  <c r="U408" i="38"/>
  <c r="V408" i="38"/>
  <c r="W408" i="38"/>
  <c r="X408" i="38"/>
  <c r="Y408" i="38"/>
  <c r="T409" i="38"/>
  <c r="U409" i="38"/>
  <c r="V409" i="38"/>
  <c r="W409" i="38"/>
  <c r="X409" i="38"/>
  <c r="Y409" i="38"/>
  <c r="T410" i="38"/>
  <c r="U410" i="38"/>
  <c r="V410" i="38"/>
  <c r="W410" i="38"/>
  <c r="X410" i="38"/>
  <c r="Y410" i="38"/>
  <c r="T411" i="38"/>
  <c r="U411" i="38"/>
  <c r="V411" i="38"/>
  <c r="W411" i="38"/>
  <c r="X411" i="38"/>
  <c r="Y411" i="38"/>
  <c r="T412" i="38"/>
  <c r="U412" i="38"/>
  <c r="V412" i="38"/>
  <c r="W412" i="38"/>
  <c r="X412" i="38"/>
  <c r="Y412" i="38"/>
  <c r="T413" i="38"/>
  <c r="U413" i="38"/>
  <c r="V413" i="38"/>
  <c r="W413" i="38"/>
  <c r="X413" i="38"/>
  <c r="Y413" i="38"/>
  <c r="T414" i="38"/>
  <c r="U414" i="38"/>
  <c r="V414" i="38"/>
  <c r="W414" i="38"/>
  <c r="X414" i="38"/>
  <c r="Y414" i="38"/>
  <c r="T415" i="38"/>
  <c r="U415" i="38"/>
  <c r="V415" i="38"/>
  <c r="W415" i="38"/>
  <c r="X415" i="38"/>
  <c r="Y415" i="38"/>
  <c r="T416" i="38"/>
  <c r="U416" i="38"/>
  <c r="V416" i="38"/>
  <c r="W416" i="38"/>
  <c r="X416" i="38"/>
  <c r="Y416" i="38"/>
  <c r="T417" i="38"/>
  <c r="U417" i="38"/>
  <c r="V417" i="38"/>
  <c r="W417" i="38"/>
  <c r="X417" i="38"/>
  <c r="Y417" i="38"/>
  <c r="T418" i="38"/>
  <c r="U418" i="38"/>
  <c r="V418" i="38"/>
  <c r="W418" i="38"/>
  <c r="X418" i="38"/>
  <c r="Y418" i="38"/>
  <c r="T61" i="38"/>
  <c r="U61" i="38"/>
  <c r="V61" i="38"/>
  <c r="W61" i="38"/>
  <c r="X61" i="38"/>
  <c r="Y61" i="38"/>
  <c r="Y58" i="38" s="1"/>
  <c r="T65" i="38"/>
  <c r="U65" i="38"/>
  <c r="V65" i="38"/>
  <c r="W65" i="38"/>
  <c r="X65" i="38"/>
  <c r="Y65" i="38"/>
  <c r="T58" i="38"/>
  <c r="Y59" i="38"/>
  <c r="T36" i="38"/>
  <c r="U36" i="38"/>
  <c r="V36" i="38"/>
  <c r="W36" i="38"/>
  <c r="X36" i="38"/>
  <c r="Y36" i="38"/>
  <c r="T5" i="38"/>
  <c r="U5" i="38"/>
  <c r="V5" i="38"/>
  <c r="W5" i="38"/>
  <c r="X5" i="38"/>
  <c r="Y5" i="38"/>
  <c r="T6" i="38"/>
  <c r="U6" i="38"/>
  <c r="V6" i="38"/>
  <c r="W6" i="38"/>
  <c r="X6" i="38"/>
  <c r="Y6" i="38"/>
  <c r="X59" i="38" l="1"/>
  <c r="W59" i="38"/>
  <c r="V59" i="38"/>
  <c r="U59" i="38"/>
  <c r="T59" i="38"/>
  <c r="Y162" i="38"/>
  <c r="X163" i="38"/>
  <c r="U163" i="38"/>
  <c r="V162" i="38"/>
  <c r="T163" i="38"/>
  <c r="W163" i="38"/>
  <c r="T162" i="38"/>
  <c r="T258" i="38"/>
  <c r="Y163" i="38"/>
  <c r="Y161" i="38"/>
  <c r="X162" i="38"/>
  <c r="W162" i="38"/>
  <c r="U162" i="38"/>
  <c r="T161" i="38"/>
  <c r="V163" i="38"/>
  <c r="C18" i="45" l="1"/>
  <c r="B6" i="45"/>
  <c r="B7" i="45" s="1"/>
  <c r="B8" i="45" s="1"/>
  <c r="B9" i="45" s="1"/>
  <c r="B10" i="45" s="1"/>
  <c r="B11" i="45" s="1"/>
  <c r="B12" i="45" s="1"/>
  <c r="N13" i="37"/>
  <c r="N12" i="37"/>
  <c r="N11" i="37"/>
  <c r="N10" i="37"/>
  <c r="N9" i="37"/>
  <c r="N8" i="37"/>
  <c r="N7" i="37"/>
  <c r="N6" i="37"/>
  <c r="G13" i="37"/>
  <c r="L36" i="47" s="1"/>
  <c r="G12" i="37"/>
  <c r="K36" i="47" s="1"/>
  <c r="G11" i="37"/>
  <c r="J36" i="47" s="1"/>
  <c r="G10" i="37"/>
  <c r="I36" i="47" s="1"/>
  <c r="G9" i="37"/>
  <c r="H36" i="47" s="1"/>
  <c r="G8" i="37"/>
  <c r="G36" i="47" s="1"/>
  <c r="G7" i="37"/>
  <c r="F36" i="47" s="1"/>
  <c r="G6" i="37"/>
  <c r="E36" i="47" s="1"/>
  <c r="N24" i="37"/>
  <c r="N23" i="37"/>
  <c r="N22" i="37"/>
  <c r="G24" i="37"/>
  <c r="G36" i="48" s="1"/>
  <c r="G23" i="37"/>
  <c r="F36" i="48" s="1"/>
  <c r="G22" i="37"/>
  <c r="E36" i="48" s="1"/>
  <c r="B22" i="37"/>
  <c r="Q41" i="35"/>
  <c r="U36" i="35"/>
  <c r="T36" i="35"/>
  <c r="S36" i="35"/>
  <c r="R36" i="35"/>
  <c r="Q36" i="35"/>
  <c r="U35" i="35"/>
  <c r="T35" i="35"/>
  <c r="S35" i="35"/>
  <c r="R35" i="35"/>
  <c r="Q35" i="35"/>
  <c r="U34" i="35"/>
  <c r="T34" i="35"/>
  <c r="S34" i="35"/>
  <c r="R34" i="35"/>
  <c r="Q34" i="35"/>
  <c r="U33" i="35"/>
  <c r="T33" i="35"/>
  <c r="S33" i="35"/>
  <c r="R33" i="35"/>
  <c r="Q33" i="35"/>
  <c r="U65" i="35"/>
  <c r="T65" i="35"/>
  <c r="S65" i="35"/>
  <c r="R65" i="35"/>
  <c r="Q65" i="35"/>
  <c r="U64" i="35"/>
  <c r="T64" i="35"/>
  <c r="S64" i="35"/>
  <c r="R64" i="35"/>
  <c r="Q64" i="35"/>
  <c r="U63" i="35"/>
  <c r="T63" i="35"/>
  <c r="S63" i="35"/>
  <c r="R63" i="35"/>
  <c r="Q63" i="35"/>
  <c r="U62" i="35"/>
  <c r="T62" i="35"/>
  <c r="S62" i="35"/>
  <c r="R62" i="35"/>
  <c r="Q62" i="35"/>
  <c r="I91" i="35"/>
  <c r="J91" i="35"/>
  <c r="K91" i="35"/>
  <c r="Q91" i="35"/>
  <c r="R91" i="35"/>
  <c r="S91" i="35"/>
  <c r="T91" i="35"/>
  <c r="U91" i="35"/>
  <c r="I45" i="35"/>
  <c r="I54" i="35" s="1"/>
  <c r="D9" i="44"/>
  <c r="D11" i="44" s="1"/>
  <c r="D13" i="44" s="1"/>
  <c r="D15" i="44" s="1"/>
  <c r="D17" i="44" s="1"/>
  <c r="D19" i="44" s="1"/>
  <c r="D7" i="44"/>
  <c r="M21" i="44"/>
  <c r="M32" i="44"/>
  <c r="E26" i="44"/>
  <c r="D22" i="4"/>
  <c r="K71" i="35" s="1"/>
  <c r="K65" i="35" s="1"/>
  <c r="D21" i="4"/>
  <c r="J71" i="35" s="1"/>
  <c r="J63" i="35" s="1"/>
  <c r="C22" i="4"/>
  <c r="D5" i="4"/>
  <c r="D4" i="4"/>
  <c r="C10" i="4"/>
  <c r="C11" i="4"/>
  <c r="E10" i="36"/>
  <c r="D11" i="4" s="1"/>
  <c r="E13" i="53" s="1"/>
  <c r="C10" i="36"/>
  <c r="E9" i="36"/>
  <c r="D10" i="4" s="1"/>
  <c r="E12" i="53" s="1"/>
  <c r="C9" i="36"/>
  <c r="E8" i="36"/>
  <c r="F8" i="36" s="1"/>
  <c r="C8" i="36"/>
  <c r="C9" i="4" s="1"/>
  <c r="B11" i="53" s="1"/>
  <c r="E7" i="36"/>
  <c r="D8" i="4" s="1"/>
  <c r="E10" i="53" s="1"/>
  <c r="C7" i="36"/>
  <c r="C8" i="4" s="1"/>
  <c r="B10" i="53" s="1"/>
  <c r="E6" i="36"/>
  <c r="F6" i="36" s="1"/>
  <c r="C6" i="36"/>
  <c r="C7" i="4" s="1"/>
  <c r="B9" i="53" s="1"/>
  <c r="E5" i="36"/>
  <c r="F5" i="36" s="1"/>
  <c r="C5" i="36"/>
  <c r="C6" i="4" s="1"/>
  <c r="B8" i="53" s="1"/>
  <c r="E4" i="36"/>
  <c r="F4" i="36" s="1"/>
  <c r="C4" i="36"/>
  <c r="C5" i="4" s="1"/>
  <c r="B7" i="53" s="1"/>
  <c r="E3" i="36"/>
  <c r="F3" i="36" s="1"/>
  <c r="C3" i="36"/>
  <c r="C4" i="4" s="1"/>
  <c r="E16" i="36"/>
  <c r="E14" i="36"/>
  <c r="D20" i="4" s="1"/>
  <c r="E22" i="53" s="1"/>
  <c r="C16" i="36"/>
  <c r="C15" i="36"/>
  <c r="C21" i="4" s="1"/>
  <c r="B23" i="53" s="1"/>
  <c r="F15" i="36"/>
  <c r="D64" i="35"/>
  <c r="U59" i="35"/>
  <c r="U70" i="35" s="1"/>
  <c r="T59" i="35"/>
  <c r="T70" i="35" s="1"/>
  <c r="S59" i="35"/>
  <c r="S70" i="35" s="1"/>
  <c r="R59" i="35"/>
  <c r="R70" i="35" s="1"/>
  <c r="Q59" i="35"/>
  <c r="Q70" i="35" s="1"/>
  <c r="K59" i="35"/>
  <c r="J59" i="35"/>
  <c r="I59" i="35"/>
  <c r="U57" i="35"/>
  <c r="U68" i="35" s="1"/>
  <c r="T57" i="35"/>
  <c r="T68" i="35" s="1"/>
  <c r="S57" i="35"/>
  <c r="S68" i="35" s="1"/>
  <c r="R57" i="35"/>
  <c r="R68" i="35" s="1"/>
  <c r="Q57" i="35"/>
  <c r="Q68" i="35" s="1"/>
  <c r="K57" i="35"/>
  <c r="J57" i="35"/>
  <c r="I57" i="35"/>
  <c r="G54" i="35"/>
  <c r="F54" i="35"/>
  <c r="E54" i="35"/>
  <c r="D54" i="35"/>
  <c r="AE50" i="35"/>
  <c r="AD50" i="35"/>
  <c r="AC50" i="35"/>
  <c r="AB50" i="35"/>
  <c r="H50" i="35"/>
  <c r="AE49" i="35"/>
  <c r="AD49" i="35"/>
  <c r="AC49" i="35"/>
  <c r="AB49" i="35"/>
  <c r="H49" i="35"/>
  <c r="AE48" i="35"/>
  <c r="AD48" i="35"/>
  <c r="AC48" i="35"/>
  <c r="AB48" i="35"/>
  <c r="H48" i="35"/>
  <c r="AE47" i="35"/>
  <c r="AD47" i="35"/>
  <c r="AC47" i="35"/>
  <c r="AB47" i="35"/>
  <c r="H47" i="35"/>
  <c r="U54" i="35"/>
  <c r="T54" i="35"/>
  <c r="S54" i="35"/>
  <c r="R54" i="35"/>
  <c r="Q54" i="35"/>
  <c r="H71" i="35"/>
  <c r="D35" i="35"/>
  <c r="U30" i="35"/>
  <c r="U41" i="35" s="1"/>
  <c r="T30" i="35"/>
  <c r="T41" i="35" s="1"/>
  <c r="S30" i="35"/>
  <c r="S41" i="35" s="1"/>
  <c r="R30" i="35"/>
  <c r="R41" i="35" s="1"/>
  <c r="Q30" i="35"/>
  <c r="K30" i="35"/>
  <c r="J30" i="35"/>
  <c r="I30" i="35"/>
  <c r="U28" i="35"/>
  <c r="U39" i="35" s="1"/>
  <c r="T28" i="35"/>
  <c r="T39" i="35" s="1"/>
  <c r="S28" i="35"/>
  <c r="S39" i="35" s="1"/>
  <c r="R28" i="35"/>
  <c r="R39" i="35" s="1"/>
  <c r="Q28" i="35"/>
  <c r="Q39" i="35" s="1"/>
  <c r="K28" i="35"/>
  <c r="J28" i="35"/>
  <c r="I28" i="35"/>
  <c r="G25" i="35"/>
  <c r="F25" i="35"/>
  <c r="E25" i="35"/>
  <c r="D25" i="35"/>
  <c r="AE21" i="35"/>
  <c r="AD21" i="35"/>
  <c r="AC21" i="35"/>
  <c r="AB21" i="35"/>
  <c r="H21" i="35"/>
  <c r="AE20" i="35"/>
  <c r="AD20" i="35"/>
  <c r="AC20" i="35"/>
  <c r="AB20" i="35"/>
  <c r="H20" i="35"/>
  <c r="AE19" i="35"/>
  <c r="AD19" i="35"/>
  <c r="AC19" i="35"/>
  <c r="AB19" i="35"/>
  <c r="H19" i="35"/>
  <c r="AE18" i="35"/>
  <c r="AD18" i="35"/>
  <c r="AC18" i="35"/>
  <c r="AB18" i="35"/>
  <c r="H18" i="35"/>
  <c r="U25" i="35"/>
  <c r="T25" i="35"/>
  <c r="S25" i="35"/>
  <c r="R25" i="35"/>
  <c r="Q25" i="35"/>
  <c r="H42" i="35"/>
  <c r="F4" i="4" l="1"/>
  <c r="E6" i="53"/>
  <c r="R12" i="53"/>
  <c r="V12" i="53"/>
  <c r="T12" i="53"/>
  <c r="H12" i="53"/>
  <c r="L12" i="53"/>
  <c r="P12" i="53"/>
  <c r="J12" i="53"/>
  <c r="L22" i="53"/>
  <c r="T22" i="53"/>
  <c r="R22" i="53"/>
  <c r="H22" i="53"/>
  <c r="J22" i="53"/>
  <c r="E26" i="53"/>
  <c r="P22" i="53"/>
  <c r="H13" i="53"/>
  <c r="V13" i="53"/>
  <c r="T13" i="53"/>
  <c r="J13" i="53"/>
  <c r="P13" i="53"/>
  <c r="L13" i="53"/>
  <c r="R13" i="53"/>
  <c r="E5" i="44"/>
  <c r="B6" i="53"/>
  <c r="P16" i="35"/>
  <c r="P25" i="35" s="1"/>
  <c r="B13" i="53"/>
  <c r="O16" i="35"/>
  <c r="O25" i="35" s="1"/>
  <c r="B12" i="53"/>
  <c r="F5" i="4"/>
  <c r="G5" i="4" s="1"/>
  <c r="J5" i="4" s="1"/>
  <c r="E7" i="53"/>
  <c r="C20" i="45"/>
  <c r="B24" i="53"/>
  <c r="D19" i="45"/>
  <c r="G19" i="45" s="1"/>
  <c r="E23" i="53"/>
  <c r="F22" i="4"/>
  <c r="G22" i="4" s="1"/>
  <c r="J22" i="4" s="1"/>
  <c r="E24" i="53"/>
  <c r="F28" i="44"/>
  <c r="K29" i="44" s="1"/>
  <c r="L29" i="44" s="1"/>
  <c r="J10" i="53"/>
  <c r="V10" i="53"/>
  <c r="L10" i="53"/>
  <c r="P10" i="53"/>
  <c r="R10" i="53"/>
  <c r="H10" i="53"/>
  <c r="T10" i="53"/>
  <c r="B24" i="37"/>
  <c r="F30" i="44"/>
  <c r="I30" i="44" s="1"/>
  <c r="J30" i="44" s="1"/>
  <c r="E23" i="37"/>
  <c r="H23" i="37" s="1"/>
  <c r="K45" i="35"/>
  <c r="K54" i="35" s="1"/>
  <c r="E30" i="44"/>
  <c r="E24" i="37"/>
  <c r="D20" i="45"/>
  <c r="C19" i="45"/>
  <c r="E28" i="44"/>
  <c r="J45" i="35"/>
  <c r="J54" i="35" s="1"/>
  <c r="B23" i="37"/>
  <c r="F20" i="4"/>
  <c r="F26" i="44"/>
  <c r="K27" i="44" s="1"/>
  <c r="L27" i="44" s="1"/>
  <c r="I71" i="35"/>
  <c r="I65" i="35" s="1"/>
  <c r="E22" i="37"/>
  <c r="H22" i="37" s="1"/>
  <c r="D18" i="45"/>
  <c r="D21" i="45" s="1"/>
  <c r="N16" i="35"/>
  <c r="N25" i="35" s="1"/>
  <c r="E15" i="44"/>
  <c r="C10" i="45"/>
  <c r="B11" i="37"/>
  <c r="B6" i="37"/>
  <c r="D9" i="4"/>
  <c r="E11" i="53" s="1"/>
  <c r="F9" i="36"/>
  <c r="C5" i="45"/>
  <c r="F7" i="36"/>
  <c r="O42" i="35"/>
  <c r="F17" i="44"/>
  <c r="K18" i="44" s="1"/>
  <c r="L18" i="44" s="1"/>
  <c r="F10" i="4"/>
  <c r="G10" i="4" s="1"/>
  <c r="J10" i="4" s="1"/>
  <c r="E12" i="37"/>
  <c r="H12" i="37" s="1"/>
  <c r="D11" i="45"/>
  <c r="F8" i="4"/>
  <c r="G8" i="4" s="1"/>
  <c r="J8" i="4" s="1"/>
  <c r="M42" i="35"/>
  <c r="D9" i="45"/>
  <c r="J9" i="45" s="1"/>
  <c r="K9" i="45" s="1"/>
  <c r="E10" i="37"/>
  <c r="H10" i="37" s="1"/>
  <c r="F13" i="44"/>
  <c r="K14" i="44" s="1"/>
  <c r="L14" i="44" s="1"/>
  <c r="E7" i="44"/>
  <c r="J16" i="35"/>
  <c r="J25" i="35" s="1"/>
  <c r="C6" i="45"/>
  <c r="B7" i="37"/>
  <c r="P42" i="35"/>
  <c r="F19" i="44"/>
  <c r="K20" i="44" s="1"/>
  <c r="L20" i="44" s="1"/>
  <c r="F11" i="4"/>
  <c r="G11" i="4" s="1"/>
  <c r="J11" i="4" s="1"/>
  <c r="E13" i="37"/>
  <c r="T13" i="37" s="1"/>
  <c r="D12" i="45"/>
  <c r="G12" i="45" s="1"/>
  <c r="H12" i="45" s="1"/>
  <c r="E9" i="44"/>
  <c r="K16" i="35"/>
  <c r="K25" i="35" s="1"/>
  <c r="B8" i="37"/>
  <c r="C7" i="45"/>
  <c r="L16" i="35"/>
  <c r="L25" i="35" s="1"/>
  <c r="E11" i="44"/>
  <c r="C8" i="45"/>
  <c r="B9" i="37"/>
  <c r="M16" i="35"/>
  <c r="M25" i="35" s="1"/>
  <c r="E13" i="44"/>
  <c r="C9" i="45"/>
  <c r="B10" i="37"/>
  <c r="D5" i="45"/>
  <c r="G5" i="45" s="1"/>
  <c r="H5" i="45" s="1"/>
  <c r="D6" i="4"/>
  <c r="F5" i="44"/>
  <c r="K6" i="44" s="1"/>
  <c r="L6" i="44" s="1"/>
  <c r="F10" i="36"/>
  <c r="I16" i="35"/>
  <c r="I25" i="35" s="1"/>
  <c r="B12" i="37"/>
  <c r="F7" i="44"/>
  <c r="K8" i="44" s="1"/>
  <c r="L8" i="44" s="1"/>
  <c r="B13" i="37"/>
  <c r="E6" i="37"/>
  <c r="L6" i="37" s="1"/>
  <c r="E17" i="44"/>
  <c r="D7" i="4"/>
  <c r="E9" i="53" s="1"/>
  <c r="C12" i="45"/>
  <c r="D6" i="45"/>
  <c r="J6" i="45" s="1"/>
  <c r="K6" i="45" s="1"/>
  <c r="E7" i="37"/>
  <c r="H7" i="37" s="1"/>
  <c r="E19" i="44"/>
  <c r="C11" i="45"/>
  <c r="I42" i="35"/>
  <c r="I20" i="35" s="1"/>
  <c r="I18" i="35" s="1"/>
  <c r="I27" i="35" s="1"/>
  <c r="I38" i="35" s="1"/>
  <c r="J42" i="35"/>
  <c r="J41" i="35" s="1"/>
  <c r="J19" i="45"/>
  <c r="K19" i="45" s="1"/>
  <c r="H19" i="45"/>
  <c r="J11" i="45"/>
  <c r="K11" i="45" s="1"/>
  <c r="G11" i="45"/>
  <c r="H11" i="45" s="1"/>
  <c r="G6" i="45"/>
  <c r="H6" i="45" s="1"/>
  <c r="G9" i="45"/>
  <c r="H9" i="45" s="1"/>
  <c r="L24" i="37"/>
  <c r="H24" i="37"/>
  <c r="P24" i="37"/>
  <c r="R24" i="37"/>
  <c r="T24" i="37"/>
  <c r="J22" i="37"/>
  <c r="T22" i="37"/>
  <c r="AF47" i="35"/>
  <c r="J70" i="35"/>
  <c r="K63" i="35"/>
  <c r="J68" i="35"/>
  <c r="K68" i="35"/>
  <c r="I63" i="35"/>
  <c r="I70" i="35"/>
  <c r="J65" i="35"/>
  <c r="K70" i="35"/>
  <c r="K31" i="44"/>
  <c r="L31" i="44" s="1"/>
  <c r="I28" i="44"/>
  <c r="J28" i="44" s="1"/>
  <c r="F32" i="44"/>
  <c r="I26" i="44"/>
  <c r="F21" i="4"/>
  <c r="G21" i="4" s="1"/>
  <c r="H8" i="4"/>
  <c r="I5" i="4"/>
  <c r="D24" i="4"/>
  <c r="D26" i="4"/>
  <c r="D23" i="4"/>
  <c r="E17" i="36"/>
  <c r="F14" i="36"/>
  <c r="E11" i="36"/>
  <c r="F16" i="36"/>
  <c r="AF49" i="35"/>
  <c r="AF48" i="35"/>
  <c r="AF50" i="35"/>
  <c r="H51" i="35"/>
  <c r="Q56" i="35"/>
  <c r="Q67" i="35" s="1"/>
  <c r="Q51" i="35"/>
  <c r="Q58" i="35"/>
  <c r="Q69" i="35" s="1"/>
  <c r="H22" i="35"/>
  <c r="AF18" i="35"/>
  <c r="AF21" i="35"/>
  <c r="AF20" i="35"/>
  <c r="AF19" i="35"/>
  <c r="Q27" i="35"/>
  <c r="Q38" i="35" s="1"/>
  <c r="Q22" i="35"/>
  <c r="Q29" i="35"/>
  <c r="Q40" i="35" s="1"/>
  <c r="L9" i="53" l="1"/>
  <c r="V9" i="53"/>
  <c r="T9" i="53"/>
  <c r="R9" i="53"/>
  <c r="H9" i="53"/>
  <c r="P9" i="53"/>
  <c r="J9" i="53"/>
  <c r="H5" i="4"/>
  <c r="R7" i="53"/>
  <c r="V7" i="53"/>
  <c r="P7" i="53"/>
  <c r="J7" i="53"/>
  <c r="H7" i="53"/>
  <c r="T7" i="53"/>
  <c r="L7" i="53"/>
  <c r="E27" i="53"/>
  <c r="I34" i="35"/>
  <c r="D12" i="4"/>
  <c r="E8" i="53"/>
  <c r="I22" i="4"/>
  <c r="R23" i="37"/>
  <c r="H22" i="4"/>
  <c r="P23" i="37"/>
  <c r="J23" i="37"/>
  <c r="J26" i="37" s="1"/>
  <c r="R24" i="53"/>
  <c r="P24" i="53"/>
  <c r="H24" i="53"/>
  <c r="J24" i="53"/>
  <c r="L24" i="53"/>
  <c r="T24" i="53"/>
  <c r="L11" i="53"/>
  <c r="V11" i="53"/>
  <c r="R11" i="53"/>
  <c r="J11" i="53"/>
  <c r="H11" i="53"/>
  <c r="T11" i="53"/>
  <c r="P11" i="53"/>
  <c r="R23" i="53"/>
  <c r="L23" i="53"/>
  <c r="L26" i="53" s="1"/>
  <c r="J23" i="53"/>
  <c r="J26" i="53" s="1"/>
  <c r="H23" i="53"/>
  <c r="H26" i="53" s="1"/>
  <c r="P23" i="53"/>
  <c r="P26" i="53" s="1"/>
  <c r="Q26" i="53" s="1"/>
  <c r="G26" i="53" s="1"/>
  <c r="T23" i="53"/>
  <c r="T26" i="53" s="1"/>
  <c r="U26" i="53" s="1"/>
  <c r="N26" i="53" s="1"/>
  <c r="H11" i="4"/>
  <c r="I11" i="4"/>
  <c r="T23" i="37"/>
  <c r="T26" i="37" s="1"/>
  <c r="E15" i="53"/>
  <c r="E16" i="53" s="1"/>
  <c r="H6" i="53"/>
  <c r="P6" i="53"/>
  <c r="V6" i="53"/>
  <c r="R6" i="53"/>
  <c r="L6" i="53"/>
  <c r="J6" i="53"/>
  <c r="T6" i="53"/>
  <c r="I41" i="35"/>
  <c r="R10" i="37"/>
  <c r="G20" i="45"/>
  <c r="H20" i="45" s="1"/>
  <c r="J20" i="45"/>
  <c r="K20" i="45" s="1"/>
  <c r="K21" i="45" s="1"/>
  <c r="I13" i="44"/>
  <c r="J13" i="44" s="1"/>
  <c r="P13" i="37"/>
  <c r="J24" i="37"/>
  <c r="G24" i="48"/>
  <c r="P7" i="37"/>
  <c r="D22" i="45"/>
  <c r="I8" i="4"/>
  <c r="L8" i="4" s="1"/>
  <c r="P22" i="37"/>
  <c r="P26" i="37" s="1"/>
  <c r="L12" i="37"/>
  <c r="J12" i="45"/>
  <c r="K12" i="45" s="1"/>
  <c r="D14" i="4"/>
  <c r="L23" i="37"/>
  <c r="F24" i="48"/>
  <c r="J18" i="45"/>
  <c r="K18" i="45" s="1"/>
  <c r="G18" i="45"/>
  <c r="H18" i="45" s="1"/>
  <c r="H21" i="45" s="1"/>
  <c r="L32" i="44"/>
  <c r="R22" i="37"/>
  <c r="R26" i="37" s="1"/>
  <c r="E24" i="48"/>
  <c r="E26" i="37"/>
  <c r="E27" i="37" s="1"/>
  <c r="V71" i="35"/>
  <c r="V65" i="35" s="1"/>
  <c r="I68" i="35"/>
  <c r="V68" i="35" s="1"/>
  <c r="L22" i="37"/>
  <c r="F9" i="4"/>
  <c r="G9" i="4" s="1"/>
  <c r="N42" i="35"/>
  <c r="F15" i="44"/>
  <c r="E11" i="37"/>
  <c r="D10" i="45"/>
  <c r="F11" i="36"/>
  <c r="I17" i="44"/>
  <c r="J17" i="44" s="1"/>
  <c r="I29" i="35"/>
  <c r="I40" i="35" s="1"/>
  <c r="I7" i="44"/>
  <c r="J7" i="44" s="1"/>
  <c r="I39" i="35"/>
  <c r="I36" i="35"/>
  <c r="I33" i="35"/>
  <c r="T7" i="37"/>
  <c r="I35" i="35"/>
  <c r="H6" i="37"/>
  <c r="P6" i="37"/>
  <c r="T12" i="37"/>
  <c r="J20" i="35"/>
  <c r="F7" i="4"/>
  <c r="G7" i="4" s="1"/>
  <c r="L42" i="35"/>
  <c r="E9" i="37"/>
  <c r="D8" i="45"/>
  <c r="F11" i="44"/>
  <c r="M20" i="35"/>
  <c r="M39" i="35"/>
  <c r="M34" i="35"/>
  <c r="M36" i="35"/>
  <c r="M41" i="35"/>
  <c r="I10" i="4"/>
  <c r="J5" i="45"/>
  <c r="K5" i="45" s="1"/>
  <c r="H10" i="4"/>
  <c r="L10" i="4" s="1"/>
  <c r="L13" i="37"/>
  <c r="L24" i="47"/>
  <c r="R13" i="37"/>
  <c r="H13" i="37"/>
  <c r="J13" i="37"/>
  <c r="T6" i="37"/>
  <c r="J6" i="37"/>
  <c r="L7" i="37"/>
  <c r="F24" i="47"/>
  <c r="F6" i="4"/>
  <c r="K42" i="35"/>
  <c r="E8" i="37"/>
  <c r="F9" i="44"/>
  <c r="D7" i="45"/>
  <c r="J10" i="37"/>
  <c r="I24" i="47"/>
  <c r="T10" i="37"/>
  <c r="L10" i="37"/>
  <c r="I19" i="44"/>
  <c r="J19" i="44" s="1"/>
  <c r="J7" i="37"/>
  <c r="R12" i="37"/>
  <c r="K24" i="47"/>
  <c r="P12" i="37"/>
  <c r="J36" i="35"/>
  <c r="J34" i="35"/>
  <c r="P20" i="35"/>
  <c r="P36" i="35"/>
  <c r="P34" i="35"/>
  <c r="P39" i="35"/>
  <c r="P41" i="35"/>
  <c r="R6" i="37"/>
  <c r="E24" i="47"/>
  <c r="J39" i="35"/>
  <c r="I5" i="44"/>
  <c r="J5" i="44" s="1"/>
  <c r="R7" i="37"/>
  <c r="P10" i="37"/>
  <c r="J12" i="37"/>
  <c r="O39" i="35"/>
  <c r="O20" i="35"/>
  <c r="O41" i="35"/>
  <c r="O34" i="35"/>
  <c r="O36" i="35"/>
  <c r="J21" i="45"/>
  <c r="H26" i="37"/>
  <c r="V70" i="35"/>
  <c r="V63" i="35"/>
  <c r="K32" i="44"/>
  <c r="I32" i="44"/>
  <c r="J26" i="44"/>
  <c r="J32" i="44" s="1"/>
  <c r="H21" i="4"/>
  <c r="J21" i="4"/>
  <c r="I21" i="4"/>
  <c r="L22" i="4"/>
  <c r="L5" i="4"/>
  <c r="G4" i="4"/>
  <c r="F26" i="4"/>
  <c r="F24" i="4"/>
  <c r="G20" i="4"/>
  <c r="G26" i="4" s="1"/>
  <c r="F23" i="4"/>
  <c r="L11" i="4"/>
  <c r="F17" i="36"/>
  <c r="Q60" i="35"/>
  <c r="Q31" i="35"/>
  <c r="I22" i="35"/>
  <c r="R26" i="53" l="1"/>
  <c r="S26" i="53" s="1"/>
  <c r="K26" i="53" s="1"/>
  <c r="V14" i="53"/>
  <c r="W14" i="53" s="1"/>
  <c r="I15" i="53" s="1"/>
  <c r="P15" i="53"/>
  <c r="Q15" i="53" s="1"/>
  <c r="G15" i="53" s="1"/>
  <c r="R8" i="53"/>
  <c r="R15" i="53" s="1"/>
  <c r="S15" i="53" s="1"/>
  <c r="K15" i="53" s="1"/>
  <c r="V8" i="53"/>
  <c r="P8" i="53"/>
  <c r="L8" i="53"/>
  <c r="L15" i="53" s="1"/>
  <c r="T8" i="53"/>
  <c r="T15" i="53" s="1"/>
  <c r="U15" i="53" s="1"/>
  <c r="N15" i="53" s="1"/>
  <c r="J8" i="53"/>
  <c r="J15" i="53" s="1"/>
  <c r="H8" i="53"/>
  <c r="H15" i="53" s="1"/>
  <c r="V42" i="35"/>
  <c r="H19" i="39"/>
  <c r="G41" i="48"/>
  <c r="G26" i="48"/>
  <c r="G21" i="45"/>
  <c r="G19" i="39"/>
  <c r="F41" i="48"/>
  <c r="F26" i="48"/>
  <c r="L26" i="37"/>
  <c r="U26" i="37"/>
  <c r="N26" i="37" s="1"/>
  <c r="Q26" i="37"/>
  <c r="G26" i="37" s="1"/>
  <c r="S26" i="37"/>
  <c r="K26" i="37" s="1"/>
  <c r="E41" i="48"/>
  <c r="F19" i="39"/>
  <c r="E26" i="48"/>
  <c r="G10" i="45"/>
  <c r="H10" i="45" s="1"/>
  <c r="J10" i="45"/>
  <c r="K10" i="45" s="1"/>
  <c r="F14" i="4"/>
  <c r="N20" i="35"/>
  <c r="N39" i="35"/>
  <c r="N41" i="35"/>
  <c r="N34" i="35"/>
  <c r="N36" i="35"/>
  <c r="R11" i="37"/>
  <c r="J24" i="47"/>
  <c r="J11" i="37"/>
  <c r="L11" i="37"/>
  <c r="H11" i="37"/>
  <c r="T11" i="37"/>
  <c r="P11" i="37"/>
  <c r="K16" i="44"/>
  <c r="L16" i="44" s="1"/>
  <c r="I15" i="44"/>
  <c r="J15" i="44" s="1"/>
  <c r="I9" i="4"/>
  <c r="H9" i="4"/>
  <c r="J9" i="4"/>
  <c r="E26" i="47"/>
  <c r="E41" i="47"/>
  <c r="F43" i="39"/>
  <c r="P35" i="35"/>
  <c r="P18" i="35"/>
  <c r="P29" i="35"/>
  <c r="P40" i="35" s="1"/>
  <c r="J7" i="45"/>
  <c r="G7" i="45"/>
  <c r="D13" i="45"/>
  <c r="D14" i="45" s="1"/>
  <c r="J8" i="45"/>
  <c r="K8" i="45" s="1"/>
  <c r="G8" i="45"/>
  <c r="H8" i="45" s="1"/>
  <c r="L8" i="37"/>
  <c r="G24" i="47"/>
  <c r="R8" i="37"/>
  <c r="E15" i="37"/>
  <c r="H8" i="37"/>
  <c r="J8" i="37"/>
  <c r="P8" i="37"/>
  <c r="T8" i="37"/>
  <c r="L20" i="35"/>
  <c r="L34" i="35"/>
  <c r="L39" i="35"/>
  <c r="L41" i="35"/>
  <c r="V41" i="35" s="1"/>
  <c r="L36" i="35"/>
  <c r="O29" i="35"/>
  <c r="O40" i="35" s="1"/>
  <c r="O35" i="35"/>
  <c r="O18" i="35"/>
  <c r="M18" i="35"/>
  <c r="M29" i="35"/>
  <c r="M40" i="35" s="1"/>
  <c r="M35" i="35"/>
  <c r="I11" i="44"/>
  <c r="J11" i="44" s="1"/>
  <c r="K12" i="44"/>
  <c r="L12" i="44" s="1"/>
  <c r="M43" i="39"/>
  <c r="L26" i="47"/>
  <c r="L41" i="47"/>
  <c r="K10" i="44"/>
  <c r="F21" i="44"/>
  <c r="I9" i="44"/>
  <c r="K36" i="35"/>
  <c r="K34" i="35"/>
  <c r="K39" i="35"/>
  <c r="K20" i="35"/>
  <c r="K41" i="35"/>
  <c r="I7" i="4"/>
  <c r="H7" i="4"/>
  <c r="J7" i="4"/>
  <c r="J43" i="39"/>
  <c r="I41" i="47"/>
  <c r="I26" i="47"/>
  <c r="L9" i="37"/>
  <c r="H24" i="47"/>
  <c r="P9" i="37"/>
  <c r="R9" i="37"/>
  <c r="T9" i="37"/>
  <c r="H9" i="37"/>
  <c r="J9" i="37"/>
  <c r="L43" i="39"/>
  <c r="K41" i="47"/>
  <c r="K26" i="47"/>
  <c r="G6" i="4"/>
  <c r="G12" i="4" s="1"/>
  <c r="F12" i="4"/>
  <c r="J35" i="35"/>
  <c r="J18" i="35"/>
  <c r="J29" i="35"/>
  <c r="J40" i="35" s="1"/>
  <c r="G43" i="39"/>
  <c r="F41" i="47"/>
  <c r="F26" i="47"/>
  <c r="L21" i="4"/>
  <c r="J20" i="4"/>
  <c r="I20" i="4"/>
  <c r="H20" i="4"/>
  <c r="H4" i="4"/>
  <c r="J4" i="4"/>
  <c r="I4" i="4"/>
  <c r="G23" i="4"/>
  <c r="G24" i="4"/>
  <c r="I31" i="35"/>
  <c r="P15" i="37" l="1"/>
  <c r="Q15" i="37" s="1"/>
  <c r="G15" i="37" s="1"/>
  <c r="H15" i="37"/>
  <c r="G31" i="39"/>
  <c r="F183" i="48" s="1"/>
  <c r="G39" i="39"/>
  <c r="G22" i="39"/>
  <c r="G23" i="39"/>
  <c r="F70" i="48" s="1"/>
  <c r="G32" i="39"/>
  <c r="F201" i="48" s="1"/>
  <c r="G30" i="39"/>
  <c r="G27" i="39"/>
  <c r="F125" i="48" s="1"/>
  <c r="G26" i="39"/>
  <c r="F152" i="48" s="1"/>
  <c r="G35" i="39"/>
  <c r="F219" i="48" s="1"/>
  <c r="G25" i="39"/>
  <c r="F106" i="48" s="1"/>
  <c r="G24" i="39"/>
  <c r="F88" i="48" s="1"/>
  <c r="R15" i="37"/>
  <c r="S15" i="37" s="1"/>
  <c r="K15" i="37" s="1"/>
  <c r="H39" i="39"/>
  <c r="H26" i="39"/>
  <c r="G152" i="48" s="1"/>
  <c r="H30" i="39"/>
  <c r="H35" i="39"/>
  <c r="G219" i="48" s="1"/>
  <c r="H27" i="39"/>
  <c r="G125" i="48" s="1"/>
  <c r="H22" i="39"/>
  <c r="H23" i="39"/>
  <c r="G70" i="48" s="1"/>
  <c r="H32" i="39"/>
  <c r="G201" i="48" s="1"/>
  <c r="H24" i="39"/>
  <c r="G88" i="48" s="1"/>
  <c r="H25" i="39"/>
  <c r="G106" i="48" s="1"/>
  <c r="H31" i="39"/>
  <c r="G183" i="48" s="1"/>
  <c r="V36" i="35"/>
  <c r="F32" i="39"/>
  <c r="E201" i="48" s="1"/>
  <c r="F27" i="39"/>
  <c r="E125" i="48" s="1"/>
  <c r="F26" i="39"/>
  <c r="E152" i="48" s="1"/>
  <c r="F30" i="39"/>
  <c r="F25" i="39"/>
  <c r="E106" i="48" s="1"/>
  <c r="F24" i="39"/>
  <c r="E88" i="48" s="1"/>
  <c r="F39" i="39"/>
  <c r="F35" i="39"/>
  <c r="E219" i="48" s="1"/>
  <c r="F31" i="39"/>
  <c r="E183" i="48" s="1"/>
  <c r="F23" i="39"/>
  <c r="E70" i="48" s="1"/>
  <c r="F22" i="39"/>
  <c r="J41" i="47"/>
  <c r="K43" i="39"/>
  <c r="J26" i="47"/>
  <c r="T15" i="37"/>
  <c r="U15" i="37" s="1"/>
  <c r="N15" i="37" s="1"/>
  <c r="N18" i="35"/>
  <c r="N29" i="35"/>
  <c r="N40" i="35" s="1"/>
  <c r="N35" i="35"/>
  <c r="V39" i="35"/>
  <c r="S24" i="47"/>
  <c r="L15" i="37"/>
  <c r="L9" i="4"/>
  <c r="G14" i="4"/>
  <c r="L14" i="4" s="1"/>
  <c r="L15" i="4" s="1"/>
  <c r="J15" i="37"/>
  <c r="V34" i="35"/>
  <c r="K7" i="45"/>
  <c r="K13" i="45" s="1"/>
  <c r="J13" i="45"/>
  <c r="L10" i="44"/>
  <c r="L21" i="44" s="1"/>
  <c r="K21" i="44"/>
  <c r="L7" i="4"/>
  <c r="M63" i="39"/>
  <c r="M46" i="39"/>
  <c r="M55" i="39"/>
  <c r="L183" i="47" s="1"/>
  <c r="M59" i="39"/>
  <c r="L218" i="47" s="1"/>
  <c r="M49" i="39"/>
  <c r="L106" i="47" s="1"/>
  <c r="M50" i="39"/>
  <c r="L152" i="47" s="1"/>
  <c r="M51" i="39"/>
  <c r="L125" i="47" s="1"/>
  <c r="M48" i="39"/>
  <c r="L88" i="47" s="1"/>
  <c r="M56" i="39"/>
  <c r="L201" i="47" s="1"/>
  <c r="M54" i="39"/>
  <c r="M47" i="39"/>
  <c r="L70" i="47" s="1"/>
  <c r="H7" i="45"/>
  <c r="H13" i="45" s="1"/>
  <c r="G13" i="45"/>
  <c r="J9" i="44"/>
  <c r="J21" i="44" s="1"/>
  <c r="I21" i="44"/>
  <c r="H43" i="39"/>
  <c r="G41" i="47"/>
  <c r="G26" i="47"/>
  <c r="F54" i="39"/>
  <c r="F50" i="39"/>
  <c r="E152" i="47" s="1"/>
  <c r="F63" i="39"/>
  <c r="F47" i="39"/>
  <c r="E70" i="47" s="1"/>
  <c r="F56" i="39"/>
  <c r="E201" i="47" s="1"/>
  <c r="F48" i="39"/>
  <c r="E88" i="47" s="1"/>
  <c r="F49" i="39"/>
  <c r="E106" i="47" s="1"/>
  <c r="F59" i="39"/>
  <c r="E218" i="47" s="1"/>
  <c r="F51" i="39"/>
  <c r="E125" i="47" s="1"/>
  <c r="F46" i="39"/>
  <c r="E61" i="47" s="1"/>
  <c r="F55" i="39"/>
  <c r="E183" i="47" s="1"/>
  <c r="L18" i="35"/>
  <c r="L29" i="35"/>
  <c r="L40" i="35" s="1"/>
  <c r="L35" i="35"/>
  <c r="K35" i="35"/>
  <c r="K18" i="35"/>
  <c r="K29" i="35"/>
  <c r="K40" i="35" s="1"/>
  <c r="J33" i="35"/>
  <c r="J27" i="35"/>
  <c r="J22" i="35"/>
  <c r="M33" i="35"/>
  <c r="M22" i="35"/>
  <c r="M27" i="35"/>
  <c r="J6" i="4"/>
  <c r="I6" i="4"/>
  <c r="I12" i="4" s="1"/>
  <c r="H6" i="4"/>
  <c r="J49" i="39"/>
  <c r="I106" i="47" s="1"/>
  <c r="J63" i="39"/>
  <c r="J47" i="39"/>
  <c r="I70" i="47" s="1"/>
  <c r="J59" i="39"/>
  <c r="I218" i="47" s="1"/>
  <c r="J48" i="39"/>
  <c r="I88" i="47" s="1"/>
  <c r="J55" i="39"/>
  <c r="I183" i="47" s="1"/>
  <c r="J51" i="39"/>
  <c r="I125" i="47" s="1"/>
  <c r="J56" i="39"/>
  <c r="I201" i="47" s="1"/>
  <c r="J50" i="39"/>
  <c r="I152" i="47" s="1"/>
  <c r="J46" i="39"/>
  <c r="J54" i="39"/>
  <c r="L59" i="39"/>
  <c r="K218" i="47" s="1"/>
  <c r="L49" i="39"/>
  <c r="K106" i="47" s="1"/>
  <c r="L48" i="39"/>
  <c r="K88" i="47" s="1"/>
  <c r="L50" i="39"/>
  <c r="K152" i="47" s="1"/>
  <c r="L46" i="39"/>
  <c r="L63" i="39"/>
  <c r="L47" i="39"/>
  <c r="K70" i="47" s="1"/>
  <c r="L55" i="39"/>
  <c r="K183" i="47" s="1"/>
  <c r="L54" i="39"/>
  <c r="L51" i="39"/>
  <c r="K125" i="47" s="1"/>
  <c r="L56" i="39"/>
  <c r="K201" i="47" s="1"/>
  <c r="G59" i="39"/>
  <c r="F218" i="47" s="1"/>
  <c r="G55" i="39"/>
  <c r="F183" i="47" s="1"/>
  <c r="G50" i="39"/>
  <c r="F152" i="47" s="1"/>
  <c r="G51" i="39"/>
  <c r="F125" i="47" s="1"/>
  <c r="G46" i="39"/>
  <c r="G49" i="39"/>
  <c r="F106" i="47" s="1"/>
  <c r="G54" i="39"/>
  <c r="G56" i="39"/>
  <c r="F201" i="47" s="1"/>
  <c r="G48" i="39"/>
  <c r="F88" i="47" s="1"/>
  <c r="G63" i="39"/>
  <c r="G47" i="39"/>
  <c r="F70" i="47" s="1"/>
  <c r="I43" i="39"/>
  <c r="H26" i="47"/>
  <c r="H41" i="47"/>
  <c r="O33" i="35"/>
  <c r="O27" i="35"/>
  <c r="O22" i="35"/>
  <c r="E16" i="37"/>
  <c r="R24" i="47"/>
  <c r="P22" i="35"/>
  <c r="P33" i="35"/>
  <c r="P27" i="35"/>
  <c r="L4" i="4"/>
  <c r="J14" i="4"/>
  <c r="J12" i="4"/>
  <c r="H12" i="4"/>
  <c r="L26" i="4"/>
  <c r="H26" i="4"/>
  <c r="H24" i="4"/>
  <c r="L20" i="4"/>
  <c r="H23" i="4"/>
  <c r="J23" i="4"/>
  <c r="I26" i="4"/>
  <c r="I24" i="4"/>
  <c r="J26" i="4"/>
  <c r="J24" i="4"/>
  <c r="I23" i="4"/>
  <c r="I14" i="4" l="1"/>
  <c r="L6" i="4"/>
  <c r="G61" i="48"/>
  <c r="H21" i="39"/>
  <c r="F165" i="48"/>
  <c r="G29" i="39"/>
  <c r="G165" i="48"/>
  <c r="H29" i="39"/>
  <c r="G163" i="48" s="1"/>
  <c r="G21" i="39"/>
  <c r="F61" i="48"/>
  <c r="F59" i="48" s="1"/>
  <c r="F21" i="39"/>
  <c r="E61" i="48"/>
  <c r="E59" i="48" s="1"/>
  <c r="E165" i="48"/>
  <c r="F29" i="39"/>
  <c r="V35" i="35"/>
  <c r="V20" i="35" s="1"/>
  <c r="W20" i="35" s="1"/>
  <c r="N27" i="35"/>
  <c r="N33" i="35"/>
  <c r="N22" i="35"/>
  <c r="K49" i="39"/>
  <c r="J106" i="47" s="1"/>
  <c r="K46" i="39"/>
  <c r="K55" i="39"/>
  <c r="J183" i="47" s="1"/>
  <c r="K51" i="39"/>
  <c r="J125" i="47" s="1"/>
  <c r="K50" i="39"/>
  <c r="J152" i="47" s="1"/>
  <c r="K48" i="39"/>
  <c r="J88" i="47" s="1"/>
  <c r="K54" i="39"/>
  <c r="K63" i="39"/>
  <c r="K59" i="39"/>
  <c r="J218" i="47" s="1"/>
  <c r="K56" i="39"/>
  <c r="J201" i="47" s="1"/>
  <c r="K47" i="39"/>
  <c r="J70" i="47" s="1"/>
  <c r="M38" i="35"/>
  <c r="M31" i="35"/>
  <c r="K165" i="47"/>
  <c r="L53" i="39"/>
  <c r="L61" i="47"/>
  <c r="M45" i="39"/>
  <c r="L59" i="47" s="1"/>
  <c r="K61" i="47"/>
  <c r="L45" i="39"/>
  <c r="G53" i="39"/>
  <c r="F165" i="47"/>
  <c r="J31" i="35"/>
  <c r="J38" i="35"/>
  <c r="F61" i="47"/>
  <c r="G45" i="39"/>
  <c r="H14" i="4"/>
  <c r="O31" i="35"/>
  <c r="O38" i="35"/>
  <c r="K33" i="35"/>
  <c r="V33" i="35" s="1"/>
  <c r="K27" i="35"/>
  <c r="K22" i="35"/>
  <c r="P31" i="35"/>
  <c r="P38" i="35"/>
  <c r="H47" i="39"/>
  <c r="G70" i="47" s="1"/>
  <c r="H51" i="39"/>
  <c r="G125" i="47" s="1"/>
  <c r="H50" i="39"/>
  <c r="G152" i="47" s="1"/>
  <c r="H46" i="39"/>
  <c r="G61" i="47" s="1"/>
  <c r="H54" i="39"/>
  <c r="H48" i="39"/>
  <c r="G88" i="47" s="1"/>
  <c r="H59" i="39"/>
  <c r="G218" i="47" s="1"/>
  <c r="H63" i="39"/>
  <c r="H55" i="39"/>
  <c r="G183" i="47" s="1"/>
  <c r="H49" i="39"/>
  <c r="G106" i="47" s="1"/>
  <c r="H56" i="39"/>
  <c r="G201" i="47" s="1"/>
  <c r="M53" i="39"/>
  <c r="L165" i="47"/>
  <c r="J53" i="39"/>
  <c r="I165" i="47"/>
  <c r="I163" i="47" s="1"/>
  <c r="E165" i="47"/>
  <c r="F53" i="39"/>
  <c r="I47" i="39"/>
  <c r="H70" i="47" s="1"/>
  <c r="I54" i="39"/>
  <c r="I46" i="39"/>
  <c r="H61" i="47" s="1"/>
  <c r="I55" i="39"/>
  <c r="H183" i="47" s="1"/>
  <c r="I59" i="39"/>
  <c r="H218" i="47" s="1"/>
  <c r="I63" i="39"/>
  <c r="I49" i="39"/>
  <c r="H106" i="47" s="1"/>
  <c r="I56" i="39"/>
  <c r="H201" i="47" s="1"/>
  <c r="I50" i="39"/>
  <c r="H152" i="47" s="1"/>
  <c r="I51" i="39"/>
  <c r="H125" i="47" s="1"/>
  <c r="I48" i="39"/>
  <c r="H88" i="47" s="1"/>
  <c r="I61" i="47"/>
  <c r="J45" i="39"/>
  <c r="L27" i="35"/>
  <c r="L33" i="35"/>
  <c r="L22" i="35"/>
  <c r="L12" i="4"/>
  <c r="L24" i="4"/>
  <c r="F163" i="48" l="1"/>
  <c r="F59" i="47"/>
  <c r="F163" i="47"/>
  <c r="L163" i="47"/>
  <c r="G59" i="48"/>
  <c r="E163" i="48"/>
  <c r="J61" i="47"/>
  <c r="K45" i="39"/>
  <c r="J59" i="47" s="1"/>
  <c r="J165" i="47"/>
  <c r="K53" i="39"/>
  <c r="I59" i="47"/>
  <c r="N38" i="35"/>
  <c r="N31" i="35"/>
  <c r="G165" i="47"/>
  <c r="H53" i="39"/>
  <c r="E163" i="47"/>
  <c r="E162" i="47"/>
  <c r="K59" i="47"/>
  <c r="L38" i="35"/>
  <c r="L31" i="35"/>
  <c r="H165" i="47"/>
  <c r="I53" i="39"/>
  <c r="H163" i="47" s="1"/>
  <c r="K38" i="35"/>
  <c r="K31" i="35"/>
  <c r="K163" i="47"/>
  <c r="D143" i="43"/>
  <c r="D144" i="43" s="1"/>
  <c r="D145" i="43" s="1"/>
  <c r="D141" i="43"/>
  <c r="D140" i="43" s="1"/>
  <c r="D139" i="43" s="1"/>
  <c r="Q138" i="43"/>
  <c r="P138" i="43"/>
  <c r="N138" i="43"/>
  <c r="M138" i="43" s="1"/>
  <c r="H138" i="43"/>
  <c r="I138" i="43" s="1"/>
  <c r="F138" i="43"/>
  <c r="E138" i="43" s="1"/>
  <c r="D130" i="43"/>
  <c r="D131" i="43" s="1"/>
  <c r="D132" i="43" s="1"/>
  <c r="D128" i="43"/>
  <c r="D127" i="43" s="1"/>
  <c r="D126" i="43" s="1"/>
  <c r="Q125" i="43"/>
  <c r="P125" i="43"/>
  <c r="N125" i="43"/>
  <c r="M125" i="43" s="1"/>
  <c r="I125" i="43"/>
  <c r="H125" i="43"/>
  <c r="F125" i="43"/>
  <c r="E125" i="43" s="1"/>
  <c r="D117" i="43"/>
  <c r="D118" i="43" s="1"/>
  <c r="D119" i="43" s="1"/>
  <c r="D115" i="43"/>
  <c r="D114" i="43" s="1"/>
  <c r="D113" i="43" s="1"/>
  <c r="P112" i="43"/>
  <c r="Q112" i="43" s="1"/>
  <c r="N112" i="43"/>
  <c r="M112" i="43" s="1"/>
  <c r="H112" i="43"/>
  <c r="I112" i="43" s="1"/>
  <c r="F112" i="43"/>
  <c r="E112" i="43" s="1"/>
  <c r="D104" i="43"/>
  <c r="D105" i="43" s="1"/>
  <c r="D106" i="43" s="1"/>
  <c r="D102" i="43"/>
  <c r="D101" i="43"/>
  <c r="D100" i="43" s="1"/>
  <c r="P99" i="43"/>
  <c r="Q99" i="43" s="1"/>
  <c r="N99" i="43"/>
  <c r="M99" i="43" s="1"/>
  <c r="H99" i="43"/>
  <c r="I99" i="43" s="1"/>
  <c r="F99" i="43"/>
  <c r="E99" i="43" s="1"/>
  <c r="D91" i="43"/>
  <c r="D92" i="43" s="1"/>
  <c r="D93" i="43" s="1"/>
  <c r="D89" i="43"/>
  <c r="D88" i="43"/>
  <c r="D87" i="43" s="1"/>
  <c r="P86" i="43"/>
  <c r="Q86" i="43" s="1"/>
  <c r="N86" i="43"/>
  <c r="M86" i="43"/>
  <c r="H86" i="43"/>
  <c r="I86" i="43" s="1"/>
  <c r="F86" i="43"/>
  <c r="E86" i="43"/>
  <c r="H73" i="43"/>
  <c r="I73" i="43" s="1"/>
  <c r="F73" i="43"/>
  <c r="E73" i="43" s="1"/>
  <c r="H60" i="43"/>
  <c r="I60" i="43" s="1"/>
  <c r="F60" i="43"/>
  <c r="E60" i="43"/>
  <c r="H47" i="43"/>
  <c r="I47" i="43" s="1"/>
  <c r="F47" i="43"/>
  <c r="E47" i="43" s="1"/>
  <c r="P34" i="43"/>
  <c r="Q34" i="43" s="1"/>
  <c r="N34" i="43"/>
  <c r="M34" i="43" s="1"/>
  <c r="H34" i="43"/>
  <c r="I34" i="43" s="1"/>
  <c r="F34" i="43"/>
  <c r="E34" i="43"/>
  <c r="H21" i="43"/>
  <c r="I21" i="43" s="1"/>
  <c r="F21" i="43"/>
  <c r="E21" i="43" s="1"/>
  <c r="D78" i="43"/>
  <c r="D79" i="43" s="1"/>
  <c r="D80" i="43" s="1"/>
  <c r="D76" i="43"/>
  <c r="D75" i="43" s="1"/>
  <c r="D74" i="43" s="1"/>
  <c r="Q73" i="43"/>
  <c r="P73" i="43"/>
  <c r="N73" i="43"/>
  <c r="M73" i="43"/>
  <c r="D65" i="43"/>
  <c r="D66" i="43" s="1"/>
  <c r="D67" i="43" s="1"/>
  <c r="D63" i="43"/>
  <c r="D62" i="43"/>
  <c r="D61" i="43" s="1"/>
  <c r="P60" i="43"/>
  <c r="Q60" i="43" s="1"/>
  <c r="N60" i="43"/>
  <c r="M60" i="43" s="1"/>
  <c r="D52" i="43"/>
  <c r="D53" i="43" s="1"/>
  <c r="D54" i="43" s="1"/>
  <c r="D50" i="43"/>
  <c r="D49" i="43"/>
  <c r="D48" i="43" s="1"/>
  <c r="Q47" i="43"/>
  <c r="P47" i="43"/>
  <c r="N47" i="43"/>
  <c r="M47" i="43" s="1"/>
  <c r="D39" i="43"/>
  <c r="D40" i="43" s="1"/>
  <c r="D41" i="43" s="1"/>
  <c r="D37" i="43"/>
  <c r="D36" i="43"/>
  <c r="D35" i="43"/>
  <c r="D26" i="43"/>
  <c r="D27" i="43" s="1"/>
  <c r="D28" i="43" s="1"/>
  <c r="D24" i="43"/>
  <c r="D23" i="43" s="1"/>
  <c r="D22" i="43" s="1"/>
  <c r="P21" i="43"/>
  <c r="Q21" i="43" s="1"/>
  <c r="N21" i="43"/>
  <c r="M21" i="43" s="1"/>
  <c r="D13" i="43"/>
  <c r="D14" i="43" s="1"/>
  <c r="D15" i="43" s="1"/>
  <c r="D11" i="43"/>
  <c r="D10" i="43" s="1"/>
  <c r="D9" i="43" s="1"/>
  <c r="P8" i="43"/>
  <c r="Q8" i="43" s="1"/>
  <c r="N8" i="43"/>
  <c r="M8" i="43"/>
  <c r="H8" i="43"/>
  <c r="I8" i="43" s="1"/>
  <c r="F8" i="43"/>
  <c r="E8" i="43" s="1"/>
  <c r="E24" i="41"/>
  <c r="E23" i="41"/>
  <c r="E22" i="41"/>
  <c r="E21" i="41"/>
  <c r="E20" i="41"/>
  <c r="E19" i="41"/>
  <c r="D10" i="41"/>
  <c r="D24" i="41" s="1"/>
  <c r="D9" i="41"/>
  <c r="D23" i="41" s="1"/>
  <c r="D8" i="41"/>
  <c r="D22" i="41" s="1"/>
  <c r="D7" i="41"/>
  <c r="D21" i="41" s="1"/>
  <c r="D6" i="41"/>
  <c r="D20" i="41" s="1"/>
  <c r="D5" i="41"/>
  <c r="D19" i="41" s="1"/>
  <c r="P34" i="42"/>
  <c r="Q34" i="42" s="1"/>
  <c r="N34" i="42"/>
  <c r="M34" i="42" s="1"/>
  <c r="P60" i="42"/>
  <c r="Q60" i="42" s="1"/>
  <c r="N60" i="42"/>
  <c r="M60" i="42" s="1"/>
  <c r="P73" i="42"/>
  <c r="Q73" i="42" s="1"/>
  <c r="N73" i="42"/>
  <c r="M73" i="42" s="1"/>
  <c r="P8" i="42"/>
  <c r="Q8" i="42" s="1"/>
  <c r="N8" i="42"/>
  <c r="M8" i="42" s="1"/>
  <c r="H73" i="42"/>
  <c r="I73" i="42" s="1"/>
  <c r="F73" i="42"/>
  <c r="E73" i="42"/>
  <c r="H60" i="42"/>
  <c r="I60" i="42" s="1"/>
  <c r="F60" i="42"/>
  <c r="E60" i="42" s="1"/>
  <c r="H34" i="42"/>
  <c r="I34" i="42" s="1"/>
  <c r="F34" i="42"/>
  <c r="E34" i="42" s="1"/>
  <c r="H8" i="42"/>
  <c r="I8" i="42" s="1"/>
  <c r="F8" i="42"/>
  <c r="E8" i="42" s="1"/>
  <c r="D78" i="42"/>
  <c r="D79" i="42" s="1"/>
  <c r="D80" i="42" s="1"/>
  <c r="D76" i="42"/>
  <c r="D75" i="42" s="1"/>
  <c r="D74" i="42" s="1"/>
  <c r="D65" i="42"/>
  <c r="D66" i="42" s="1"/>
  <c r="D67" i="42" s="1"/>
  <c r="D63" i="42"/>
  <c r="D62" i="42" s="1"/>
  <c r="D61" i="42" s="1"/>
  <c r="D39" i="42"/>
  <c r="D40" i="42" s="1"/>
  <c r="D41" i="42" s="1"/>
  <c r="D37" i="42"/>
  <c r="D36" i="42" s="1"/>
  <c r="D35" i="42" s="1"/>
  <c r="D13" i="42"/>
  <c r="D14" i="42" s="1"/>
  <c r="D15" i="42" s="1"/>
  <c r="D11" i="42"/>
  <c r="D10" i="42" s="1"/>
  <c r="D9" i="42" s="1"/>
  <c r="J163" i="47" l="1"/>
  <c r="G163" i="47"/>
  <c r="C10" i="41"/>
  <c r="L10" i="41" s="1"/>
  <c r="C8" i="41"/>
  <c r="L8" i="41" s="1"/>
  <c r="C7" i="41"/>
  <c r="L7" i="41" s="1"/>
  <c r="C9" i="41"/>
  <c r="B10" i="41"/>
  <c r="B24" i="41" s="1"/>
  <c r="B8" i="41"/>
  <c r="B22" i="41" s="1"/>
  <c r="B7" i="41"/>
  <c r="B21" i="41" s="1"/>
  <c r="B9" i="41"/>
  <c r="B23" i="41" s="1"/>
  <c r="C6" i="41"/>
  <c r="B6" i="41"/>
  <c r="B20" i="41" s="1"/>
  <c r="C5" i="41"/>
  <c r="C13" i="41" s="1"/>
  <c r="B5" i="41"/>
  <c r="B19" i="41" s="1"/>
  <c r="K3" i="28"/>
  <c r="I84" i="28"/>
  <c r="I83" i="28"/>
  <c r="I79" i="28"/>
  <c r="I78" i="28"/>
  <c r="Q83" i="28"/>
  <c r="I80" i="28"/>
  <c r="D79" i="28"/>
  <c r="BO74" i="28"/>
  <c r="BO73" i="28"/>
  <c r="BN73" i="28"/>
  <c r="BO72" i="28"/>
  <c r="BN72" i="28"/>
  <c r="BO71" i="28"/>
  <c r="BN71" i="28"/>
  <c r="BH74" i="28"/>
  <c r="BH73" i="28"/>
  <c r="BG73" i="28"/>
  <c r="BH72" i="28"/>
  <c r="BG72" i="28"/>
  <c r="BH71" i="28"/>
  <c r="BG71" i="28"/>
  <c r="BA74" i="28"/>
  <c r="BA73" i="28"/>
  <c r="AZ73" i="28"/>
  <c r="BA72" i="28"/>
  <c r="AZ72" i="28"/>
  <c r="BA71" i="28"/>
  <c r="AZ71" i="28"/>
  <c r="AT74" i="28"/>
  <c r="AT73" i="28"/>
  <c r="AS73" i="28"/>
  <c r="AT72" i="28"/>
  <c r="AS72" i="28"/>
  <c r="AT71" i="28"/>
  <c r="AS71" i="28"/>
  <c r="AM74" i="28"/>
  <c r="AM73" i="28"/>
  <c r="AL73" i="28"/>
  <c r="AM72" i="28"/>
  <c r="AL72" i="28"/>
  <c r="AM71" i="28"/>
  <c r="AL71" i="28"/>
  <c r="AF74" i="28"/>
  <c r="AF73" i="28"/>
  <c r="AE73" i="28"/>
  <c r="AF72" i="28"/>
  <c r="AE72" i="28"/>
  <c r="AF71" i="28"/>
  <c r="AE71" i="28"/>
  <c r="Y74" i="28"/>
  <c r="Y73" i="28"/>
  <c r="X73" i="28"/>
  <c r="Y72" i="28"/>
  <c r="X72" i="28"/>
  <c r="Y71" i="28"/>
  <c r="X71" i="28"/>
  <c r="R74" i="28"/>
  <c r="R73" i="28"/>
  <c r="Q73" i="28"/>
  <c r="R72" i="28"/>
  <c r="Q72" i="28"/>
  <c r="R71" i="28"/>
  <c r="Q71" i="28"/>
  <c r="K74" i="28"/>
  <c r="K71" i="28"/>
  <c r="G74" i="28"/>
  <c r="G73" i="28"/>
  <c r="G72" i="28"/>
  <c r="G71" i="28"/>
  <c r="G69" i="28"/>
  <c r="G68" i="28"/>
  <c r="G67" i="28"/>
  <c r="G66" i="28"/>
  <c r="G6" i="41" l="1"/>
  <c r="G20" i="41" s="1"/>
  <c r="M6" i="41"/>
  <c r="C21" i="41"/>
  <c r="M7" i="41"/>
  <c r="G8" i="41"/>
  <c r="G22" i="41" s="1"/>
  <c r="M8" i="41"/>
  <c r="G5" i="41"/>
  <c r="M5" i="41"/>
  <c r="M13" i="41" s="1"/>
  <c r="C23" i="41"/>
  <c r="M9" i="41"/>
  <c r="G10" i="41"/>
  <c r="G24" i="41" s="1"/>
  <c r="M10" i="41"/>
  <c r="L5" i="41"/>
  <c r="L13" i="41" s="1"/>
  <c r="L6" i="41"/>
  <c r="L9" i="41"/>
  <c r="F5" i="41"/>
  <c r="H5" i="41"/>
  <c r="I5" i="41"/>
  <c r="I9" i="41"/>
  <c r="I23" i="41" s="1"/>
  <c r="H9" i="41"/>
  <c r="H23" i="41" s="1"/>
  <c r="I6" i="41"/>
  <c r="I20" i="41" s="1"/>
  <c r="F6" i="41"/>
  <c r="F20" i="41" s="1"/>
  <c r="F9" i="41"/>
  <c r="G9" i="41"/>
  <c r="G23" i="41" s="1"/>
  <c r="H6" i="41"/>
  <c r="H20" i="41" s="1"/>
  <c r="H7" i="41"/>
  <c r="H21" i="41" s="1"/>
  <c r="F10" i="41"/>
  <c r="C24" i="41"/>
  <c r="H10" i="41"/>
  <c r="H24" i="41" s="1"/>
  <c r="F7" i="41"/>
  <c r="F8" i="41"/>
  <c r="I8" i="41"/>
  <c r="I22" i="41" s="1"/>
  <c r="G7" i="41"/>
  <c r="G21" i="41" s="1"/>
  <c r="C19" i="41"/>
  <c r="C22" i="41"/>
  <c r="H8" i="41"/>
  <c r="H22" i="41" s="1"/>
  <c r="I7" i="41"/>
  <c r="I10" i="41"/>
  <c r="I24" i="41" s="1"/>
  <c r="C20" i="41"/>
  <c r="X6" i="10"/>
  <c r="X7" i="10" s="1"/>
  <c r="X5" i="10"/>
  <c r="G359" i="38"/>
  <c r="H359" i="38"/>
  <c r="I359" i="38"/>
  <c r="F231" i="38"/>
  <c r="G231" i="38"/>
  <c r="H231" i="38"/>
  <c r="I231" i="38"/>
  <c r="J231" i="38"/>
  <c r="K231" i="38"/>
  <c r="L231" i="38"/>
  <c r="M231" i="38"/>
  <c r="N231" i="38"/>
  <c r="O231" i="38"/>
  <c r="P231" i="38"/>
  <c r="Q231" i="38"/>
  <c r="E231" i="38"/>
  <c r="D202" i="38"/>
  <c r="D203" i="38" s="1"/>
  <c r="D204" i="38" s="1"/>
  <c r="D205" i="38" s="1"/>
  <c r="D206" i="38" s="1"/>
  <c r="D207" i="38" s="1"/>
  <c r="D208" i="38" s="1"/>
  <c r="D209" i="38" s="1"/>
  <c r="D210" i="38" s="1"/>
  <c r="D211" i="38" s="1"/>
  <c r="D212" i="38" s="1"/>
  <c r="D213" i="38" s="1"/>
  <c r="D214" i="38" s="1"/>
  <c r="D215" i="38" s="1"/>
  <c r="D216" i="38" s="1"/>
  <c r="D217" i="38" s="1"/>
  <c r="D218" i="38" s="1"/>
  <c r="D219" i="38" s="1"/>
  <c r="D220" i="38" s="1"/>
  <c r="D221" i="38" s="1"/>
  <c r="D222" i="38" s="1"/>
  <c r="D223" i="38" s="1"/>
  <c r="D224" i="38" s="1"/>
  <c r="C27" i="41" l="1"/>
  <c r="F19" i="41"/>
  <c r="F13" i="41"/>
  <c r="G19" i="41"/>
  <c r="G27" i="41" s="1"/>
  <c r="G13" i="41"/>
  <c r="I19" i="41"/>
  <c r="I13" i="41"/>
  <c r="H19" i="41"/>
  <c r="H27" i="41" s="1"/>
  <c r="H13" i="41"/>
  <c r="J5" i="41"/>
  <c r="D13" i="41"/>
  <c r="D27" i="41" s="1"/>
  <c r="E13" i="41"/>
  <c r="J20" i="41"/>
  <c r="J6" i="41"/>
  <c r="J9" i="41"/>
  <c r="F23" i="41"/>
  <c r="J23" i="41" s="1"/>
  <c r="F22" i="41"/>
  <c r="J22" i="41" s="1"/>
  <c r="J8" i="41"/>
  <c r="J7" i="41"/>
  <c r="F21" i="41"/>
  <c r="F24" i="41"/>
  <c r="J24" i="41" s="1"/>
  <c r="J10" i="41"/>
  <c r="I21" i="41"/>
  <c r="G156" i="38"/>
  <c r="H156" i="38"/>
  <c r="I156" i="38"/>
  <c r="J156" i="38"/>
  <c r="K156" i="38"/>
  <c r="L156" i="38"/>
  <c r="M156" i="38"/>
  <c r="N156" i="38"/>
  <c r="O156" i="38"/>
  <c r="P156" i="38"/>
  <c r="Q156" i="38"/>
  <c r="F156" i="38"/>
  <c r="G154" i="38"/>
  <c r="H154" i="38"/>
  <c r="I154" i="38"/>
  <c r="J154" i="38"/>
  <c r="K154" i="38"/>
  <c r="L154" i="38"/>
  <c r="M154" i="38"/>
  <c r="N154" i="38"/>
  <c r="O154" i="38"/>
  <c r="P154" i="38"/>
  <c r="Q154" i="38"/>
  <c r="F154" i="38"/>
  <c r="E156" i="38"/>
  <c r="E154" i="38"/>
  <c r="G129" i="38"/>
  <c r="H129" i="38"/>
  <c r="I129" i="38"/>
  <c r="J129" i="38"/>
  <c r="K129" i="38"/>
  <c r="L129" i="38"/>
  <c r="M129" i="38"/>
  <c r="N129" i="38"/>
  <c r="O129" i="38"/>
  <c r="P129" i="38"/>
  <c r="Q129" i="38"/>
  <c r="F129" i="38"/>
  <c r="E129" i="38"/>
  <c r="G127" i="38"/>
  <c r="H127" i="38"/>
  <c r="I127" i="38"/>
  <c r="J127" i="38"/>
  <c r="K127" i="38"/>
  <c r="L127" i="38"/>
  <c r="M127" i="38"/>
  <c r="N127" i="38"/>
  <c r="O127" i="38"/>
  <c r="P127" i="38"/>
  <c r="Q127" i="38"/>
  <c r="F127" i="38"/>
  <c r="E127" i="38"/>
  <c r="G110" i="38"/>
  <c r="H110" i="38"/>
  <c r="I110" i="38"/>
  <c r="J110" i="38"/>
  <c r="K110" i="38"/>
  <c r="L110" i="38"/>
  <c r="M110" i="38"/>
  <c r="N110" i="38"/>
  <c r="O110" i="38"/>
  <c r="P110" i="38"/>
  <c r="Q110" i="38"/>
  <c r="F110" i="38"/>
  <c r="E110" i="38"/>
  <c r="G92" i="38"/>
  <c r="H92" i="38"/>
  <c r="I92" i="38"/>
  <c r="J92" i="38"/>
  <c r="K92" i="38"/>
  <c r="L92" i="38"/>
  <c r="M92" i="38"/>
  <c r="N92" i="38"/>
  <c r="O92" i="38"/>
  <c r="P92" i="38"/>
  <c r="Q92" i="38"/>
  <c r="F92" i="38"/>
  <c r="E92" i="38"/>
  <c r="E36" i="38"/>
  <c r="G74" i="38"/>
  <c r="H74" i="38"/>
  <c r="I74" i="38"/>
  <c r="J74" i="38"/>
  <c r="K74" i="38"/>
  <c r="L74" i="38"/>
  <c r="M74" i="38"/>
  <c r="N74" i="38"/>
  <c r="O74" i="38"/>
  <c r="P74" i="38"/>
  <c r="Q74" i="38"/>
  <c r="F74" i="38"/>
  <c r="E74" i="38"/>
  <c r="G65" i="38"/>
  <c r="F65" i="38"/>
  <c r="H65" i="38"/>
  <c r="I65" i="38"/>
  <c r="J65" i="38"/>
  <c r="K65" i="38"/>
  <c r="L65" i="38"/>
  <c r="M65" i="38"/>
  <c r="N65" i="38"/>
  <c r="O65" i="38"/>
  <c r="P65" i="38"/>
  <c r="Q65" i="38"/>
  <c r="I288" i="38"/>
  <c r="H288" i="38"/>
  <c r="G288" i="38"/>
  <c r="F288" i="38"/>
  <c r="I287" i="38"/>
  <c r="H287" i="38"/>
  <c r="G287" i="38"/>
  <c r="F287" i="38"/>
  <c r="I286" i="38"/>
  <c r="H286" i="38"/>
  <c r="G286" i="38"/>
  <c r="F286" i="38"/>
  <c r="I285" i="38"/>
  <c r="H285" i="38"/>
  <c r="G285" i="38"/>
  <c r="F285" i="38"/>
  <c r="I284" i="38"/>
  <c r="H284" i="38"/>
  <c r="G284" i="38"/>
  <c r="F284" i="38"/>
  <c r="I283" i="38"/>
  <c r="H283" i="38"/>
  <c r="G283" i="38"/>
  <c r="F283" i="38"/>
  <c r="I282" i="38"/>
  <c r="H282" i="38"/>
  <c r="G282" i="38"/>
  <c r="F282" i="38"/>
  <c r="I281" i="38"/>
  <c r="H281" i="38"/>
  <c r="G281" i="38"/>
  <c r="F281" i="38"/>
  <c r="I280" i="38"/>
  <c r="H280" i="38"/>
  <c r="G280" i="38"/>
  <c r="F280" i="38"/>
  <c r="I279" i="38"/>
  <c r="H279" i="38"/>
  <c r="G279" i="38"/>
  <c r="F279" i="38"/>
  <c r="I278" i="38"/>
  <c r="H278" i="38"/>
  <c r="G278" i="38"/>
  <c r="F278" i="38"/>
  <c r="I277" i="38"/>
  <c r="H277" i="38"/>
  <c r="G277" i="38"/>
  <c r="F277" i="38"/>
  <c r="I276" i="38"/>
  <c r="H276" i="38"/>
  <c r="G276" i="38"/>
  <c r="F276" i="38"/>
  <c r="I275" i="38"/>
  <c r="H275" i="38"/>
  <c r="G275" i="38"/>
  <c r="F275" i="38"/>
  <c r="I274" i="38"/>
  <c r="H274" i="38"/>
  <c r="G274" i="38"/>
  <c r="F274" i="38"/>
  <c r="I272" i="38"/>
  <c r="H272" i="38"/>
  <c r="G272" i="38"/>
  <c r="F272" i="38"/>
  <c r="I271" i="38"/>
  <c r="H271" i="38"/>
  <c r="G271" i="38"/>
  <c r="F271" i="38"/>
  <c r="I269" i="38"/>
  <c r="H269" i="38"/>
  <c r="G269" i="38"/>
  <c r="F269" i="38"/>
  <c r="I266" i="38"/>
  <c r="H266" i="38"/>
  <c r="G266" i="38"/>
  <c r="F266" i="38"/>
  <c r="E269" i="38"/>
  <c r="E271" i="38"/>
  <c r="I210" i="38"/>
  <c r="H210" i="38"/>
  <c r="G210" i="38"/>
  <c r="F210" i="38"/>
  <c r="I209" i="38"/>
  <c r="H209" i="38"/>
  <c r="G209" i="38"/>
  <c r="F209" i="38"/>
  <c r="I208" i="38"/>
  <c r="H208" i="38"/>
  <c r="G208" i="38"/>
  <c r="F208" i="38"/>
  <c r="I207" i="38"/>
  <c r="H207" i="38"/>
  <c r="G207" i="38"/>
  <c r="F207" i="38"/>
  <c r="I206" i="38"/>
  <c r="H206" i="38"/>
  <c r="G206" i="38"/>
  <c r="F206" i="38"/>
  <c r="I204" i="38"/>
  <c r="H204" i="38"/>
  <c r="G204" i="38"/>
  <c r="F204" i="38"/>
  <c r="I203" i="38"/>
  <c r="H203" i="38"/>
  <c r="G203" i="38"/>
  <c r="F203" i="38"/>
  <c r="I202" i="38"/>
  <c r="H202" i="38"/>
  <c r="G202" i="38"/>
  <c r="F202" i="38"/>
  <c r="B88" i="39"/>
  <c r="L7" i="39"/>
  <c r="K5" i="39"/>
  <c r="L5" i="39" s="1"/>
  <c r="L6" i="39"/>
  <c r="J13" i="41" l="1"/>
  <c r="J19" i="41"/>
  <c r="I27" i="41"/>
  <c r="F27" i="41"/>
  <c r="F28" i="41" s="1"/>
  <c r="F14" i="41"/>
  <c r="E27" i="41"/>
  <c r="M14" i="41"/>
  <c r="J21" i="41"/>
  <c r="J27" i="41" s="1"/>
  <c r="B81" i="39"/>
  <c r="B79" i="39"/>
  <c r="E15" i="39" l="1"/>
  <c r="F5" i="39"/>
  <c r="Q36" i="38"/>
  <c r="P36" i="38"/>
  <c r="O36" i="38"/>
  <c r="N36" i="38"/>
  <c r="M36" i="38"/>
  <c r="L36" i="38"/>
  <c r="K36" i="38"/>
  <c r="J36" i="38"/>
  <c r="I36" i="38"/>
  <c r="H36" i="38"/>
  <c r="G36" i="38"/>
  <c r="F36" i="38"/>
  <c r="I5" i="38"/>
  <c r="I6" i="38" s="1"/>
  <c r="J67" i="39" s="1"/>
  <c r="Q5" i="38"/>
  <c r="Q6" i="38" s="1"/>
  <c r="R67" i="39" s="1"/>
  <c r="P5" i="38"/>
  <c r="P6" i="38" s="1"/>
  <c r="Q67" i="39" s="1"/>
  <c r="O5" i="38"/>
  <c r="O6" i="38" s="1"/>
  <c r="P67" i="39" s="1"/>
  <c r="N5" i="38"/>
  <c r="N6" i="38" s="1"/>
  <c r="O67" i="39" s="1"/>
  <c r="M5" i="38"/>
  <c r="M6" i="38" s="1"/>
  <c r="N67" i="39" s="1"/>
  <c r="L5" i="38"/>
  <c r="L6" i="38" s="1"/>
  <c r="M67" i="39" s="1"/>
  <c r="K5" i="38"/>
  <c r="K6" i="38" s="1"/>
  <c r="L67" i="39" s="1"/>
  <c r="J5" i="38"/>
  <c r="J6" i="38" s="1"/>
  <c r="K67" i="39" s="1"/>
  <c r="H5" i="38"/>
  <c r="H6" i="38" s="1"/>
  <c r="I67" i="39" s="1"/>
  <c r="G5" i="38"/>
  <c r="G6" i="38" s="1"/>
  <c r="H67" i="39" s="1"/>
  <c r="F5" i="38"/>
  <c r="F6" i="38" s="1"/>
  <c r="G67" i="39" s="1"/>
  <c r="F8" i="39" l="1"/>
  <c r="F7" i="39"/>
  <c r="F6" i="39"/>
  <c r="E5" i="38"/>
  <c r="E6" i="38" s="1"/>
  <c r="F67" i="39" s="1"/>
  <c r="Q418" i="38"/>
  <c r="Q417" i="38"/>
  <c r="Q416" i="38"/>
  <c r="Q415" i="38"/>
  <c r="Q414" i="38"/>
  <c r="Q413" i="38"/>
  <c r="Q412" i="38"/>
  <c r="Q411" i="38"/>
  <c r="Q410" i="38"/>
  <c r="Q409" i="38"/>
  <c r="Q408" i="38"/>
  <c r="Q407" i="38"/>
  <c r="Q406" i="38"/>
  <c r="Q405" i="38"/>
  <c r="Q404" i="38"/>
  <c r="Q403" i="38"/>
  <c r="Q402" i="38"/>
  <c r="Q401" i="38"/>
  <c r="Q400" i="38"/>
  <c r="Q399" i="38"/>
  <c r="Q398" i="38"/>
  <c r="Q397" i="38"/>
  <c r="Q396" i="38"/>
  <c r="Q395" i="38"/>
  <c r="Q391" i="38"/>
  <c r="Q224" i="38"/>
  <c r="Q119" i="38"/>
  <c r="Q117" i="38"/>
  <c r="Q101" i="38"/>
  <c r="Q100" i="38"/>
  <c r="Q99" i="38"/>
  <c r="Q83" i="38"/>
  <c r="Q82" i="38"/>
  <c r="Q81" i="38"/>
  <c r="Q58" i="38"/>
  <c r="Q72" i="38"/>
  <c r="P418" i="38"/>
  <c r="P417" i="38"/>
  <c r="P416" i="38"/>
  <c r="P415" i="38"/>
  <c r="P414" i="38"/>
  <c r="P413" i="38"/>
  <c r="P412" i="38"/>
  <c r="P411" i="38"/>
  <c r="P410" i="38"/>
  <c r="P409" i="38"/>
  <c r="P408" i="38"/>
  <c r="P407" i="38"/>
  <c r="P406" i="38"/>
  <c r="P405" i="38"/>
  <c r="P404" i="38"/>
  <c r="P403" i="38"/>
  <c r="P402" i="38"/>
  <c r="P401" i="38"/>
  <c r="P400" i="38"/>
  <c r="P399" i="38"/>
  <c r="P398" i="38"/>
  <c r="P397" i="38"/>
  <c r="P396" i="38"/>
  <c r="P395" i="38"/>
  <c r="P391" i="38"/>
  <c r="P224" i="38"/>
  <c r="P119" i="38"/>
  <c r="P117" i="38"/>
  <c r="P101" i="38"/>
  <c r="P100" i="38"/>
  <c r="P99" i="38"/>
  <c r="P83" i="38"/>
  <c r="P82" i="38"/>
  <c r="P81" i="38"/>
  <c r="P72" i="38"/>
  <c r="P58" i="38"/>
  <c r="O418" i="38"/>
  <c r="O417" i="38"/>
  <c r="O416" i="38"/>
  <c r="O415" i="38"/>
  <c r="O414" i="38"/>
  <c r="O413" i="38"/>
  <c r="O412" i="38"/>
  <c r="O411" i="38"/>
  <c r="O410" i="38"/>
  <c r="O409" i="38"/>
  <c r="O408" i="38"/>
  <c r="O407" i="38"/>
  <c r="O406" i="38"/>
  <c r="O405" i="38"/>
  <c r="O404" i="38"/>
  <c r="O403" i="38"/>
  <c r="O402" i="38"/>
  <c r="O401" i="38"/>
  <c r="O400" i="38"/>
  <c r="O399" i="38"/>
  <c r="O398" i="38"/>
  <c r="O397" i="38"/>
  <c r="O396" i="38"/>
  <c r="O395" i="38"/>
  <c r="O391" i="38"/>
  <c r="O224" i="38"/>
  <c r="O119" i="38"/>
  <c r="O117" i="38"/>
  <c r="O101" i="38"/>
  <c r="O100" i="38"/>
  <c r="O83" i="38"/>
  <c r="O82" i="38"/>
  <c r="O81" i="38"/>
  <c r="O58" i="38"/>
  <c r="N418" i="38"/>
  <c r="N417" i="38"/>
  <c r="N416" i="38"/>
  <c r="N415" i="38"/>
  <c r="N414" i="38"/>
  <c r="N413" i="38"/>
  <c r="N412" i="38"/>
  <c r="N411" i="38"/>
  <c r="N410" i="38"/>
  <c r="N409" i="38"/>
  <c r="N408" i="38"/>
  <c r="N407" i="38"/>
  <c r="N406" i="38"/>
  <c r="N405" i="38"/>
  <c r="N404" i="38"/>
  <c r="N403" i="38"/>
  <c r="N402" i="38"/>
  <c r="N401" i="38"/>
  <c r="N400" i="38"/>
  <c r="N399" i="38"/>
  <c r="N398" i="38"/>
  <c r="N397" i="38"/>
  <c r="N396" i="38"/>
  <c r="N395" i="38"/>
  <c r="N391" i="38"/>
  <c r="N224" i="38"/>
  <c r="N119" i="38"/>
  <c r="N117" i="38"/>
  <c r="N101" i="38"/>
  <c r="N100" i="38"/>
  <c r="N83" i="38"/>
  <c r="N82" i="38"/>
  <c r="N81" i="38"/>
  <c r="N58" i="38"/>
  <c r="N72" i="38"/>
  <c r="M418" i="38"/>
  <c r="L418" i="38"/>
  <c r="K418" i="38"/>
  <c r="J418" i="38"/>
  <c r="I418" i="38"/>
  <c r="H418" i="38"/>
  <c r="G418" i="38"/>
  <c r="F418" i="38"/>
  <c r="E418" i="38"/>
  <c r="M417" i="38"/>
  <c r="L417" i="38"/>
  <c r="K417" i="38"/>
  <c r="J417" i="38"/>
  <c r="I417" i="38"/>
  <c r="H417" i="38"/>
  <c r="G417" i="38"/>
  <c r="F417" i="38"/>
  <c r="E417" i="38"/>
  <c r="M416" i="38"/>
  <c r="L416" i="38"/>
  <c r="K416" i="38"/>
  <c r="J416" i="38"/>
  <c r="I416" i="38"/>
  <c r="H416" i="38"/>
  <c r="G416" i="38"/>
  <c r="F416" i="38"/>
  <c r="E416" i="38"/>
  <c r="M415" i="38"/>
  <c r="L415" i="38"/>
  <c r="K415" i="38"/>
  <c r="J415" i="38"/>
  <c r="I415" i="38"/>
  <c r="H415" i="38"/>
  <c r="G415" i="38"/>
  <c r="F415" i="38"/>
  <c r="E415" i="38"/>
  <c r="M414" i="38"/>
  <c r="L414" i="38"/>
  <c r="K414" i="38"/>
  <c r="J414" i="38"/>
  <c r="I414" i="38"/>
  <c r="H414" i="38"/>
  <c r="G414" i="38"/>
  <c r="F414" i="38"/>
  <c r="E414" i="38"/>
  <c r="M413" i="38"/>
  <c r="L413" i="38"/>
  <c r="K413" i="38"/>
  <c r="J413" i="38"/>
  <c r="I413" i="38"/>
  <c r="H413" i="38"/>
  <c r="G413" i="38"/>
  <c r="F413" i="38"/>
  <c r="E413" i="38"/>
  <c r="M412" i="38"/>
  <c r="L412" i="38"/>
  <c r="K412" i="38"/>
  <c r="J412" i="38"/>
  <c r="I412" i="38"/>
  <c r="H412" i="38"/>
  <c r="G412" i="38"/>
  <c r="F412" i="38"/>
  <c r="E412" i="38"/>
  <c r="M411" i="38"/>
  <c r="L411" i="38"/>
  <c r="K411" i="38"/>
  <c r="J411" i="38"/>
  <c r="I411" i="38"/>
  <c r="H411" i="38"/>
  <c r="G411" i="38"/>
  <c r="F411" i="38"/>
  <c r="E411" i="38"/>
  <c r="M410" i="38"/>
  <c r="L410" i="38"/>
  <c r="K410" i="38"/>
  <c r="J410" i="38"/>
  <c r="I410" i="38"/>
  <c r="H410" i="38"/>
  <c r="G410" i="38"/>
  <c r="F410" i="38"/>
  <c r="E410" i="38"/>
  <c r="M409" i="38"/>
  <c r="L409" i="38"/>
  <c r="K409" i="38"/>
  <c r="J409" i="38"/>
  <c r="I409" i="38"/>
  <c r="H409" i="38"/>
  <c r="G409" i="38"/>
  <c r="F409" i="38"/>
  <c r="E409" i="38"/>
  <c r="M408" i="38"/>
  <c r="L408" i="38"/>
  <c r="K408" i="38"/>
  <c r="J408" i="38"/>
  <c r="I408" i="38"/>
  <c r="H408" i="38"/>
  <c r="G408" i="38"/>
  <c r="F408" i="38"/>
  <c r="E408" i="38"/>
  <c r="M407" i="38"/>
  <c r="L407" i="38"/>
  <c r="K407" i="38"/>
  <c r="J407" i="38"/>
  <c r="I407" i="38"/>
  <c r="H407" i="38"/>
  <c r="G407" i="38"/>
  <c r="F407" i="38"/>
  <c r="E407" i="38"/>
  <c r="M406" i="38"/>
  <c r="L406" i="38"/>
  <c r="K406" i="38"/>
  <c r="J406" i="38"/>
  <c r="I406" i="38"/>
  <c r="H406" i="38"/>
  <c r="G406" i="38"/>
  <c r="F406" i="38"/>
  <c r="E406" i="38"/>
  <c r="M405" i="38"/>
  <c r="L405" i="38"/>
  <c r="K405" i="38"/>
  <c r="J405" i="38"/>
  <c r="I405" i="38"/>
  <c r="H405" i="38"/>
  <c r="G405" i="38"/>
  <c r="F405" i="38"/>
  <c r="E405" i="38"/>
  <c r="M404" i="38"/>
  <c r="L404" i="38"/>
  <c r="K404" i="38"/>
  <c r="J404" i="38"/>
  <c r="I404" i="38"/>
  <c r="H404" i="38"/>
  <c r="G404" i="38"/>
  <c r="F404" i="38"/>
  <c r="E404" i="38"/>
  <c r="M403" i="38"/>
  <c r="L403" i="38"/>
  <c r="K403" i="38"/>
  <c r="J403" i="38"/>
  <c r="I403" i="38"/>
  <c r="H403" i="38"/>
  <c r="G403" i="38"/>
  <c r="F403" i="38"/>
  <c r="E403" i="38"/>
  <c r="M402" i="38"/>
  <c r="L402" i="38"/>
  <c r="K402" i="38"/>
  <c r="J402" i="38"/>
  <c r="I402" i="38"/>
  <c r="H402" i="38"/>
  <c r="G402" i="38"/>
  <c r="F402" i="38"/>
  <c r="E402" i="38"/>
  <c r="M401" i="38"/>
  <c r="L401" i="38"/>
  <c r="K401" i="38"/>
  <c r="J401" i="38"/>
  <c r="I401" i="38"/>
  <c r="H401" i="38"/>
  <c r="G401" i="38"/>
  <c r="F401" i="38"/>
  <c r="E401" i="38"/>
  <c r="M400" i="38"/>
  <c r="L400" i="38"/>
  <c r="K400" i="38"/>
  <c r="J400" i="38"/>
  <c r="I400" i="38"/>
  <c r="H400" i="38"/>
  <c r="G400" i="38"/>
  <c r="F400" i="38"/>
  <c r="E400" i="38"/>
  <c r="M399" i="38"/>
  <c r="L399" i="38"/>
  <c r="K399" i="38"/>
  <c r="J399" i="38"/>
  <c r="I399" i="38"/>
  <c r="H399" i="38"/>
  <c r="G399" i="38"/>
  <c r="F399" i="38"/>
  <c r="E399" i="38"/>
  <c r="M398" i="38"/>
  <c r="L398" i="38"/>
  <c r="K398" i="38"/>
  <c r="J398" i="38"/>
  <c r="I398" i="38"/>
  <c r="H398" i="38"/>
  <c r="G398" i="38"/>
  <c r="F398" i="38"/>
  <c r="E398" i="38"/>
  <c r="M397" i="38"/>
  <c r="L397" i="38"/>
  <c r="K397" i="38"/>
  <c r="J397" i="38"/>
  <c r="I397" i="38"/>
  <c r="H397" i="38"/>
  <c r="G397" i="38"/>
  <c r="F397" i="38"/>
  <c r="E397" i="38"/>
  <c r="M396" i="38"/>
  <c r="L396" i="38"/>
  <c r="K396" i="38"/>
  <c r="J396" i="38"/>
  <c r="I396" i="38"/>
  <c r="H396" i="38"/>
  <c r="G396" i="38"/>
  <c r="F396" i="38"/>
  <c r="E396" i="38"/>
  <c r="D396" i="38"/>
  <c r="D397" i="38" s="1"/>
  <c r="D398" i="38" s="1"/>
  <c r="D399" i="38" s="1"/>
  <c r="D400" i="38" s="1"/>
  <c r="D401" i="38" s="1"/>
  <c r="D402" i="38" s="1"/>
  <c r="D403" i="38" s="1"/>
  <c r="D404" i="38" s="1"/>
  <c r="D405" i="38" s="1"/>
  <c r="D406" i="38" s="1"/>
  <c r="D407" i="38" s="1"/>
  <c r="D408" i="38" s="1"/>
  <c r="D409" i="38" s="1"/>
  <c r="D410" i="38" s="1"/>
  <c r="D411" i="38" s="1"/>
  <c r="D412" i="38" s="1"/>
  <c r="D413" i="38" s="1"/>
  <c r="D414" i="38" s="1"/>
  <c r="D415" i="38" s="1"/>
  <c r="D416" i="38" s="1"/>
  <c r="D417" i="38" s="1"/>
  <c r="D418" i="38" s="1"/>
  <c r="M395" i="38"/>
  <c r="L395" i="38"/>
  <c r="K395" i="38"/>
  <c r="J395" i="38"/>
  <c r="I395" i="38"/>
  <c r="H395" i="38"/>
  <c r="G395" i="38"/>
  <c r="F395" i="38"/>
  <c r="E395" i="38"/>
  <c r="M391" i="38"/>
  <c r="L391" i="38"/>
  <c r="K391" i="38"/>
  <c r="J391" i="38"/>
  <c r="I391" i="38"/>
  <c r="H391" i="38"/>
  <c r="G391" i="38"/>
  <c r="F391" i="38"/>
  <c r="E391" i="38"/>
  <c r="D364" i="38"/>
  <c r="D365" i="38" s="1"/>
  <c r="D366" i="38" s="1"/>
  <c r="D367" i="38" s="1"/>
  <c r="D368" i="38" s="1"/>
  <c r="D369" i="38" s="1"/>
  <c r="D370" i="38" s="1"/>
  <c r="D371" i="38" s="1"/>
  <c r="D372" i="38" s="1"/>
  <c r="D373" i="38" s="1"/>
  <c r="D374" i="38" s="1"/>
  <c r="D375" i="38" s="1"/>
  <c r="D376" i="38" s="1"/>
  <c r="D377" i="38" s="1"/>
  <c r="D378" i="38" s="1"/>
  <c r="D379" i="38" s="1"/>
  <c r="D380" i="38" s="1"/>
  <c r="D381" i="38" s="1"/>
  <c r="D382" i="38" s="1"/>
  <c r="D383" i="38" s="1"/>
  <c r="D384" i="38" s="1"/>
  <c r="D385" i="38" s="1"/>
  <c r="D386" i="38" s="1"/>
  <c r="M363" i="38"/>
  <c r="L363" i="38"/>
  <c r="K363" i="38"/>
  <c r="J363" i="38"/>
  <c r="I363" i="38"/>
  <c r="H363" i="38"/>
  <c r="G363" i="38"/>
  <c r="F363" i="38"/>
  <c r="E363" i="38"/>
  <c r="F359" i="38"/>
  <c r="E359" i="38"/>
  <c r="D332" i="38"/>
  <c r="D333" i="38" s="1"/>
  <c r="D334" i="38" s="1"/>
  <c r="D335" i="38" s="1"/>
  <c r="D336" i="38" s="1"/>
  <c r="D337" i="38" s="1"/>
  <c r="D338" i="38" s="1"/>
  <c r="D339" i="38" s="1"/>
  <c r="D340" i="38" s="1"/>
  <c r="D341" i="38" s="1"/>
  <c r="D342" i="38" s="1"/>
  <c r="D343" i="38" s="1"/>
  <c r="D344" i="38" s="1"/>
  <c r="D345" i="38" s="1"/>
  <c r="D346" i="38" s="1"/>
  <c r="D347" i="38" s="1"/>
  <c r="D348" i="38" s="1"/>
  <c r="D349" i="38" s="1"/>
  <c r="D350" i="38" s="1"/>
  <c r="D351" i="38" s="1"/>
  <c r="D352" i="38" s="1"/>
  <c r="D353" i="38" s="1"/>
  <c r="D354" i="38" s="1"/>
  <c r="I322" i="38"/>
  <c r="H322" i="38"/>
  <c r="G322" i="38"/>
  <c r="F322" i="38"/>
  <c r="E322" i="38"/>
  <c r="I321" i="38"/>
  <c r="H321" i="38"/>
  <c r="G321" i="38"/>
  <c r="F321" i="38"/>
  <c r="E321" i="38"/>
  <c r="I320" i="38"/>
  <c r="H320" i="38"/>
  <c r="G320" i="38"/>
  <c r="F320" i="38"/>
  <c r="E320" i="38"/>
  <c r="I319" i="38"/>
  <c r="H319" i="38"/>
  <c r="G319" i="38"/>
  <c r="F319" i="38"/>
  <c r="E319" i="38"/>
  <c r="I318" i="38"/>
  <c r="H318" i="38"/>
  <c r="G318" i="38"/>
  <c r="F318" i="38"/>
  <c r="E318" i="38"/>
  <c r="I317" i="38"/>
  <c r="H317" i="38"/>
  <c r="G317" i="38"/>
  <c r="F317" i="38"/>
  <c r="E317" i="38"/>
  <c r="I316" i="38"/>
  <c r="H316" i="38"/>
  <c r="G316" i="38"/>
  <c r="F316" i="38"/>
  <c r="E316" i="38"/>
  <c r="I315" i="38"/>
  <c r="H315" i="38"/>
  <c r="G315" i="38"/>
  <c r="F315" i="38"/>
  <c r="E315" i="38"/>
  <c r="I314" i="38"/>
  <c r="H314" i="38"/>
  <c r="G314" i="38"/>
  <c r="F314" i="38"/>
  <c r="E314" i="38"/>
  <c r="I313" i="38"/>
  <c r="H313" i="38"/>
  <c r="G313" i="38"/>
  <c r="F313" i="38"/>
  <c r="E313" i="38"/>
  <c r="I312" i="38"/>
  <c r="H312" i="38"/>
  <c r="G312" i="38"/>
  <c r="F312" i="38"/>
  <c r="E312" i="38"/>
  <c r="I311" i="38"/>
  <c r="H311" i="38"/>
  <c r="G311" i="38"/>
  <c r="F311" i="38"/>
  <c r="E311" i="38"/>
  <c r="I310" i="38"/>
  <c r="H310" i="38"/>
  <c r="G310" i="38"/>
  <c r="F310" i="38"/>
  <c r="E310" i="38"/>
  <c r="I309" i="38"/>
  <c r="H309" i="38"/>
  <c r="G309" i="38"/>
  <c r="F309" i="38"/>
  <c r="E309" i="38"/>
  <c r="I308" i="38"/>
  <c r="H308" i="38"/>
  <c r="G308" i="38"/>
  <c r="F308" i="38"/>
  <c r="E308" i="38"/>
  <c r="I307" i="38"/>
  <c r="H307" i="38"/>
  <c r="G307" i="38"/>
  <c r="F307" i="38"/>
  <c r="E307" i="38"/>
  <c r="I306" i="38"/>
  <c r="H306" i="38"/>
  <c r="G306" i="38"/>
  <c r="F306" i="38"/>
  <c r="E306" i="38"/>
  <c r="I305" i="38"/>
  <c r="H305" i="38"/>
  <c r="G305" i="38"/>
  <c r="F305" i="38"/>
  <c r="E305" i="38"/>
  <c r="I304" i="38"/>
  <c r="H304" i="38"/>
  <c r="G304" i="38"/>
  <c r="F304" i="38"/>
  <c r="E304" i="38"/>
  <c r="I303" i="38"/>
  <c r="H303" i="38"/>
  <c r="G303" i="38"/>
  <c r="F303" i="38"/>
  <c r="E303" i="38"/>
  <c r="I302" i="38"/>
  <c r="H302" i="38"/>
  <c r="G302" i="38"/>
  <c r="F302" i="38"/>
  <c r="E302" i="38"/>
  <c r="I301" i="38"/>
  <c r="H301" i="38"/>
  <c r="G301" i="38"/>
  <c r="F301" i="38"/>
  <c r="E301" i="38"/>
  <c r="I300" i="38"/>
  <c r="H300" i="38"/>
  <c r="G300" i="38"/>
  <c r="F300" i="38"/>
  <c r="E300" i="38"/>
  <c r="D300" i="38"/>
  <c r="D301" i="38" s="1"/>
  <c r="D302" i="38" s="1"/>
  <c r="D303" i="38" s="1"/>
  <c r="D304" i="38" s="1"/>
  <c r="D305" i="38" s="1"/>
  <c r="D306" i="38" s="1"/>
  <c r="D307" i="38" s="1"/>
  <c r="D308" i="38" s="1"/>
  <c r="D309" i="38" s="1"/>
  <c r="D310" i="38" s="1"/>
  <c r="D311" i="38" s="1"/>
  <c r="D312" i="38" s="1"/>
  <c r="D313" i="38" s="1"/>
  <c r="D314" i="38" s="1"/>
  <c r="D315" i="38" s="1"/>
  <c r="D316" i="38" s="1"/>
  <c r="D317" i="38" s="1"/>
  <c r="D318" i="38" s="1"/>
  <c r="D319" i="38" s="1"/>
  <c r="D320" i="38" s="1"/>
  <c r="D321" i="38" s="1"/>
  <c r="D322" i="38" s="1"/>
  <c r="E288" i="38"/>
  <c r="E287" i="38"/>
  <c r="E286" i="38"/>
  <c r="E285" i="38"/>
  <c r="E284" i="38"/>
  <c r="E283" i="38"/>
  <c r="E282" i="38"/>
  <c r="E281" i="38"/>
  <c r="E280" i="38"/>
  <c r="E279" i="38"/>
  <c r="E278" i="38"/>
  <c r="E277" i="38"/>
  <c r="E276" i="38"/>
  <c r="E275" i="38"/>
  <c r="E274" i="38"/>
  <c r="E272" i="38"/>
  <c r="E266" i="38"/>
  <c r="D266" i="38"/>
  <c r="D267" i="38" s="1"/>
  <c r="D268" i="38" s="1"/>
  <c r="D269" i="38" s="1"/>
  <c r="D270" i="38" s="1"/>
  <c r="D271" i="38" s="1"/>
  <c r="D272" i="38" s="1"/>
  <c r="D273" i="38" s="1"/>
  <c r="D274" i="38" s="1"/>
  <c r="D275" i="38" s="1"/>
  <c r="D276" i="38" s="1"/>
  <c r="D277" i="38" s="1"/>
  <c r="D278" i="38" s="1"/>
  <c r="D279" i="38" s="1"/>
  <c r="D280" i="38" s="1"/>
  <c r="D281" i="38" s="1"/>
  <c r="D282" i="38" s="1"/>
  <c r="D283" i="38" s="1"/>
  <c r="D284" i="38" s="1"/>
  <c r="D285" i="38" s="1"/>
  <c r="D286" i="38" s="1"/>
  <c r="D287" i="38" s="1"/>
  <c r="D288" i="38" s="1"/>
  <c r="I256" i="38"/>
  <c r="H256" i="38"/>
  <c r="G256" i="38"/>
  <c r="F256" i="38"/>
  <c r="E256" i="38"/>
  <c r="I255" i="38"/>
  <c r="H255" i="38"/>
  <c r="G255" i="38"/>
  <c r="F255" i="38"/>
  <c r="E255" i="38"/>
  <c r="I254" i="38"/>
  <c r="H254" i="38"/>
  <c r="G254" i="38"/>
  <c r="F254" i="38"/>
  <c r="E254" i="38"/>
  <c r="I253" i="38"/>
  <c r="H253" i="38"/>
  <c r="G253" i="38"/>
  <c r="F253" i="38"/>
  <c r="E253" i="38"/>
  <c r="I252" i="38"/>
  <c r="H252" i="38"/>
  <c r="G252" i="38"/>
  <c r="F252" i="38"/>
  <c r="E252" i="38"/>
  <c r="I251" i="38"/>
  <c r="H251" i="38"/>
  <c r="G251" i="38"/>
  <c r="F251" i="38"/>
  <c r="E251" i="38"/>
  <c r="I250" i="38"/>
  <c r="H250" i="38"/>
  <c r="G250" i="38"/>
  <c r="F250" i="38"/>
  <c r="E250" i="38"/>
  <c r="I249" i="38"/>
  <c r="H249" i="38"/>
  <c r="G249" i="38"/>
  <c r="F249" i="38"/>
  <c r="E249" i="38"/>
  <c r="I248" i="38"/>
  <c r="H248" i="38"/>
  <c r="G248" i="38"/>
  <c r="F248" i="38"/>
  <c r="E248" i="38"/>
  <c r="I247" i="38"/>
  <c r="H247" i="38"/>
  <c r="G247" i="38"/>
  <c r="F247" i="38"/>
  <c r="E247" i="38"/>
  <c r="I246" i="38"/>
  <c r="H246" i="38"/>
  <c r="G246" i="38"/>
  <c r="F246" i="38"/>
  <c r="E246" i="38"/>
  <c r="I245" i="38"/>
  <c r="H245" i="38"/>
  <c r="G245" i="38"/>
  <c r="F245" i="38"/>
  <c r="E245" i="38"/>
  <c r="I244" i="38"/>
  <c r="H244" i="38"/>
  <c r="G244" i="38"/>
  <c r="F244" i="38"/>
  <c r="E244" i="38"/>
  <c r="I243" i="38"/>
  <c r="H243" i="38"/>
  <c r="G243" i="38"/>
  <c r="F243" i="38"/>
  <c r="E243" i="38"/>
  <c r="I242" i="38"/>
  <c r="H242" i="38"/>
  <c r="G242" i="38"/>
  <c r="F242" i="38"/>
  <c r="E242" i="38"/>
  <c r="I241" i="38"/>
  <c r="H241" i="38"/>
  <c r="G241" i="38"/>
  <c r="F241" i="38"/>
  <c r="E241" i="38"/>
  <c r="I240" i="38"/>
  <c r="H240" i="38"/>
  <c r="G240" i="38"/>
  <c r="F240" i="38"/>
  <c r="E240" i="38"/>
  <c r="I239" i="38"/>
  <c r="H239" i="38"/>
  <c r="G239" i="38"/>
  <c r="F239" i="38"/>
  <c r="E239" i="38"/>
  <c r="I238" i="38"/>
  <c r="H238" i="38"/>
  <c r="G238" i="38"/>
  <c r="F238" i="38"/>
  <c r="E238" i="38"/>
  <c r="I237" i="38"/>
  <c r="H237" i="38"/>
  <c r="G237" i="38"/>
  <c r="F237" i="38"/>
  <c r="E237" i="38"/>
  <c r="I236" i="38"/>
  <c r="H236" i="38"/>
  <c r="G236" i="38"/>
  <c r="F236" i="38"/>
  <c r="E236" i="38"/>
  <c r="I235" i="38"/>
  <c r="H235" i="38"/>
  <c r="G235" i="38"/>
  <c r="F235" i="38"/>
  <c r="E235" i="38"/>
  <c r="I234" i="38"/>
  <c r="H234" i="38"/>
  <c r="G234" i="38"/>
  <c r="F234" i="38"/>
  <c r="E234" i="38"/>
  <c r="D234" i="38"/>
  <c r="D235" i="38" s="1"/>
  <c r="D236" i="38" s="1"/>
  <c r="D237" i="38" s="1"/>
  <c r="D238" i="38" s="1"/>
  <c r="D239" i="38" s="1"/>
  <c r="D240" i="38" s="1"/>
  <c r="D241" i="38" s="1"/>
  <c r="D242" i="38" s="1"/>
  <c r="D243" i="38" s="1"/>
  <c r="D244" i="38" s="1"/>
  <c r="D245" i="38" s="1"/>
  <c r="D246" i="38" s="1"/>
  <c r="D247" i="38" s="1"/>
  <c r="D248" i="38" s="1"/>
  <c r="D249" i="38" s="1"/>
  <c r="D250" i="38" s="1"/>
  <c r="D251" i="38" s="1"/>
  <c r="D252" i="38" s="1"/>
  <c r="D253" i="38" s="1"/>
  <c r="D254" i="38" s="1"/>
  <c r="D255" i="38" s="1"/>
  <c r="D256" i="38" s="1"/>
  <c r="M224" i="38"/>
  <c r="L224" i="38"/>
  <c r="K224" i="38"/>
  <c r="J224" i="38"/>
  <c r="I224" i="38"/>
  <c r="H224" i="38"/>
  <c r="G224" i="38"/>
  <c r="F224" i="38"/>
  <c r="E224" i="38"/>
  <c r="I217" i="38"/>
  <c r="H217" i="38"/>
  <c r="G217" i="38"/>
  <c r="F217" i="38"/>
  <c r="E217" i="38"/>
  <c r="I216" i="38"/>
  <c r="H216" i="38"/>
  <c r="G216" i="38"/>
  <c r="F216" i="38"/>
  <c r="E216" i="38"/>
  <c r="I215" i="38"/>
  <c r="H215" i="38"/>
  <c r="G215" i="38"/>
  <c r="F215" i="38"/>
  <c r="E215" i="38"/>
  <c r="I214" i="38"/>
  <c r="H214" i="38"/>
  <c r="G214" i="38"/>
  <c r="F214" i="38"/>
  <c r="E214" i="38"/>
  <c r="I213" i="38"/>
  <c r="H213" i="38"/>
  <c r="G213" i="38"/>
  <c r="F213" i="38"/>
  <c r="E213" i="38"/>
  <c r="I212" i="38"/>
  <c r="H212" i="38"/>
  <c r="G212" i="38"/>
  <c r="F212" i="38"/>
  <c r="E212" i="38"/>
  <c r="I211" i="38"/>
  <c r="H211" i="38"/>
  <c r="G211" i="38"/>
  <c r="F211" i="38"/>
  <c r="E211" i="38"/>
  <c r="E210" i="38"/>
  <c r="E209" i="38"/>
  <c r="E208" i="38"/>
  <c r="E207" i="38"/>
  <c r="E206" i="38"/>
  <c r="E204" i="38"/>
  <c r="E203" i="38"/>
  <c r="E202" i="38"/>
  <c r="D170" i="38"/>
  <c r="D171" i="38" s="1"/>
  <c r="D172" i="38" s="1"/>
  <c r="D173" i="38" s="1"/>
  <c r="D174" i="38" s="1"/>
  <c r="D175" i="38" s="1"/>
  <c r="D176" i="38" s="1"/>
  <c r="D177" i="38" s="1"/>
  <c r="D178" i="38" s="1"/>
  <c r="D179" i="38" s="1"/>
  <c r="D180" i="38" s="1"/>
  <c r="D181" i="38" s="1"/>
  <c r="D182" i="38" s="1"/>
  <c r="D183" i="38" s="1"/>
  <c r="D184" i="38" s="1"/>
  <c r="D185" i="38" s="1"/>
  <c r="D186" i="38" s="1"/>
  <c r="D187" i="38" s="1"/>
  <c r="D188" i="38" s="1"/>
  <c r="D189" i="38" s="1"/>
  <c r="D190" i="38" s="1"/>
  <c r="D191" i="38" s="1"/>
  <c r="D192" i="38" s="1"/>
  <c r="I155" i="38"/>
  <c r="H155" i="38"/>
  <c r="G155" i="38"/>
  <c r="F155" i="38"/>
  <c r="E155" i="38"/>
  <c r="E128" i="38"/>
  <c r="I119" i="38"/>
  <c r="H119" i="38"/>
  <c r="G119" i="38"/>
  <c r="F119" i="38"/>
  <c r="E119" i="38"/>
  <c r="I118" i="38"/>
  <c r="H118" i="38"/>
  <c r="G118" i="38"/>
  <c r="F118" i="38"/>
  <c r="E118" i="38"/>
  <c r="I117" i="38"/>
  <c r="H117" i="38"/>
  <c r="G117" i="38"/>
  <c r="F117" i="38"/>
  <c r="E117" i="38"/>
  <c r="I109" i="38"/>
  <c r="H109" i="38"/>
  <c r="G109" i="38"/>
  <c r="F109" i="38"/>
  <c r="E109" i="38"/>
  <c r="M101" i="38"/>
  <c r="L101" i="38"/>
  <c r="K101" i="38"/>
  <c r="J101" i="38"/>
  <c r="I101" i="38"/>
  <c r="H101" i="38"/>
  <c r="G101" i="38"/>
  <c r="F101" i="38"/>
  <c r="E101" i="38"/>
  <c r="I100" i="38"/>
  <c r="H100" i="38"/>
  <c r="G100" i="38"/>
  <c r="F100" i="38"/>
  <c r="E100" i="38"/>
  <c r="E91" i="38"/>
  <c r="M83" i="38"/>
  <c r="L83" i="38"/>
  <c r="K83" i="38"/>
  <c r="J83" i="38"/>
  <c r="I83" i="38"/>
  <c r="H83" i="38"/>
  <c r="G83" i="38"/>
  <c r="F83" i="38"/>
  <c r="E83" i="38"/>
  <c r="M82" i="38"/>
  <c r="L82" i="38"/>
  <c r="K82" i="38"/>
  <c r="J82" i="38"/>
  <c r="I82" i="38"/>
  <c r="H82" i="38"/>
  <c r="G82" i="38"/>
  <c r="F82" i="38"/>
  <c r="E82" i="38"/>
  <c r="M81" i="38"/>
  <c r="L81" i="38"/>
  <c r="K81" i="38"/>
  <c r="J81" i="38"/>
  <c r="I81" i="38"/>
  <c r="H81" i="38"/>
  <c r="G81" i="38"/>
  <c r="F81" i="38"/>
  <c r="E81" i="38"/>
  <c r="I73" i="38"/>
  <c r="H73" i="38"/>
  <c r="G73" i="38"/>
  <c r="F73" i="38"/>
  <c r="E73" i="38"/>
  <c r="J72" i="38"/>
  <c r="E58" i="38"/>
  <c r="L72" i="38"/>
  <c r="I72" i="38"/>
  <c r="O72" i="38" l="1"/>
  <c r="K72" i="38"/>
  <c r="M72" i="38"/>
  <c r="J99" i="38"/>
  <c r="L99" i="38"/>
  <c r="M99" i="38"/>
  <c r="O99" i="38"/>
  <c r="H72" i="38"/>
  <c r="N99" i="38"/>
  <c r="E99" i="38"/>
  <c r="E72" i="38"/>
  <c r="G99" i="38"/>
  <c r="F99" i="38"/>
  <c r="F72" i="38"/>
  <c r="H99" i="38"/>
  <c r="G72" i="38"/>
  <c r="I99" i="38"/>
  <c r="K99" i="38"/>
  <c r="S5" i="12" l="1"/>
  <c r="H66" i="28" l="1"/>
  <c r="BO70" i="28"/>
  <c r="BH70" i="28"/>
  <c r="BA70" i="28"/>
  <c r="AT70" i="28"/>
  <c r="AM70" i="28"/>
  <c r="AF70" i="28"/>
  <c r="Y70" i="28"/>
  <c r="R70" i="28"/>
  <c r="BT69" i="28"/>
  <c r="K69" i="28"/>
  <c r="K68" i="28"/>
  <c r="K67" i="28"/>
  <c r="BD66" i="28"/>
  <c r="AW66" i="28" s="1"/>
  <c r="AP66" i="28" s="1"/>
  <c r="AI66" i="28" s="1"/>
  <c r="AB66" i="28" s="1"/>
  <c r="K66" i="28"/>
  <c r="BT66" i="28" s="1"/>
  <c r="B66" i="28"/>
  <c r="I66" i="28" l="1"/>
  <c r="H69" i="28"/>
  <c r="I69" i="28" s="1"/>
  <c r="K70" i="28"/>
  <c r="G70" i="28"/>
  <c r="BT67" i="28"/>
  <c r="BT68" i="28"/>
  <c r="H67" i="28"/>
  <c r="I67" i="28" s="1"/>
  <c r="H68" i="28"/>
  <c r="I68" i="28" s="1"/>
  <c r="X67" i="28" l="1"/>
  <c r="BG67" i="28"/>
  <c r="Q67" i="28"/>
  <c r="AZ67" i="28"/>
  <c r="AS67" i="28"/>
  <c r="AL67" i="28"/>
  <c r="AE67" i="28"/>
  <c r="BN67" i="28"/>
  <c r="BG68" i="28"/>
  <c r="AZ68" i="28"/>
  <c r="BN68" i="28"/>
  <c r="X68" i="28"/>
  <c r="AS68" i="28"/>
  <c r="AL68" i="28"/>
  <c r="AE68" i="28"/>
  <c r="Q68" i="28"/>
  <c r="Q69" i="28"/>
  <c r="AS69" i="28"/>
  <c r="AL69" i="28"/>
  <c r="BN69" i="28"/>
  <c r="X69" i="28"/>
  <c r="AZ69" i="28"/>
  <c r="AE69" i="28"/>
  <c r="BG69" i="28"/>
  <c r="J66" i="28"/>
  <c r="AS66" i="28"/>
  <c r="Q66" i="28"/>
  <c r="BN66" i="28"/>
  <c r="AL66" i="28"/>
  <c r="BG66" i="28"/>
  <c r="AE66" i="28"/>
  <c r="AZ66" i="28"/>
  <c r="X66" i="28"/>
  <c r="L68" i="28"/>
  <c r="J68" i="28"/>
  <c r="L67" i="28"/>
  <c r="J67" i="28"/>
  <c r="BP69" i="28"/>
  <c r="L69" i="28"/>
  <c r="J69" i="28"/>
  <c r="I70" i="28"/>
  <c r="J70" i="28" s="1"/>
  <c r="L66" i="28"/>
  <c r="H70" i="28"/>
  <c r="AN66" i="28" l="1"/>
  <c r="AL70" i="28"/>
  <c r="AD67" i="28"/>
  <c r="AG67" i="28"/>
  <c r="AU66" i="28"/>
  <c r="AS70" i="28"/>
  <c r="L70" i="28"/>
  <c r="BB66" i="28"/>
  <c r="AZ70" i="28"/>
  <c r="W67" i="28"/>
  <c r="Z67" i="28"/>
  <c r="AN68" i="28"/>
  <c r="AK68" i="28"/>
  <c r="BI67" i="28"/>
  <c r="BF67" i="28"/>
  <c r="BP67" i="28"/>
  <c r="BM67" i="28"/>
  <c r="BS69" i="28"/>
  <c r="S66" i="28"/>
  <c r="Q70" i="28"/>
  <c r="BS66" i="28"/>
  <c r="BB68" i="28"/>
  <c r="AY68" i="28"/>
  <c r="AG68" i="28"/>
  <c r="AD68" i="28"/>
  <c r="BP66" i="28"/>
  <c r="BN70" i="28"/>
  <c r="AK67" i="28"/>
  <c r="AN67" i="28"/>
  <c r="BP68" i="28"/>
  <c r="BM68" i="28"/>
  <c r="BS67" i="28"/>
  <c r="S67" i="28"/>
  <c r="M70" i="28"/>
  <c r="P67" i="28"/>
  <c r="AR67" i="28"/>
  <c r="AU67" i="28"/>
  <c r="BS68" i="28"/>
  <c r="P68" i="28"/>
  <c r="S68" i="28"/>
  <c r="W68" i="28"/>
  <c r="Z68" i="28"/>
  <c r="Z66" i="28"/>
  <c r="X70" i="28"/>
  <c r="BF68" i="28"/>
  <c r="BI68" i="28"/>
  <c r="BG70" i="28"/>
  <c r="BI66" i="28"/>
  <c r="AE70" i="28"/>
  <c r="AG66" i="28"/>
  <c r="BB67" i="28"/>
  <c r="AY67" i="28"/>
  <c r="AR68" i="28"/>
  <c r="AU68" i="28"/>
  <c r="Z70" i="28" l="1"/>
  <c r="W70" i="28"/>
  <c r="AR70" i="28"/>
  <c r="AU70" i="28"/>
  <c r="AK70" i="28"/>
  <c r="AN70" i="28"/>
  <c r="BI70" i="28"/>
  <c r="BF70" i="28"/>
  <c r="BM70" i="28"/>
  <c r="BP70" i="28"/>
  <c r="BB70" i="28"/>
  <c r="AY70" i="28"/>
  <c r="P70" i="28"/>
  <c r="S70" i="28"/>
  <c r="AG70" i="28"/>
  <c r="AD70" i="28"/>
  <c r="G51" i="37" l="1"/>
  <c r="G52" i="37"/>
  <c r="L26" i="36"/>
  <c r="L29" i="36"/>
  <c r="L28" i="36"/>
  <c r="R105" i="35" l="1"/>
  <c r="W104" i="35"/>
  <c r="G32" i="1"/>
  <c r="U88" i="35"/>
  <c r="T88" i="35"/>
  <c r="S88" i="35"/>
  <c r="R88" i="35"/>
  <c r="Q88" i="35"/>
  <c r="K88" i="35"/>
  <c r="J88" i="35"/>
  <c r="U86" i="35"/>
  <c r="T86" i="35"/>
  <c r="S86" i="35"/>
  <c r="R86" i="35"/>
  <c r="Q86" i="35"/>
  <c r="K86" i="35"/>
  <c r="J86" i="35"/>
  <c r="I88" i="35"/>
  <c r="I86" i="35"/>
  <c r="AE79" i="35"/>
  <c r="AD79" i="35"/>
  <c r="AC79" i="35"/>
  <c r="AB79" i="35"/>
  <c r="AE78" i="35"/>
  <c r="AD78" i="35"/>
  <c r="AC78" i="35"/>
  <c r="AB78" i="35"/>
  <c r="AE77" i="35"/>
  <c r="AD77" i="35"/>
  <c r="AC77" i="35"/>
  <c r="AB77" i="35"/>
  <c r="AE76" i="35"/>
  <c r="AD76" i="35"/>
  <c r="AC76" i="35"/>
  <c r="AB76" i="35"/>
  <c r="H91" i="35"/>
  <c r="H79" i="35"/>
  <c r="H78" i="35"/>
  <c r="H77" i="35"/>
  <c r="H76" i="35"/>
  <c r="Q78" i="35"/>
  <c r="K78" i="35"/>
  <c r="K76" i="35" s="1"/>
  <c r="K80" i="35" s="1"/>
  <c r="J78" i="35"/>
  <c r="J76" i="35" s="1"/>
  <c r="J80" i="35" s="1"/>
  <c r="I78" i="35"/>
  <c r="I76" i="35" s="1"/>
  <c r="I80" i="35" s="1"/>
  <c r="K85" i="35" l="1"/>
  <c r="I87" i="35"/>
  <c r="AF79" i="35"/>
  <c r="I85" i="35"/>
  <c r="H80" i="35"/>
  <c r="J87" i="35"/>
  <c r="K87" i="35"/>
  <c r="AF76" i="35"/>
  <c r="J85" i="35"/>
  <c r="Q76" i="35"/>
  <c r="AF77" i="35"/>
  <c r="Q87" i="35"/>
  <c r="AF78" i="35"/>
  <c r="K49" i="35" l="1"/>
  <c r="K64" i="35" s="1"/>
  <c r="I49" i="35"/>
  <c r="I64" i="35" s="1"/>
  <c r="J49" i="35"/>
  <c r="J64" i="35" s="1"/>
  <c r="R58" i="35"/>
  <c r="R69" i="35" s="1"/>
  <c r="R29" i="35"/>
  <c r="R40" i="35" s="1"/>
  <c r="I89" i="35"/>
  <c r="K89" i="35"/>
  <c r="J89" i="35"/>
  <c r="Q80" i="35"/>
  <c r="Q85" i="35"/>
  <c r="V64" i="35" l="1"/>
  <c r="J58" i="35"/>
  <c r="J69" i="35" s="1"/>
  <c r="J47" i="35"/>
  <c r="J62" i="35" s="1"/>
  <c r="I47" i="35"/>
  <c r="I62" i="35" s="1"/>
  <c r="I58" i="35"/>
  <c r="I69" i="35" s="1"/>
  <c r="K58" i="35"/>
  <c r="K69" i="35" s="1"/>
  <c r="K47" i="35"/>
  <c r="K62" i="35" s="1"/>
  <c r="T58" i="35"/>
  <c r="T69" i="35" s="1"/>
  <c r="U58" i="35"/>
  <c r="U69" i="35" s="1"/>
  <c r="R51" i="35"/>
  <c r="R56" i="35"/>
  <c r="R67" i="35" s="1"/>
  <c r="S58" i="35"/>
  <c r="S69" i="35" s="1"/>
  <c r="T29" i="35"/>
  <c r="T40" i="35" s="1"/>
  <c r="R27" i="35"/>
  <c r="R38" i="35" s="1"/>
  <c r="R22" i="35"/>
  <c r="U29" i="35"/>
  <c r="U40" i="35" s="1"/>
  <c r="S29" i="35"/>
  <c r="S40" i="35" s="1"/>
  <c r="V40" i="35" s="1"/>
  <c r="Q89" i="35"/>
  <c r="V69" i="35" l="1"/>
  <c r="V62" i="35"/>
  <c r="K56" i="35"/>
  <c r="K51" i="35"/>
  <c r="I56" i="35"/>
  <c r="I51" i="35"/>
  <c r="J51" i="35"/>
  <c r="J56" i="35"/>
  <c r="U56" i="35"/>
  <c r="U67" i="35" s="1"/>
  <c r="U51" i="35"/>
  <c r="R60" i="35"/>
  <c r="S56" i="35"/>
  <c r="S67" i="35" s="1"/>
  <c r="S51" i="35"/>
  <c r="T51" i="35"/>
  <c r="T56" i="35"/>
  <c r="T67" i="35" s="1"/>
  <c r="R31" i="35"/>
  <c r="T27" i="35"/>
  <c r="T38" i="35" s="1"/>
  <c r="T22" i="35"/>
  <c r="S27" i="35"/>
  <c r="S38" i="35" s="1"/>
  <c r="S22" i="35"/>
  <c r="U27" i="35"/>
  <c r="U38" i="35" s="1"/>
  <c r="U22" i="35"/>
  <c r="X13" i="31"/>
  <c r="S13" i="31"/>
  <c r="S12" i="31"/>
  <c r="Q13" i="31"/>
  <c r="Q12" i="31"/>
  <c r="M13" i="31"/>
  <c r="M12" i="31"/>
  <c r="K13" i="31"/>
  <c r="E13" i="31"/>
  <c r="E12" i="31"/>
  <c r="D13" i="31"/>
  <c r="D12" i="31"/>
  <c r="D94" i="35"/>
  <c r="U74" i="35"/>
  <c r="U83" i="35" s="1"/>
  <c r="T74" i="35"/>
  <c r="T83" i="35" s="1"/>
  <c r="S74" i="35"/>
  <c r="S83" i="35" s="1"/>
  <c r="R74" i="35"/>
  <c r="R83" i="35" s="1"/>
  <c r="Q74" i="35"/>
  <c r="Q83" i="35" s="1"/>
  <c r="K74" i="35"/>
  <c r="K83" i="35" s="1"/>
  <c r="J74" i="35"/>
  <c r="J83" i="35" s="1"/>
  <c r="I74" i="35"/>
  <c r="I83" i="35" s="1"/>
  <c r="G83" i="35"/>
  <c r="F83" i="35"/>
  <c r="E83" i="35"/>
  <c r="D83" i="35"/>
  <c r="V38" i="35" l="1"/>
  <c r="J60" i="35"/>
  <c r="J67" i="35"/>
  <c r="I60" i="35"/>
  <c r="I67" i="35"/>
  <c r="K60" i="35"/>
  <c r="K67" i="35"/>
  <c r="S60" i="35"/>
  <c r="T60" i="35"/>
  <c r="U60" i="35"/>
  <c r="T31" i="35"/>
  <c r="U31" i="35"/>
  <c r="S31" i="35"/>
  <c r="K12" i="31"/>
  <c r="I12" i="31" s="1"/>
  <c r="I98" i="35"/>
  <c r="I97" i="35"/>
  <c r="I100" i="35"/>
  <c r="I99" i="35"/>
  <c r="G13" i="31"/>
  <c r="J98" i="35"/>
  <c r="J100" i="35"/>
  <c r="J99" i="35"/>
  <c r="J97" i="35"/>
  <c r="J92" i="35"/>
  <c r="J94" i="35"/>
  <c r="J93" i="35"/>
  <c r="J95" i="35"/>
  <c r="I93" i="35"/>
  <c r="I95" i="35"/>
  <c r="I94" i="35"/>
  <c r="I92" i="35"/>
  <c r="I13" i="31"/>
  <c r="V67" i="35" l="1"/>
  <c r="H13" i="31"/>
  <c r="T14" i="34" l="1"/>
  <c r="T13" i="34"/>
  <c r="T11" i="34"/>
  <c r="T8" i="34"/>
  <c r="P30" i="34" l="1"/>
  <c r="M30" i="34"/>
  <c r="E30" i="34"/>
  <c r="F30" i="34" s="1"/>
  <c r="C30" i="34"/>
  <c r="P29" i="34"/>
  <c r="M29" i="34"/>
  <c r="E29" i="34"/>
  <c r="H29" i="34" s="1"/>
  <c r="C29" i="34"/>
  <c r="P28" i="34"/>
  <c r="M28" i="34"/>
  <c r="E28" i="34"/>
  <c r="F28" i="34" s="1"/>
  <c r="C28" i="34"/>
  <c r="P27" i="34"/>
  <c r="M27" i="34"/>
  <c r="E27" i="34"/>
  <c r="H27" i="34" s="1"/>
  <c r="C27" i="34"/>
  <c r="O26" i="34"/>
  <c r="M26" i="34"/>
  <c r="G26" i="34"/>
  <c r="E26" i="34"/>
  <c r="C26" i="34"/>
  <c r="P25" i="34"/>
  <c r="M25" i="34"/>
  <c r="E25" i="34"/>
  <c r="C25" i="34"/>
  <c r="O24" i="34"/>
  <c r="M24" i="34"/>
  <c r="G24" i="34"/>
  <c r="E24" i="34"/>
  <c r="C24" i="34"/>
  <c r="O23" i="34"/>
  <c r="M23" i="34"/>
  <c r="G23" i="34"/>
  <c r="E23" i="34"/>
  <c r="C23" i="34"/>
  <c r="O22" i="34"/>
  <c r="M22" i="34"/>
  <c r="G22" i="34"/>
  <c r="E22" i="34"/>
  <c r="C22" i="34"/>
  <c r="O21" i="34"/>
  <c r="M21" i="34"/>
  <c r="G21" i="34"/>
  <c r="E21" i="34"/>
  <c r="H21" i="34" s="1"/>
  <c r="C21" i="34"/>
  <c r="O20" i="34"/>
  <c r="M20" i="34"/>
  <c r="G20" i="34"/>
  <c r="E20" i="34"/>
  <c r="F20" i="34" s="1"/>
  <c r="C20" i="34"/>
  <c r="Q17" i="34"/>
  <c r="O17" i="34" s="1"/>
  <c r="P17" i="34"/>
  <c r="E17" i="34"/>
  <c r="H17" i="34" s="1"/>
  <c r="C17" i="34"/>
  <c r="Q16" i="34"/>
  <c r="G16" i="34" s="1"/>
  <c r="P16" i="34"/>
  <c r="M16" i="34"/>
  <c r="E16" i="34"/>
  <c r="F16" i="34" s="1"/>
  <c r="C16" i="34"/>
  <c r="Q15" i="34"/>
  <c r="O15" i="34" s="1"/>
  <c r="P15" i="34"/>
  <c r="M15" i="34"/>
  <c r="E15" i="34"/>
  <c r="H15" i="34" s="1"/>
  <c r="C15" i="34"/>
  <c r="O14" i="34"/>
  <c r="M14" i="34"/>
  <c r="L14" i="34"/>
  <c r="K14" i="34"/>
  <c r="E14" i="34"/>
  <c r="H14" i="34" s="1"/>
  <c r="C14" i="34"/>
  <c r="O13" i="34"/>
  <c r="M13" i="34"/>
  <c r="J13" i="34"/>
  <c r="G13" i="34"/>
  <c r="E13" i="34"/>
  <c r="C13" i="34"/>
  <c r="Q12" i="34"/>
  <c r="O12" i="34" s="1"/>
  <c r="P12" i="34"/>
  <c r="J12" i="34"/>
  <c r="E12" i="34"/>
  <c r="H12" i="34" s="1"/>
  <c r="C12" i="34"/>
  <c r="O11" i="34"/>
  <c r="G11" i="34"/>
  <c r="E11" i="34"/>
  <c r="H11" i="34" s="1"/>
  <c r="C11" i="34"/>
  <c r="Q10" i="34"/>
  <c r="O10" i="34" s="1"/>
  <c r="P10" i="34"/>
  <c r="M10" i="34"/>
  <c r="J10" i="34"/>
  <c r="E10" i="34"/>
  <c r="H10" i="34" s="1"/>
  <c r="C10" i="34"/>
  <c r="P9" i="34"/>
  <c r="C9" i="34"/>
  <c r="O8" i="34"/>
  <c r="K8" i="34"/>
  <c r="C8" i="34"/>
  <c r="P7" i="34"/>
  <c r="K7" i="34"/>
  <c r="C7" i="34"/>
  <c r="O6" i="34"/>
  <c r="K6" i="34"/>
  <c r="J6" i="34"/>
  <c r="E6" i="34"/>
  <c r="F6" i="34" s="1"/>
  <c r="C6" i="34"/>
  <c r="O5" i="34"/>
  <c r="E5" i="34"/>
  <c r="F5" i="34" s="1"/>
  <c r="C5" i="34"/>
  <c r="O4" i="34"/>
  <c r="G4" i="34"/>
  <c r="E4" i="34"/>
  <c r="C4" i="34"/>
  <c r="F21" i="34" l="1"/>
  <c r="G14" i="34"/>
  <c r="G15" i="34"/>
  <c r="O16" i="34"/>
  <c r="G12" i="34"/>
  <c r="F17" i="34"/>
  <c r="F24" i="34"/>
  <c r="H25" i="34"/>
  <c r="F23" i="34"/>
  <c r="H24" i="34"/>
  <c r="F25" i="34"/>
  <c r="H4" i="34"/>
  <c r="F4" i="34"/>
  <c r="F22" i="34"/>
  <c r="H23" i="34"/>
  <c r="H22" i="34"/>
  <c r="M32" i="34"/>
  <c r="M31" i="34" s="1"/>
  <c r="G17" i="34"/>
  <c r="H20" i="34"/>
  <c r="F15" i="34"/>
  <c r="H16" i="34"/>
  <c r="F27" i="34"/>
  <c r="H26" i="34"/>
  <c r="F29" i="34"/>
  <c r="F11" i="34"/>
  <c r="F10" i="34"/>
  <c r="E31" i="34"/>
  <c r="H6" i="34"/>
  <c r="G10" i="34"/>
  <c r="F13" i="34"/>
  <c r="F26" i="34"/>
  <c r="H13" i="34"/>
  <c r="H30" i="34"/>
  <c r="F14" i="34"/>
  <c r="H28" i="34"/>
  <c r="F12" i="34"/>
  <c r="F31" i="34" l="1"/>
  <c r="Y62" i="24" l="1"/>
  <c r="AA60" i="24"/>
  <c r="Y60" i="24"/>
  <c r="Y61" i="24"/>
  <c r="Y59" i="24"/>
  <c r="Y58" i="24"/>
  <c r="U61" i="24"/>
  <c r="T61" i="24"/>
  <c r="U60" i="24"/>
  <c r="T60" i="24"/>
  <c r="P56" i="24"/>
  <c r="AA51" i="24"/>
  <c r="W51" i="24"/>
  <c r="Y52" i="24"/>
  <c r="Y51" i="24"/>
  <c r="Y50" i="24"/>
  <c r="Y49" i="24"/>
  <c r="Y48" i="24"/>
  <c r="W52" i="24"/>
  <c r="W50" i="24"/>
  <c r="W49" i="24"/>
  <c r="W48" i="24"/>
  <c r="V52" i="24"/>
  <c r="V51" i="24"/>
  <c r="V50" i="24"/>
  <c r="V49" i="24"/>
  <c r="V48" i="24"/>
  <c r="U52" i="24"/>
  <c r="T52" i="24"/>
  <c r="U51" i="24"/>
  <c r="T51" i="24"/>
  <c r="U50" i="24"/>
  <c r="T50" i="24"/>
  <c r="U49" i="24"/>
  <c r="T49" i="24"/>
  <c r="U48" i="24"/>
  <c r="T48" i="24"/>
  <c r="Y47" i="24"/>
  <c r="W47" i="24"/>
  <c r="V47" i="24"/>
  <c r="U47" i="24"/>
  <c r="T47" i="24"/>
  <c r="Q47" i="24"/>
  <c r="P47" i="24"/>
  <c r="Y44" i="24"/>
  <c r="W44" i="24"/>
  <c r="V44" i="24"/>
  <c r="U44" i="24"/>
  <c r="T44" i="24"/>
  <c r="T27" i="24" l="1"/>
  <c r="P27" i="24"/>
  <c r="P20" i="24"/>
  <c r="Y17" i="24"/>
  <c r="Y16" i="24"/>
  <c r="Y15" i="24"/>
  <c r="U17" i="24"/>
  <c r="U16" i="24"/>
  <c r="U15" i="24"/>
  <c r="T17" i="24"/>
  <c r="T16" i="24"/>
  <c r="T15" i="24"/>
  <c r="Q17" i="24"/>
  <c r="P17" i="24"/>
  <c r="Q16" i="24"/>
  <c r="P16" i="24"/>
  <c r="Q15" i="24"/>
  <c r="P15" i="24"/>
  <c r="Y14" i="24"/>
  <c r="Y13" i="24"/>
  <c r="Y12" i="24"/>
  <c r="U12" i="24"/>
  <c r="T12" i="24"/>
  <c r="Q12" i="24"/>
  <c r="P12" i="24"/>
  <c r="Y11" i="24"/>
  <c r="V8" i="24"/>
  <c r="Y10" i="24"/>
  <c r="Q10" i="24"/>
  <c r="P10" i="24"/>
  <c r="P9" i="24"/>
  <c r="T9" i="24"/>
  <c r="P7" i="24"/>
  <c r="S5" i="32"/>
  <c r="P5" i="32"/>
  <c r="E5" i="32"/>
  <c r="E4" i="32"/>
  <c r="E40" i="37" s="1"/>
  <c r="C5" i="32"/>
  <c r="B33" i="37" s="1"/>
  <c r="C4" i="32"/>
  <c r="B40" i="37" s="1"/>
  <c r="S5" i="24"/>
  <c r="O5" i="24"/>
  <c r="E5" i="24"/>
  <c r="F5" i="24" s="1"/>
  <c r="E4" i="24"/>
  <c r="C4" i="24"/>
  <c r="C5" i="24"/>
  <c r="BO89" i="10"/>
  <c r="BO88" i="10"/>
  <c r="BO87" i="10"/>
  <c r="BO86" i="10"/>
  <c r="BO90" i="10" s="1"/>
  <c r="BH89" i="10"/>
  <c r="BH88" i="10"/>
  <c r="BH87" i="10"/>
  <c r="BH86" i="10"/>
  <c r="BH90" i="10" s="1"/>
  <c r="BA90" i="10"/>
  <c r="BA89" i="10"/>
  <c r="BA88" i="10"/>
  <c r="BA87" i="10"/>
  <c r="BA86" i="10"/>
  <c r="AT89" i="10"/>
  <c r="AT88" i="10"/>
  <c r="AT87" i="10"/>
  <c r="AT86" i="10"/>
  <c r="AT90" i="10" s="1"/>
  <c r="AM89" i="10"/>
  <c r="AM88" i="10"/>
  <c r="AM87" i="10"/>
  <c r="AM86" i="10"/>
  <c r="AM90" i="10" s="1"/>
  <c r="AF89" i="10"/>
  <c r="AF86" i="10"/>
  <c r="Y89" i="10"/>
  <c r="Y88" i="10"/>
  <c r="Y87" i="10"/>
  <c r="Y86" i="10"/>
  <c r="R89" i="10"/>
  <c r="R86" i="10"/>
  <c r="K89" i="10"/>
  <c r="B21" i="10"/>
  <c r="B26" i="10" s="1"/>
  <c r="B31" i="10" s="1"/>
  <c r="B36" i="10" s="1"/>
  <c r="B41" i="10" s="1"/>
  <c r="B46" i="10" s="1"/>
  <c r="B51" i="10" s="1"/>
  <c r="B56" i="10" s="1"/>
  <c r="B61" i="10" s="1"/>
  <c r="B66" i="10" s="1"/>
  <c r="B71" i="10" s="1"/>
  <c r="B76" i="10" s="1"/>
  <c r="B81" i="10" s="1"/>
  <c r="B16" i="10"/>
  <c r="AF13" i="10"/>
  <c r="AF15" i="10" s="1"/>
  <c r="AF12" i="10"/>
  <c r="Y13" i="10"/>
  <c r="Y12" i="10"/>
  <c r="Y15" i="10" s="1"/>
  <c r="R13" i="10"/>
  <c r="K13" i="10" s="1"/>
  <c r="BT13" i="10" s="1"/>
  <c r="R12" i="10"/>
  <c r="G19" i="10"/>
  <c r="G18" i="10"/>
  <c r="G17" i="10"/>
  <c r="H18" i="10"/>
  <c r="H19" i="10"/>
  <c r="G16" i="10"/>
  <c r="H16" i="10" s="1"/>
  <c r="G14" i="10"/>
  <c r="G13" i="10"/>
  <c r="G12" i="10"/>
  <c r="H12" i="10"/>
  <c r="I12" i="10" s="1"/>
  <c r="AS12" i="10" s="1"/>
  <c r="H14" i="10"/>
  <c r="I14" i="10" s="1"/>
  <c r="AL14" i="10" s="1"/>
  <c r="G11" i="10"/>
  <c r="H11" i="10" s="1"/>
  <c r="BO20" i="10"/>
  <c r="BH20" i="10"/>
  <c r="BA20" i="10"/>
  <c r="AT20" i="10"/>
  <c r="AM20" i="10"/>
  <c r="Y20" i="10"/>
  <c r="R20" i="10"/>
  <c r="K19" i="10"/>
  <c r="BT19" i="10" s="1"/>
  <c r="O18" i="10"/>
  <c r="N18" i="10"/>
  <c r="K18" i="10"/>
  <c r="BT18" i="10" s="1"/>
  <c r="AF20" i="10"/>
  <c r="N17" i="10"/>
  <c r="BD16" i="10"/>
  <c r="AW16" i="10" s="1"/>
  <c r="AP16" i="10" s="1"/>
  <c r="AI16" i="10" s="1"/>
  <c r="AB16" i="10" s="1"/>
  <c r="K16" i="10"/>
  <c r="BT16" i="10" s="1"/>
  <c r="BO15" i="10"/>
  <c r="BH15" i="10"/>
  <c r="BA15" i="10"/>
  <c r="AT15" i="10"/>
  <c r="AM15" i="10"/>
  <c r="K14" i="10"/>
  <c r="BT14" i="10" s="1"/>
  <c r="O13" i="10"/>
  <c r="N13" i="10" s="1"/>
  <c r="N12" i="10"/>
  <c r="K12" i="10"/>
  <c r="BD11" i="10"/>
  <c r="AW11" i="10" s="1"/>
  <c r="AP11" i="10" s="1"/>
  <c r="AI11" i="10" s="1"/>
  <c r="AB11" i="10" s="1"/>
  <c r="K11" i="10"/>
  <c r="Y90" i="10" l="1"/>
  <c r="E24" i="38"/>
  <c r="J40" i="37"/>
  <c r="T40" i="37"/>
  <c r="T24" i="38" s="1"/>
  <c r="P40" i="37"/>
  <c r="R40" i="37"/>
  <c r="H40" i="37"/>
  <c r="F5" i="32"/>
  <c r="E33" i="37"/>
  <c r="C31" i="4"/>
  <c r="C20" i="36" s="1"/>
  <c r="B8" i="1"/>
  <c r="B7" i="1"/>
  <c r="C38" i="4"/>
  <c r="C28" i="36" s="1"/>
  <c r="E7" i="1"/>
  <c r="D38" i="4"/>
  <c r="E8" i="1"/>
  <c r="D31" i="4"/>
  <c r="BG14" i="10"/>
  <c r="Q14" i="10"/>
  <c r="AE14" i="10"/>
  <c r="AS14" i="10"/>
  <c r="BG12" i="10"/>
  <c r="X12" i="10"/>
  <c r="AZ12" i="10"/>
  <c r="AZ14" i="10"/>
  <c r="BN14" i="10"/>
  <c r="G20" i="10"/>
  <c r="AL12" i="10"/>
  <c r="X14" i="10"/>
  <c r="BN12" i="10"/>
  <c r="Q12" i="10"/>
  <c r="AE12" i="10"/>
  <c r="BT12" i="10"/>
  <c r="G15" i="10"/>
  <c r="H13" i="10"/>
  <c r="I13" i="10" s="1"/>
  <c r="I16" i="10"/>
  <c r="I19" i="10"/>
  <c r="I18" i="10"/>
  <c r="K17" i="10"/>
  <c r="H17" i="10"/>
  <c r="H20" i="10" s="1"/>
  <c r="L14" i="10"/>
  <c r="J14" i="10"/>
  <c r="I11" i="10"/>
  <c r="J12" i="10"/>
  <c r="AU12" i="10"/>
  <c r="L12" i="10"/>
  <c r="K15" i="10"/>
  <c r="BT11" i="10"/>
  <c r="M4" i="34" l="1"/>
  <c r="M4" i="24"/>
  <c r="T41" i="38"/>
  <c r="T195" i="38"/>
  <c r="T259" i="38"/>
  <c r="T26" i="38"/>
  <c r="T122" i="38"/>
  <c r="F24" i="38"/>
  <c r="H33" i="37"/>
  <c r="T33" i="37"/>
  <c r="U24" i="38" s="1"/>
  <c r="R33" i="37"/>
  <c r="P33" i="37"/>
  <c r="J33" i="37"/>
  <c r="F68" i="39"/>
  <c r="F84" i="39" s="1"/>
  <c r="E41" i="38"/>
  <c r="E26" i="38"/>
  <c r="Y4" i="24"/>
  <c r="H7" i="1"/>
  <c r="T7" i="1"/>
  <c r="R7" i="1"/>
  <c r="J7" i="1"/>
  <c r="P7" i="1"/>
  <c r="E20" i="36"/>
  <c r="F31" i="4"/>
  <c r="R8" i="1"/>
  <c r="H8" i="1"/>
  <c r="P8" i="1"/>
  <c r="T8" i="1"/>
  <c r="J8" i="1"/>
  <c r="E28" i="36"/>
  <c r="F38" i="4"/>
  <c r="Q19" i="10"/>
  <c r="BN19" i="10"/>
  <c r="AZ19" i="10"/>
  <c r="AE19" i="10"/>
  <c r="AL19" i="10"/>
  <c r="X19" i="10"/>
  <c r="BG19" i="10"/>
  <c r="AS19" i="10"/>
  <c r="X13" i="10"/>
  <c r="BG13" i="10"/>
  <c r="AE13" i="10"/>
  <c r="AZ13" i="10"/>
  <c r="AS13" i="10"/>
  <c r="AL13" i="10"/>
  <c r="BN13" i="10"/>
  <c r="Q13" i="10"/>
  <c r="AS18" i="10"/>
  <c r="BN18" i="10"/>
  <c r="AZ18" i="10"/>
  <c r="BG18" i="10"/>
  <c r="BI18" i="10" s="1"/>
  <c r="Q18" i="10"/>
  <c r="AL18" i="10"/>
  <c r="X18" i="10"/>
  <c r="AE18" i="10"/>
  <c r="I17" i="10"/>
  <c r="BG16" i="10"/>
  <c r="Q16" i="10"/>
  <c r="AE16" i="10"/>
  <c r="Q5" i="32" s="1"/>
  <c r="O5" i="32" s="1"/>
  <c r="AS16" i="10"/>
  <c r="BN16" i="10"/>
  <c r="AZ16" i="10"/>
  <c r="AL16" i="10"/>
  <c r="BG11" i="10"/>
  <c r="BN11" i="10"/>
  <c r="AL11" i="10"/>
  <c r="AS11" i="10"/>
  <c r="AE11" i="10"/>
  <c r="Q11" i="10"/>
  <c r="AZ11" i="10"/>
  <c r="BB12" i="10"/>
  <c r="H15" i="10"/>
  <c r="BI13" i="10"/>
  <c r="Z13" i="10"/>
  <c r="L13" i="10"/>
  <c r="J13" i="10"/>
  <c r="BT17" i="10"/>
  <c r="BB18" i="10"/>
  <c r="L18" i="10"/>
  <c r="AU18" i="10"/>
  <c r="J18" i="10"/>
  <c r="L16" i="10"/>
  <c r="I20" i="10"/>
  <c r="J16" i="10"/>
  <c r="L17" i="10"/>
  <c r="L19" i="10"/>
  <c r="J19" i="10"/>
  <c r="K20" i="10"/>
  <c r="BP14" i="10"/>
  <c r="BM14" i="10"/>
  <c r="I15" i="10"/>
  <c r="J15" i="10" s="1"/>
  <c r="L11" i="10"/>
  <c r="AN12" i="10"/>
  <c r="AK12" i="10"/>
  <c r="W12" i="10"/>
  <c r="Z12" i="10"/>
  <c r="BI12" i="10"/>
  <c r="BM12" i="10"/>
  <c r="BP12" i="10"/>
  <c r="BS14" i="10"/>
  <c r="S12" i="10"/>
  <c r="BS12" i="10"/>
  <c r="P12" i="10"/>
  <c r="AG12" i="10"/>
  <c r="AD12" i="10"/>
  <c r="J11" i="10"/>
  <c r="M5" i="34" l="1"/>
  <c r="M5" i="24"/>
  <c r="U41" i="38"/>
  <c r="U26" i="38"/>
  <c r="U259" i="38"/>
  <c r="F76" i="39"/>
  <c r="F72" i="39"/>
  <c r="F81" i="39"/>
  <c r="F71" i="39"/>
  <c r="F74" i="39"/>
  <c r="F80" i="39"/>
  <c r="F79" i="39"/>
  <c r="F88" i="39"/>
  <c r="F73" i="39"/>
  <c r="F75" i="39"/>
  <c r="G68" i="39"/>
  <c r="F26" i="38"/>
  <c r="F41" i="38"/>
  <c r="F20" i="36"/>
  <c r="F28" i="36"/>
  <c r="G31" i="4"/>
  <c r="AU13" i="10"/>
  <c r="AD13" i="10"/>
  <c r="AZ15" i="10"/>
  <c r="BB13" i="10"/>
  <c r="X15" i="10"/>
  <c r="S13" i="10"/>
  <c r="BM13" i="10"/>
  <c r="G38" i="4"/>
  <c r="AL15" i="10"/>
  <c r="Y5" i="32"/>
  <c r="Y4" i="32"/>
  <c r="BP13" i="10"/>
  <c r="AS17" i="10"/>
  <c r="AE17" i="10"/>
  <c r="Q17" i="10"/>
  <c r="S17" i="10" s="1"/>
  <c r="BG17" i="10"/>
  <c r="BG20" i="10" s="1"/>
  <c r="BN17" i="10"/>
  <c r="AZ17" i="10"/>
  <c r="AL17" i="10"/>
  <c r="X17" i="10"/>
  <c r="AE15" i="10"/>
  <c r="AS15" i="10"/>
  <c r="J17" i="10"/>
  <c r="BN15" i="10"/>
  <c r="BN20" i="10"/>
  <c r="AE20" i="10"/>
  <c r="AN13" i="10"/>
  <c r="BG15" i="10"/>
  <c r="L20" i="10"/>
  <c r="BS19" i="10"/>
  <c r="J20" i="10"/>
  <c r="L15" i="10"/>
  <c r="P13" i="10"/>
  <c r="W13" i="10"/>
  <c r="BS13" i="10"/>
  <c r="BU12" i="10"/>
  <c r="AK13" i="10"/>
  <c r="AG13" i="10"/>
  <c r="AR16" i="10"/>
  <c r="AU16" i="10"/>
  <c r="AK16" i="10"/>
  <c r="AN16" i="10"/>
  <c r="AN18" i="10"/>
  <c r="AK18" i="10"/>
  <c r="BP17" i="10"/>
  <c r="BM17" i="10"/>
  <c r="S16" i="10"/>
  <c r="BS16" i="10"/>
  <c r="Z16" i="10"/>
  <c r="BP18" i="10"/>
  <c r="BM18" i="10"/>
  <c r="AG16" i="10"/>
  <c r="AD16" i="10"/>
  <c r="BI16" i="10"/>
  <c r="BF16" i="10"/>
  <c r="AG17" i="10"/>
  <c r="BP16" i="10"/>
  <c r="BM16" i="10"/>
  <c r="Z17" i="10"/>
  <c r="W17" i="10"/>
  <c r="BS18" i="10"/>
  <c r="S18" i="10"/>
  <c r="P18" i="10"/>
  <c r="Z18" i="10"/>
  <c r="W18" i="10"/>
  <c r="AY16" i="10"/>
  <c r="BB16" i="10"/>
  <c r="AD18" i="10"/>
  <c r="AG18" i="10"/>
  <c r="BM19" i="10"/>
  <c r="BP19" i="10"/>
  <c r="AN11" i="10"/>
  <c r="AK11" i="10"/>
  <c r="BI11" i="10"/>
  <c r="BF11" i="10"/>
  <c r="BS11" i="10"/>
  <c r="Q15" i="10"/>
  <c r="S11" i="10"/>
  <c r="BB11" i="10"/>
  <c r="AY11" i="10"/>
  <c r="AG11" i="10"/>
  <c r="AD11" i="10"/>
  <c r="Z11" i="10"/>
  <c r="AU11" i="10"/>
  <c r="AR11" i="10"/>
  <c r="BM11" i="10"/>
  <c r="BP11" i="10"/>
  <c r="E152" i="38" l="1"/>
  <c r="E70" i="38"/>
  <c r="E88" i="38"/>
  <c r="E229" i="38"/>
  <c r="E125" i="38"/>
  <c r="E122" i="38" s="1"/>
  <c r="E122" i="47"/>
  <c r="E261" i="38"/>
  <c r="E258" i="38" s="1"/>
  <c r="E197" i="38"/>
  <c r="E106" i="38"/>
  <c r="E165" i="38"/>
  <c r="F78" i="39"/>
  <c r="E61" i="38"/>
  <c r="F70" i="39"/>
  <c r="G74" i="39"/>
  <c r="G79" i="39"/>
  <c r="G80" i="39"/>
  <c r="G72" i="39"/>
  <c r="G84" i="39"/>
  <c r="G81" i="39"/>
  <c r="G71" i="39"/>
  <c r="G73" i="39"/>
  <c r="G76" i="39"/>
  <c r="G75" i="39"/>
  <c r="G88" i="39"/>
  <c r="I6" i="39"/>
  <c r="E195" i="38"/>
  <c r="H31" i="4"/>
  <c r="J31" i="4"/>
  <c r="I31" i="4"/>
  <c r="I38" i="4"/>
  <c r="J38" i="4"/>
  <c r="H38" i="4"/>
  <c r="AU17" i="10"/>
  <c r="X20" i="10"/>
  <c r="W20" i="10" s="1"/>
  <c r="BB17" i="10"/>
  <c r="BS17" i="10"/>
  <c r="AD17" i="10"/>
  <c r="AS20" i="10"/>
  <c r="BI17" i="10"/>
  <c r="P17" i="10"/>
  <c r="AL20" i="10"/>
  <c r="AN20" i="10" s="1"/>
  <c r="Q20" i="10"/>
  <c r="S20" i="10" s="1"/>
  <c r="Y5" i="24"/>
  <c r="AB5" i="32"/>
  <c r="AA5" i="32"/>
  <c r="AN17" i="10"/>
  <c r="AK17" i="10"/>
  <c r="AZ20" i="10"/>
  <c r="AY20" i="10" s="1"/>
  <c r="BU17" i="10"/>
  <c r="BF20" i="10"/>
  <c r="BI20" i="10"/>
  <c r="BP20" i="10"/>
  <c r="BM20" i="10"/>
  <c r="AD20" i="10"/>
  <c r="AG20" i="10"/>
  <c r="AU20" i="10"/>
  <c r="AR20" i="10"/>
  <c r="BB15" i="10"/>
  <c r="AY15" i="10"/>
  <c r="S15" i="10"/>
  <c r="P15" i="10"/>
  <c r="BP15" i="10"/>
  <c r="BM15" i="10"/>
  <c r="AD15" i="10"/>
  <c r="AG15" i="10"/>
  <c r="BI15" i="10"/>
  <c r="BF15" i="10"/>
  <c r="AR15" i="10"/>
  <c r="AU15" i="10"/>
  <c r="AN15" i="10"/>
  <c r="AK15" i="10"/>
  <c r="Z15" i="10"/>
  <c r="W15" i="10"/>
  <c r="Z20" i="10" l="1"/>
  <c r="E215" i="47"/>
  <c r="E216" i="47"/>
  <c r="E259" i="38"/>
  <c r="F152" i="38"/>
  <c r="F197" i="38"/>
  <c r="E161" i="38"/>
  <c r="F125" i="38"/>
  <c r="E181" i="48"/>
  <c r="E122" i="48"/>
  <c r="F88" i="38"/>
  <c r="F70" i="38"/>
  <c r="F261" i="38"/>
  <c r="F258" i="38" s="1"/>
  <c r="F106" i="38"/>
  <c r="E181" i="47"/>
  <c r="F229" i="38"/>
  <c r="E216" i="48"/>
  <c r="E217" i="48"/>
  <c r="E59" i="38"/>
  <c r="F165" i="38"/>
  <c r="G78" i="39"/>
  <c r="E162" i="38"/>
  <c r="I5" i="39"/>
  <c r="E163" i="38"/>
  <c r="G70" i="39"/>
  <c r="F61" i="38"/>
  <c r="L31" i="4"/>
  <c r="L38" i="4"/>
  <c r="AA5" i="24"/>
  <c r="AB5" i="24"/>
  <c r="P20" i="10"/>
  <c r="AK20" i="10"/>
  <c r="BB20" i="10"/>
  <c r="F259" i="38" l="1"/>
  <c r="F162" i="38"/>
  <c r="F215" i="47"/>
  <c r="F216" i="47"/>
  <c r="F162" i="47"/>
  <c r="F163" i="38"/>
  <c r="F216" i="48"/>
  <c r="F217" i="48"/>
  <c r="F59" i="38"/>
  <c r="I4" i="39"/>
  <c r="J6" i="39" s="1"/>
  <c r="BO85" i="33"/>
  <c r="AM85" i="33"/>
  <c r="BO84" i="33"/>
  <c r="BH84" i="33"/>
  <c r="BA84" i="33"/>
  <c r="AT84" i="33"/>
  <c r="AM84" i="33"/>
  <c r="AF84" i="33"/>
  <c r="Y84" i="33"/>
  <c r="R84" i="33"/>
  <c r="BO83" i="33"/>
  <c r="BH83" i="33"/>
  <c r="BA83" i="33"/>
  <c r="AT83" i="33"/>
  <c r="AM83" i="33"/>
  <c r="BO82" i="33"/>
  <c r="BH82" i="33"/>
  <c r="BA82" i="33"/>
  <c r="AT82" i="33"/>
  <c r="AM82" i="33"/>
  <c r="BO81" i="33"/>
  <c r="BH81" i="33"/>
  <c r="BH85" i="33" s="1"/>
  <c r="BA81" i="33"/>
  <c r="BA85" i="33" s="1"/>
  <c r="AT81" i="33"/>
  <c r="AM81" i="33"/>
  <c r="AF81" i="33"/>
  <c r="Y81" i="33"/>
  <c r="R81" i="33"/>
  <c r="BO80" i="33"/>
  <c r="BH80" i="33"/>
  <c r="BA80" i="33"/>
  <c r="AT80" i="33"/>
  <c r="AM80" i="33"/>
  <c r="AF80" i="33"/>
  <c r="Y80" i="33"/>
  <c r="BT79" i="33"/>
  <c r="K79" i="33"/>
  <c r="G79" i="33"/>
  <c r="H78" i="33"/>
  <c r="I78" i="33" s="1"/>
  <c r="G78" i="33"/>
  <c r="H77" i="33"/>
  <c r="I77" i="33" s="1"/>
  <c r="G77" i="33"/>
  <c r="BT76" i="33"/>
  <c r="BD76" i="33"/>
  <c r="AW76" i="33" s="1"/>
  <c r="AP76" i="33" s="1"/>
  <c r="AI76" i="33" s="1"/>
  <c r="AB76" i="33" s="1"/>
  <c r="K76" i="33"/>
  <c r="G76" i="33"/>
  <c r="H76" i="33" s="1"/>
  <c r="BO75" i="33"/>
  <c r="BH75" i="33"/>
  <c r="BA75" i="33"/>
  <c r="AT75" i="33"/>
  <c r="AM75" i="33"/>
  <c r="AF75" i="33"/>
  <c r="Y75" i="33"/>
  <c r="R75" i="33"/>
  <c r="K74" i="33"/>
  <c r="G74" i="33"/>
  <c r="K73" i="33"/>
  <c r="BT73" i="33" s="1"/>
  <c r="G73" i="33"/>
  <c r="K72" i="33"/>
  <c r="G72" i="33"/>
  <c r="H72" i="33" s="1"/>
  <c r="BT71" i="33"/>
  <c r="BD71" i="33"/>
  <c r="AW71" i="33" s="1"/>
  <c r="AP71" i="33" s="1"/>
  <c r="AI71" i="33" s="1"/>
  <c r="AB71" i="33" s="1"/>
  <c r="K71" i="33"/>
  <c r="G71" i="33"/>
  <c r="BO70" i="33"/>
  <c r="BH70" i="33"/>
  <c r="BA70" i="33"/>
  <c r="AT70" i="33"/>
  <c r="AM70" i="33"/>
  <c r="AF70" i="33"/>
  <c r="Y70" i="33"/>
  <c r="G70" i="33"/>
  <c r="BT69" i="33"/>
  <c r="BG69" i="33"/>
  <c r="AZ69" i="33"/>
  <c r="AS69" i="33"/>
  <c r="K69" i="33"/>
  <c r="J69" i="33" s="1"/>
  <c r="I69" i="33"/>
  <c r="H69" i="33"/>
  <c r="G69" i="33"/>
  <c r="G68" i="33"/>
  <c r="AE67" i="33"/>
  <c r="AD67" i="33" s="1"/>
  <c r="Q67" i="33"/>
  <c r="H67" i="33"/>
  <c r="I67" i="33" s="1"/>
  <c r="G67" i="33"/>
  <c r="BT66" i="33"/>
  <c r="BD66" i="33"/>
  <c r="AW66" i="33" s="1"/>
  <c r="AP66" i="33"/>
  <c r="AI66" i="33" s="1"/>
  <c r="AB66" i="33"/>
  <c r="K66" i="33"/>
  <c r="I66" i="33"/>
  <c r="H66" i="33"/>
  <c r="G66" i="33"/>
  <c r="BO65" i="33"/>
  <c r="BH65" i="33"/>
  <c r="BA65" i="33"/>
  <c r="AT65" i="33"/>
  <c r="AM65" i="33"/>
  <c r="AF65" i="33"/>
  <c r="Y65" i="33"/>
  <c r="R65" i="33"/>
  <c r="BG64" i="33"/>
  <c r="AZ64" i="33"/>
  <c r="AL64" i="33"/>
  <c r="X64" i="33"/>
  <c r="Q64" i="33"/>
  <c r="K64" i="33"/>
  <c r="H64" i="33"/>
  <c r="G64" i="33"/>
  <c r="I64" i="33" s="1"/>
  <c r="K63" i="33"/>
  <c r="BT63" i="33" s="1"/>
  <c r="I63" i="33"/>
  <c r="H63" i="33"/>
  <c r="G63" i="33"/>
  <c r="K62" i="33"/>
  <c r="G62" i="33"/>
  <c r="BD61" i="33"/>
  <c r="AW61" i="33" s="1"/>
  <c r="AP61" i="33" s="1"/>
  <c r="AI61" i="33" s="1"/>
  <c r="AB61" i="33" s="1"/>
  <c r="K61" i="33"/>
  <c r="G61" i="33"/>
  <c r="H61" i="33" s="1"/>
  <c r="BO60" i="33"/>
  <c r="BH60" i="33"/>
  <c r="BA60" i="33"/>
  <c r="AT60" i="33"/>
  <c r="AM60" i="33"/>
  <c r="AF60" i="33"/>
  <c r="Y60" i="33"/>
  <c r="R60" i="33"/>
  <c r="K59" i="33"/>
  <c r="BT59" i="33" s="1"/>
  <c r="J59" i="33"/>
  <c r="H59" i="33"/>
  <c r="I59" i="33" s="1"/>
  <c r="G59" i="33"/>
  <c r="BT58" i="33"/>
  <c r="K58" i="33"/>
  <c r="G58" i="33"/>
  <c r="BT57" i="33"/>
  <c r="Y57" i="33"/>
  <c r="K57" i="33" s="1"/>
  <c r="G57" i="33"/>
  <c r="BT56" i="33"/>
  <c r="BD56" i="33"/>
  <c r="AW56" i="33"/>
  <c r="AP56" i="33"/>
  <c r="AI56" i="33" s="1"/>
  <c r="AB56" i="33" s="1"/>
  <c r="K56" i="33"/>
  <c r="G56" i="33"/>
  <c r="BO55" i="33"/>
  <c r="BH55" i="33"/>
  <c r="BA55" i="33"/>
  <c r="AT55" i="33"/>
  <c r="AM55" i="33"/>
  <c r="AF55" i="33"/>
  <c r="Y55" i="33"/>
  <c r="R55" i="33"/>
  <c r="K55" i="33"/>
  <c r="K54" i="33"/>
  <c r="G54" i="33"/>
  <c r="BB53" i="33"/>
  <c r="AZ53" i="33"/>
  <c r="K53" i="33"/>
  <c r="BT53" i="33" s="1"/>
  <c r="I53" i="33"/>
  <c r="H53" i="33"/>
  <c r="G53" i="33"/>
  <c r="K52" i="33"/>
  <c r="BT52" i="33" s="1"/>
  <c r="G52" i="33"/>
  <c r="BD51" i="33"/>
  <c r="AW51" i="33" s="1"/>
  <c r="AP51" i="33" s="1"/>
  <c r="AI51" i="33" s="1"/>
  <c r="AB51" i="33" s="1"/>
  <c r="K51" i="33"/>
  <c r="BT51" i="33" s="1"/>
  <c r="G51" i="33"/>
  <c r="BO50" i="33"/>
  <c r="BH50" i="33"/>
  <c r="BA50" i="33"/>
  <c r="AT50" i="33"/>
  <c r="AM50" i="33"/>
  <c r="AF50" i="33"/>
  <c r="Y50" i="33"/>
  <c r="R50" i="33"/>
  <c r="G50" i="33"/>
  <c r="K49" i="33"/>
  <c r="G49" i="33"/>
  <c r="H49" i="33" s="1"/>
  <c r="K48" i="33"/>
  <c r="H48" i="33"/>
  <c r="I48" i="33" s="1"/>
  <c r="G48" i="33"/>
  <c r="BT47" i="33"/>
  <c r="K47" i="33"/>
  <c r="I47" i="33"/>
  <c r="BN47" i="33" s="1"/>
  <c r="G47" i="33"/>
  <c r="H47" i="33" s="1"/>
  <c r="BT46" i="33"/>
  <c r="BD46" i="33"/>
  <c r="AW46" i="33"/>
  <c r="AP46" i="33" s="1"/>
  <c r="AI46" i="33"/>
  <c r="AB46" i="33" s="1"/>
  <c r="K46" i="33"/>
  <c r="G46" i="33"/>
  <c r="BO45" i="33"/>
  <c r="BH45" i="33"/>
  <c r="BA45" i="33"/>
  <c r="AT45" i="33"/>
  <c r="AM45" i="33"/>
  <c r="AF45" i="33"/>
  <c r="Y45" i="33"/>
  <c r="G45" i="33"/>
  <c r="K44" i="33"/>
  <c r="BT44" i="33" s="1"/>
  <c r="H44" i="33"/>
  <c r="G44" i="33"/>
  <c r="I44" i="33" s="1"/>
  <c r="I43" i="33"/>
  <c r="H43" i="33"/>
  <c r="G43" i="33"/>
  <c r="BG42" i="33"/>
  <c r="BB42" i="33"/>
  <c r="AZ42" i="33"/>
  <c r="AL42" i="33"/>
  <c r="AN42" i="33" s="1"/>
  <c r="AK42" i="33"/>
  <c r="I42" i="33"/>
  <c r="H42" i="33"/>
  <c r="G42" i="33"/>
  <c r="BN41" i="33"/>
  <c r="BG41" i="33"/>
  <c r="BD41" i="33"/>
  <c r="AW41" i="33"/>
  <c r="AP41" i="33" s="1"/>
  <c r="AS41" i="33"/>
  <c r="AN41" i="33"/>
  <c r="AK41" i="33"/>
  <c r="AI41" i="33"/>
  <c r="AE41" i="33"/>
  <c r="AG41" i="33" s="1"/>
  <c r="AD41" i="33"/>
  <c r="AB41" i="33"/>
  <c r="Z41" i="33"/>
  <c r="X41" i="33"/>
  <c r="S41" i="33"/>
  <c r="K41" i="33"/>
  <c r="BT41" i="33" s="1"/>
  <c r="I41" i="33"/>
  <c r="AL41" i="33" s="1"/>
  <c r="G41" i="33"/>
  <c r="H41" i="33" s="1"/>
  <c r="BO40" i="33"/>
  <c r="BH40" i="33"/>
  <c r="BA40" i="33"/>
  <c r="AT40" i="33"/>
  <c r="AM40" i="33"/>
  <c r="AF40" i="33"/>
  <c r="BT39" i="33"/>
  <c r="K39" i="33"/>
  <c r="G39" i="33"/>
  <c r="G38" i="33"/>
  <c r="G37" i="33"/>
  <c r="BT36" i="33"/>
  <c r="BN36" i="33"/>
  <c r="BM36" i="33" s="1"/>
  <c r="BG36" i="33"/>
  <c r="BF36" i="33" s="1"/>
  <c r="BD36" i="33"/>
  <c r="AW36" i="33" s="1"/>
  <c r="AP36" i="33" s="1"/>
  <c r="AZ36" i="33"/>
  <c r="BB36" i="33" s="1"/>
  <c r="AI36" i="33"/>
  <c r="AG36" i="33"/>
  <c r="AE36" i="33"/>
  <c r="AD36" i="33" s="1"/>
  <c r="AB36" i="33"/>
  <c r="X36" i="33"/>
  <c r="Z36" i="33" s="1"/>
  <c r="S36" i="33"/>
  <c r="Q36" i="33"/>
  <c r="K36" i="33"/>
  <c r="I36" i="33"/>
  <c r="L36" i="33" s="1"/>
  <c r="H36" i="33"/>
  <c r="G36" i="33"/>
  <c r="B36" i="33"/>
  <c r="B41" i="33" s="1"/>
  <c r="B46" i="33" s="1"/>
  <c r="B51" i="33" s="1"/>
  <c r="B56" i="33" s="1"/>
  <c r="B61" i="33" s="1"/>
  <c r="B66" i="33" s="1"/>
  <c r="B71" i="33" s="1"/>
  <c r="B76" i="33" s="1"/>
  <c r="BO35" i="33"/>
  <c r="BH35" i="33"/>
  <c r="BA35" i="33"/>
  <c r="AT35" i="33"/>
  <c r="AM35" i="33"/>
  <c r="AF35" i="33"/>
  <c r="Y35" i="33"/>
  <c r="BT34" i="33"/>
  <c r="K34" i="33"/>
  <c r="N32" i="33"/>
  <c r="N33" i="33" s="1"/>
  <c r="BD31" i="33"/>
  <c r="AW31" i="33"/>
  <c r="AP31" i="33" s="1"/>
  <c r="AI31" i="33" s="1"/>
  <c r="AB31" i="33"/>
  <c r="K31" i="33"/>
  <c r="D31" i="33"/>
  <c r="G34" i="33" s="1"/>
  <c r="H34" i="33" s="1"/>
  <c r="I34" i="33" s="1"/>
  <c r="BO30" i="33"/>
  <c r="BH30" i="33"/>
  <c r="BA30" i="33"/>
  <c r="AT30" i="33"/>
  <c r="AM30" i="33"/>
  <c r="AF30" i="33"/>
  <c r="Y30" i="33"/>
  <c r="K29" i="33"/>
  <c r="N27" i="33"/>
  <c r="N28" i="33" s="1"/>
  <c r="BD26" i="33"/>
  <c r="AW26" i="33"/>
  <c r="AP26" i="33" s="1"/>
  <c r="AI26" i="33" s="1"/>
  <c r="AB26" i="33" s="1"/>
  <c r="K26" i="33"/>
  <c r="BT26" i="33" s="1"/>
  <c r="D26" i="33"/>
  <c r="K5" i="33" s="1"/>
  <c r="BO25" i="33"/>
  <c r="BH25" i="33"/>
  <c r="BA25" i="33"/>
  <c r="AT25" i="33"/>
  <c r="AM25" i="33"/>
  <c r="AF25" i="33"/>
  <c r="Y25" i="33"/>
  <c r="R25" i="33"/>
  <c r="BT24" i="33"/>
  <c r="K24" i="33"/>
  <c r="BT23" i="33"/>
  <c r="O23" i="33"/>
  <c r="N23" i="33"/>
  <c r="K23" i="33"/>
  <c r="N22" i="33"/>
  <c r="K22" i="33"/>
  <c r="BT22" i="33" s="1"/>
  <c r="BT21" i="33"/>
  <c r="BD21" i="33"/>
  <c r="AW21" i="33"/>
  <c r="AP21" i="33"/>
  <c r="AI21" i="33"/>
  <c r="AB21" i="33" s="1"/>
  <c r="K21" i="33"/>
  <c r="D21" i="33"/>
  <c r="G21" i="33" s="1"/>
  <c r="B21" i="33"/>
  <c r="B26" i="33" s="1"/>
  <c r="B31" i="33" s="1"/>
  <c r="BO20" i="33"/>
  <c r="BH20" i="33"/>
  <c r="BA20" i="33"/>
  <c r="AT20" i="33"/>
  <c r="AM20" i="33"/>
  <c r="Y20" i="33"/>
  <c r="R20" i="33"/>
  <c r="K19" i="33"/>
  <c r="G19" i="33"/>
  <c r="BN18" i="33"/>
  <c r="BP18" i="33" s="1"/>
  <c r="BM18" i="33"/>
  <c r="BG18" i="33"/>
  <c r="BI18" i="33" s="1"/>
  <c r="AE18" i="33"/>
  <c r="AD18" i="33"/>
  <c r="X18" i="33"/>
  <c r="Z18" i="33" s="1"/>
  <c r="W18" i="33"/>
  <c r="Q18" i="33"/>
  <c r="S18" i="33" s="1"/>
  <c r="O18" i="33"/>
  <c r="N18" i="33" s="1"/>
  <c r="I18" i="33"/>
  <c r="AL18" i="33" s="1"/>
  <c r="AK18" i="33" s="1"/>
  <c r="H18" i="33"/>
  <c r="G18" i="33"/>
  <c r="N17" i="33"/>
  <c r="G17" i="33"/>
  <c r="BD16" i="33"/>
  <c r="AW16" i="33" s="1"/>
  <c r="AP16" i="33" s="1"/>
  <c r="AI16" i="33"/>
  <c r="AB16" i="33"/>
  <c r="S16" i="33"/>
  <c r="K16" i="33"/>
  <c r="BT16" i="33" s="1"/>
  <c r="G16" i="33"/>
  <c r="B16" i="33"/>
  <c r="BO15" i="33"/>
  <c r="BH15" i="33"/>
  <c r="BA15" i="33"/>
  <c r="AT15" i="33"/>
  <c r="AM15" i="33"/>
  <c r="Y15" i="33"/>
  <c r="R15" i="33"/>
  <c r="BT14" i="33"/>
  <c r="K14" i="33"/>
  <c r="G14" i="33"/>
  <c r="BT13" i="33"/>
  <c r="O13" i="33"/>
  <c r="N13" i="33"/>
  <c r="K13" i="33"/>
  <c r="G13" i="33"/>
  <c r="H13" i="33" s="1"/>
  <c r="AF12" i="33"/>
  <c r="N12" i="33"/>
  <c r="G12" i="33"/>
  <c r="BT11" i="33"/>
  <c r="BD11" i="33"/>
  <c r="AW11" i="33"/>
  <c r="AP11" i="33"/>
  <c r="AI11" i="33" s="1"/>
  <c r="AB11" i="33"/>
  <c r="K11" i="33"/>
  <c r="G11" i="33"/>
  <c r="AE6" i="33"/>
  <c r="J5" i="39" l="1"/>
  <c r="G33" i="33"/>
  <c r="H33" i="33" s="1"/>
  <c r="I33" i="33" s="1"/>
  <c r="G32" i="33"/>
  <c r="H32" i="33" s="1"/>
  <c r="I32" i="33" s="1"/>
  <c r="AZ32" i="33" s="1"/>
  <c r="BB32" i="33" s="1"/>
  <c r="AS33" i="33"/>
  <c r="AU33" i="33" s="1"/>
  <c r="AE33" i="33"/>
  <c r="X33" i="33"/>
  <c r="BN33" i="33"/>
  <c r="Q33" i="33"/>
  <c r="BG33" i="33"/>
  <c r="BI33" i="33" s="1"/>
  <c r="AZ33" i="33"/>
  <c r="BB33" i="33" s="1"/>
  <c r="AL33" i="33"/>
  <c r="AS32" i="33"/>
  <c r="AU32" i="33" s="1"/>
  <c r="AE32" i="33"/>
  <c r="X32" i="33"/>
  <c r="BN32" i="33"/>
  <c r="Q32" i="33"/>
  <c r="BG32" i="33"/>
  <c r="H21" i="33"/>
  <c r="I21" i="33" s="1"/>
  <c r="BM47" i="33"/>
  <c r="BP47" i="33"/>
  <c r="L34" i="33"/>
  <c r="BN34" i="33"/>
  <c r="BG34" i="33"/>
  <c r="AZ34" i="33"/>
  <c r="AS34" i="33"/>
  <c r="AL34" i="33"/>
  <c r="X34" i="33"/>
  <c r="J34" i="33"/>
  <c r="AE34" i="33"/>
  <c r="Q34" i="33"/>
  <c r="J49" i="33"/>
  <c r="BT49" i="33"/>
  <c r="H52" i="33"/>
  <c r="I52" i="33" s="1"/>
  <c r="AU41" i="33"/>
  <c r="AR41" i="33"/>
  <c r="AG67" i="33"/>
  <c r="H19" i="33"/>
  <c r="I19" i="33" s="1"/>
  <c r="H79" i="33"/>
  <c r="H80" i="33" s="1"/>
  <c r="I14" i="33"/>
  <c r="AL48" i="33"/>
  <c r="BN48" i="33"/>
  <c r="BG48" i="33"/>
  <c r="BI48" i="33" s="1"/>
  <c r="L48" i="33"/>
  <c r="AE48" i="33"/>
  <c r="X48" i="33"/>
  <c r="Q48" i="33"/>
  <c r="AZ48" i="33"/>
  <c r="BB48" i="33" s="1"/>
  <c r="AS48" i="33"/>
  <c r="AU48" i="33" s="1"/>
  <c r="H14" i="33"/>
  <c r="H46" i="33"/>
  <c r="H50" i="33" s="1"/>
  <c r="I46" i="33"/>
  <c r="J48" i="33"/>
  <c r="Q63" i="33"/>
  <c r="L63" i="33"/>
  <c r="AL63" i="33"/>
  <c r="AE63" i="33"/>
  <c r="X63" i="33"/>
  <c r="BN63" i="33"/>
  <c r="BG63" i="33"/>
  <c r="BI63" i="33" s="1"/>
  <c r="AZ63" i="33"/>
  <c r="BB63" i="33" s="1"/>
  <c r="AS63" i="33"/>
  <c r="AU63" i="33" s="1"/>
  <c r="Q47" i="33"/>
  <c r="BG47" i="33"/>
  <c r="AZ47" i="33"/>
  <c r="BB47" i="33" s="1"/>
  <c r="J47" i="33"/>
  <c r="L47" i="33"/>
  <c r="AS47" i="33"/>
  <c r="AU47" i="33" s="1"/>
  <c r="AL47" i="33"/>
  <c r="AE47" i="33"/>
  <c r="X47" i="33"/>
  <c r="J63" i="33"/>
  <c r="X77" i="33"/>
  <c r="BG77" i="33"/>
  <c r="AZ77" i="33"/>
  <c r="Q77" i="33"/>
  <c r="AS77" i="33"/>
  <c r="AL77" i="33"/>
  <c r="AE77" i="33"/>
  <c r="BI36" i="33"/>
  <c r="AE78" i="33"/>
  <c r="AZ78" i="33"/>
  <c r="Q78" i="33"/>
  <c r="AS78" i="33"/>
  <c r="BG78" i="33"/>
  <c r="AL78" i="33"/>
  <c r="BN78" i="33"/>
  <c r="X78" i="33"/>
  <c r="P18" i="33"/>
  <c r="I13" i="33"/>
  <c r="BT29" i="33"/>
  <c r="H12" i="33"/>
  <c r="I12" i="33" s="1"/>
  <c r="R28" i="33"/>
  <c r="R27" i="33"/>
  <c r="G26" i="33"/>
  <c r="G28" i="33"/>
  <c r="G29" i="33"/>
  <c r="G27" i="33"/>
  <c r="J13" i="33"/>
  <c r="K84" i="33"/>
  <c r="K12" i="33"/>
  <c r="BT48" i="33"/>
  <c r="D81" i="33"/>
  <c r="G22" i="33"/>
  <c r="AY36" i="33"/>
  <c r="P67" i="33"/>
  <c r="S67" i="33"/>
  <c r="R67" i="33"/>
  <c r="H11" i="33"/>
  <c r="G15" i="33"/>
  <c r="AE43" i="33"/>
  <c r="X43" i="33"/>
  <c r="AS43" i="33"/>
  <c r="AU43" i="33" s="1"/>
  <c r="AL43" i="33"/>
  <c r="I45" i="33"/>
  <c r="AZ43" i="33"/>
  <c r="BB43" i="33" s="1"/>
  <c r="Q43" i="33"/>
  <c r="BP41" i="33"/>
  <c r="BM41" i="33"/>
  <c r="BN43" i="33"/>
  <c r="BN44" i="33"/>
  <c r="AL44" i="33"/>
  <c r="AE44" i="33"/>
  <c r="X44" i="33"/>
  <c r="L44" i="33"/>
  <c r="J44" i="33"/>
  <c r="BG44" i="33"/>
  <c r="AZ44" i="33"/>
  <c r="AS44" i="33"/>
  <c r="I61" i="33"/>
  <c r="AL66" i="33"/>
  <c r="AZ66" i="33"/>
  <c r="X66" i="33"/>
  <c r="Q66" i="33"/>
  <c r="L66" i="33"/>
  <c r="AS66" i="33"/>
  <c r="AE66" i="33"/>
  <c r="BN66" i="33"/>
  <c r="BG66" i="33"/>
  <c r="AF18" i="33"/>
  <c r="G24" i="33"/>
  <c r="AF15" i="33"/>
  <c r="G20" i="33"/>
  <c r="G23" i="33"/>
  <c r="G83" i="33" s="1"/>
  <c r="BT74" i="33"/>
  <c r="K75" i="33"/>
  <c r="BN77" i="33"/>
  <c r="BT19" i="33"/>
  <c r="BT31" i="33"/>
  <c r="H40" i="33"/>
  <c r="H39" i="33"/>
  <c r="I39" i="33" s="1"/>
  <c r="G40" i="33"/>
  <c r="BG43" i="33"/>
  <c r="BI43" i="33" s="1"/>
  <c r="G60" i="33"/>
  <c r="H56" i="33"/>
  <c r="J61" i="33"/>
  <c r="K65" i="33"/>
  <c r="K25" i="33"/>
  <c r="I56" i="33"/>
  <c r="I76" i="33"/>
  <c r="G80" i="33"/>
  <c r="AN18" i="33"/>
  <c r="BN42" i="33"/>
  <c r="BN45" i="33" s="1"/>
  <c r="AS42" i="33"/>
  <c r="AU42" i="33" s="1"/>
  <c r="X42" i="33"/>
  <c r="X45" i="33" s="1"/>
  <c r="Q42" i="33"/>
  <c r="AS18" i="33"/>
  <c r="AU18" i="33" s="1"/>
  <c r="H16" i="33"/>
  <c r="H17" i="33"/>
  <c r="I17" i="33" s="1"/>
  <c r="K81" i="33"/>
  <c r="I16" i="33"/>
  <c r="AZ18" i="33"/>
  <c r="BB18" i="33" s="1"/>
  <c r="AE42" i="33"/>
  <c r="BG53" i="33"/>
  <c r="BI53" i="33" s="1"/>
  <c r="AL53" i="33"/>
  <c r="AE53" i="33"/>
  <c r="BN53" i="33"/>
  <c r="AS53" i="33"/>
  <c r="AU53" i="33" s="1"/>
  <c r="X53" i="33"/>
  <c r="Q53" i="33"/>
  <c r="L53" i="33"/>
  <c r="J53" i="33"/>
  <c r="H58" i="33"/>
  <c r="I58" i="33" s="1"/>
  <c r="BT61" i="33"/>
  <c r="H73" i="33"/>
  <c r="I73" i="33" s="1"/>
  <c r="BT84" i="33"/>
  <c r="H62" i="33"/>
  <c r="H65" i="33" s="1"/>
  <c r="J64" i="33"/>
  <c r="BT64" i="33"/>
  <c r="BT62" i="33"/>
  <c r="L64" i="33"/>
  <c r="X67" i="33"/>
  <c r="AZ67" i="33"/>
  <c r="BB67" i="33" s="1"/>
  <c r="AS67" i="33"/>
  <c r="AU67" i="33" s="1"/>
  <c r="AL67" i="33"/>
  <c r="BN67" i="33"/>
  <c r="BG67" i="33"/>
  <c r="BP36" i="33"/>
  <c r="BI41" i="33"/>
  <c r="BF41" i="33"/>
  <c r="BI42" i="33"/>
  <c r="I49" i="33"/>
  <c r="AZ59" i="33"/>
  <c r="AS59" i="33"/>
  <c r="AL59" i="33"/>
  <c r="AE59" i="33"/>
  <c r="X59" i="33"/>
  <c r="Q59" i="33"/>
  <c r="L59" i="33"/>
  <c r="BN59" i="33"/>
  <c r="BG59" i="33"/>
  <c r="R32" i="33"/>
  <c r="R33" i="33"/>
  <c r="AL36" i="33"/>
  <c r="H45" i="33"/>
  <c r="G75" i="33"/>
  <c r="BS36" i="33"/>
  <c r="K50" i="33"/>
  <c r="I57" i="33"/>
  <c r="J57" i="33" s="1"/>
  <c r="H57" i="33"/>
  <c r="H71" i="33"/>
  <c r="H75" i="33" s="1"/>
  <c r="J41" i="33"/>
  <c r="I71" i="33"/>
  <c r="J36" i="33"/>
  <c r="H38" i="33"/>
  <c r="I38" i="33" s="1"/>
  <c r="AZ41" i="33"/>
  <c r="BS41" i="33" s="1"/>
  <c r="G31" i="33"/>
  <c r="AS36" i="33"/>
  <c r="H37" i="33"/>
  <c r="I37" i="33" s="1"/>
  <c r="L41" i="33"/>
  <c r="I72" i="33"/>
  <c r="K60" i="33"/>
  <c r="AS64" i="33"/>
  <c r="AE64" i="33"/>
  <c r="BS64" i="33" s="1"/>
  <c r="BN64" i="33"/>
  <c r="BN69" i="33"/>
  <c r="AL69" i="33"/>
  <c r="AE69" i="33"/>
  <c r="X69" i="33"/>
  <c r="Q69" i="33"/>
  <c r="L69" i="33"/>
  <c r="BT72" i="33"/>
  <c r="AT85" i="33"/>
  <c r="H68" i="33"/>
  <c r="H70" i="33" s="1"/>
  <c r="J66" i="33"/>
  <c r="J76" i="33"/>
  <c r="H54" i="33"/>
  <c r="I54" i="33" s="1"/>
  <c r="BT54" i="33"/>
  <c r="G55" i="33"/>
  <c r="H51" i="33"/>
  <c r="H55" i="33" s="1"/>
  <c r="G65" i="33"/>
  <c r="H74" i="33"/>
  <c r="I74" i="33" s="1"/>
  <c r="G84" i="33" l="1"/>
  <c r="G25" i="33"/>
  <c r="AL32" i="33"/>
  <c r="AK32" i="33" s="1"/>
  <c r="G81" i="33"/>
  <c r="AZ54" i="33"/>
  <c r="AL54" i="33"/>
  <c r="BN54" i="33"/>
  <c r="BG54" i="33"/>
  <c r="AS54" i="33"/>
  <c r="AE54" i="33"/>
  <c r="X54" i="33"/>
  <c r="Q54" i="33"/>
  <c r="L54" i="33"/>
  <c r="J54" i="33"/>
  <c r="AE58" i="33"/>
  <c r="Q58" i="33"/>
  <c r="BG58" i="33"/>
  <c r="BI58" i="33" s="1"/>
  <c r="L58" i="33"/>
  <c r="AZ58" i="33"/>
  <c r="BB58" i="33" s="1"/>
  <c r="J58" i="33"/>
  <c r="AS58" i="33"/>
  <c r="AU58" i="33" s="1"/>
  <c r="AL58" i="33"/>
  <c r="X58" i="33"/>
  <c r="BN58" i="33"/>
  <c r="AZ39" i="33"/>
  <c r="AL39" i="33"/>
  <c r="BN39" i="33"/>
  <c r="X39" i="33"/>
  <c r="Q39" i="33"/>
  <c r="L39" i="33"/>
  <c r="BG39" i="33"/>
  <c r="AS39" i="33"/>
  <c r="AE39" i="33"/>
  <c r="J39" i="33"/>
  <c r="AS19" i="33"/>
  <c r="AE19" i="33"/>
  <c r="AL19" i="33"/>
  <c r="X19" i="33"/>
  <c r="L19" i="33"/>
  <c r="BN19" i="33"/>
  <c r="AZ19" i="33"/>
  <c r="BG19" i="33"/>
  <c r="J19" i="33"/>
  <c r="BG37" i="33"/>
  <c r="AL37" i="33"/>
  <c r="AE37" i="33"/>
  <c r="BN37" i="33"/>
  <c r="AS37" i="33"/>
  <c r="AU37" i="33" s="1"/>
  <c r="X37" i="33"/>
  <c r="Q37" i="33"/>
  <c r="AZ37" i="33"/>
  <c r="I40" i="33"/>
  <c r="Z45" i="33"/>
  <c r="W45" i="33"/>
  <c r="BP45" i="33"/>
  <c r="BM45" i="33"/>
  <c r="BG52" i="33"/>
  <c r="AZ52" i="33"/>
  <c r="BB52" i="33" s="1"/>
  <c r="AE52" i="33"/>
  <c r="X52" i="33"/>
  <c r="BN52" i="33"/>
  <c r="AL52" i="33"/>
  <c r="Q52" i="33"/>
  <c r="L52" i="33"/>
  <c r="J52" i="33"/>
  <c r="AS52" i="33"/>
  <c r="AU52" i="33" s="1"/>
  <c r="BN38" i="33"/>
  <c r="AS38" i="33"/>
  <c r="AU38" i="33" s="1"/>
  <c r="AL38" i="33"/>
  <c r="AE38" i="33"/>
  <c r="AZ38" i="33"/>
  <c r="BB38" i="33" s="1"/>
  <c r="X38" i="33"/>
  <c r="Q38" i="33"/>
  <c r="BG38" i="33"/>
  <c r="BI38" i="33" s="1"/>
  <c r="H83" i="33"/>
  <c r="I83" i="33" s="1"/>
  <c r="H81" i="33"/>
  <c r="H84" i="33"/>
  <c r="I84" i="33" s="1"/>
  <c r="J84" i="33" s="1"/>
  <c r="AL74" i="33"/>
  <c r="X74" i="33"/>
  <c r="BN74" i="33"/>
  <c r="BG74" i="33"/>
  <c r="AZ74" i="33"/>
  <c r="AS74" i="33"/>
  <c r="AE74" i="33"/>
  <c r="Q74" i="33"/>
  <c r="L74" i="33"/>
  <c r="J74" i="33"/>
  <c r="AE12" i="33"/>
  <c r="Q12" i="33"/>
  <c r="AZ12" i="33"/>
  <c r="L12" i="33"/>
  <c r="AS12" i="33"/>
  <c r="AL12" i="33"/>
  <c r="BG12" i="33"/>
  <c r="X12" i="33"/>
  <c r="BN12" i="33"/>
  <c r="BG73" i="33"/>
  <c r="BI73" i="33" s="1"/>
  <c r="AZ73" i="33"/>
  <c r="BB73" i="33" s="1"/>
  <c r="AE73" i="33"/>
  <c r="X73" i="33"/>
  <c r="BN73" i="33"/>
  <c r="AL73" i="33"/>
  <c r="Q73" i="33"/>
  <c r="L73" i="33"/>
  <c r="J73" i="33"/>
  <c r="AS73" i="33"/>
  <c r="AU73" i="33" s="1"/>
  <c r="X17" i="33"/>
  <c r="BN17" i="33"/>
  <c r="AS17" i="33"/>
  <c r="AU17" i="33" s="1"/>
  <c r="AL17" i="33"/>
  <c r="Q17" i="33"/>
  <c r="BG17" i="33"/>
  <c r="AZ17" i="33"/>
  <c r="BB17" i="33" s="1"/>
  <c r="AE17" i="33"/>
  <c r="R78" i="33"/>
  <c r="P78" i="33"/>
  <c r="BS78" i="33"/>
  <c r="K28" i="33"/>
  <c r="BS33" i="33"/>
  <c r="S33" i="33"/>
  <c r="P33" i="33"/>
  <c r="Q71" i="33"/>
  <c r="AS71" i="33"/>
  <c r="BN71" i="33"/>
  <c r="BG71" i="33"/>
  <c r="AE71" i="33"/>
  <c r="I75" i="33"/>
  <c r="J75" i="33" s="1"/>
  <c r="L71" i="33"/>
  <c r="J71" i="33"/>
  <c r="AZ71" i="33"/>
  <c r="AL71" i="33"/>
  <c r="X71" i="33"/>
  <c r="AG63" i="33"/>
  <c r="AD63" i="33"/>
  <c r="BI67" i="33"/>
  <c r="AG47" i="33"/>
  <c r="AD47" i="33"/>
  <c r="AN47" i="33"/>
  <c r="AK47" i="33"/>
  <c r="I68" i="33"/>
  <c r="H20" i="33"/>
  <c r="S53" i="33"/>
  <c r="P53" i="33"/>
  <c r="BS53" i="33"/>
  <c r="BB78" i="33"/>
  <c r="AY78" i="33"/>
  <c r="I79" i="33"/>
  <c r="BP32" i="33"/>
  <c r="BM32" i="33"/>
  <c r="BB77" i="33"/>
  <c r="AY77" i="33"/>
  <c r="Z63" i="33"/>
  <c r="W63" i="33"/>
  <c r="BP69" i="33"/>
  <c r="BM69" i="33"/>
  <c r="BP78" i="33"/>
  <c r="BM78" i="33"/>
  <c r="BS59" i="33"/>
  <c r="BI66" i="33"/>
  <c r="BF66" i="33"/>
  <c r="J12" i="33"/>
  <c r="BT12" i="33"/>
  <c r="K15" i="33"/>
  <c r="BS32" i="33"/>
  <c r="S32" i="33"/>
  <c r="P32" i="33"/>
  <c r="Z53" i="33"/>
  <c r="W53" i="33"/>
  <c r="I51" i="33"/>
  <c r="BM77" i="33"/>
  <c r="BP77" i="33"/>
  <c r="BP43" i="33"/>
  <c r="BM43" i="33"/>
  <c r="H15" i="33"/>
  <c r="I11" i="33"/>
  <c r="AG78" i="33"/>
  <c r="AD78" i="33"/>
  <c r="Z32" i="33"/>
  <c r="W32" i="33"/>
  <c r="M35" i="33"/>
  <c r="H22" i="33"/>
  <c r="I22" i="33" s="1"/>
  <c r="L21" i="33"/>
  <c r="AL21" i="33"/>
  <c r="AE21" i="33"/>
  <c r="AZ21" i="33"/>
  <c r="Q21" i="33"/>
  <c r="AS21" i="33"/>
  <c r="BN21" i="33"/>
  <c r="BG21" i="33"/>
  <c r="X21" i="33"/>
  <c r="Z33" i="33"/>
  <c r="W33" i="33"/>
  <c r="BS44" i="33"/>
  <c r="BU32" i="33"/>
  <c r="BI32" i="33"/>
  <c r="BT67" i="33"/>
  <c r="K67" i="33"/>
  <c r="AD32" i="33"/>
  <c r="AG32" i="33"/>
  <c r="BS18" i="33"/>
  <c r="Z78" i="33"/>
  <c r="W78" i="33"/>
  <c r="J50" i="33"/>
  <c r="BP67" i="33"/>
  <c r="BM67" i="33"/>
  <c r="J21" i="33"/>
  <c r="X72" i="33"/>
  <c r="BN72" i="33"/>
  <c r="Q72" i="33"/>
  <c r="BG72" i="33"/>
  <c r="BI72" i="33" s="1"/>
  <c r="AS72" i="33"/>
  <c r="AU72" i="33" s="1"/>
  <c r="L72" i="33"/>
  <c r="AZ72" i="33"/>
  <c r="BB72" i="33" s="1"/>
  <c r="AL72" i="33"/>
  <c r="AE72" i="33"/>
  <c r="BG49" i="33"/>
  <c r="AZ49" i="33"/>
  <c r="AL49" i="33"/>
  <c r="AE49" i="33"/>
  <c r="Q49" i="33"/>
  <c r="BN49" i="33"/>
  <c r="AS49" i="33"/>
  <c r="X49" i="33"/>
  <c r="L49" i="33"/>
  <c r="AU36" i="33"/>
  <c r="AR36" i="33"/>
  <c r="Z67" i="33"/>
  <c r="W67" i="33"/>
  <c r="BM53" i="33"/>
  <c r="BP53" i="33"/>
  <c r="S66" i="33"/>
  <c r="BS66" i="33"/>
  <c r="BS67" i="33"/>
  <c r="H27" i="33"/>
  <c r="I27" i="33" s="1"/>
  <c r="AG77" i="33"/>
  <c r="AD77" i="33"/>
  <c r="BI47" i="33"/>
  <c r="BU47" i="33"/>
  <c r="BP42" i="33"/>
  <c r="BM42" i="33"/>
  <c r="AG48" i="33"/>
  <c r="AD48" i="33"/>
  <c r="H24" i="33"/>
  <c r="I24" i="33" s="1"/>
  <c r="BP33" i="33"/>
  <c r="BM33" i="33"/>
  <c r="I20" i="33"/>
  <c r="L16" i="33"/>
  <c r="AE16" i="33"/>
  <c r="BG16" i="33"/>
  <c r="AZ16" i="33"/>
  <c r="AS16" i="33"/>
  <c r="AL16" i="33"/>
  <c r="BN16" i="33"/>
  <c r="X16" i="33"/>
  <c r="J16" i="33"/>
  <c r="AK43" i="33"/>
  <c r="AN43" i="33"/>
  <c r="AL45" i="33"/>
  <c r="W77" i="33"/>
  <c r="Z77" i="33"/>
  <c r="AG43" i="33"/>
  <c r="AD43" i="33"/>
  <c r="BS63" i="33"/>
  <c r="P63" i="33"/>
  <c r="S63" i="33"/>
  <c r="BN14" i="33"/>
  <c r="AS14" i="33"/>
  <c r="AL14" i="33"/>
  <c r="AE14" i="33"/>
  <c r="X14" i="33"/>
  <c r="Q14" i="33"/>
  <c r="BG14" i="33"/>
  <c r="AZ14" i="33"/>
  <c r="L14" i="33"/>
  <c r="J14" i="33"/>
  <c r="BN56" i="33"/>
  <c r="AZ56" i="33"/>
  <c r="X56" i="33"/>
  <c r="Q56" i="33"/>
  <c r="L56" i="33"/>
  <c r="AS56" i="33"/>
  <c r="I60" i="33"/>
  <c r="J60" i="33" s="1"/>
  <c r="AL56" i="33"/>
  <c r="AE56" i="33"/>
  <c r="J56" i="33"/>
  <c r="BG56" i="33"/>
  <c r="BP44" i="33"/>
  <c r="BM44" i="33"/>
  <c r="Z66" i="33"/>
  <c r="H29" i="33"/>
  <c r="I29" i="33" s="1"/>
  <c r="I62" i="33"/>
  <c r="AN77" i="33"/>
  <c r="AK77" i="33"/>
  <c r="P47" i="33"/>
  <c r="BS47" i="33"/>
  <c r="S47" i="33"/>
  <c r="BP34" i="33"/>
  <c r="BM34" i="33"/>
  <c r="BP59" i="33"/>
  <c r="BM59" i="33"/>
  <c r="BI77" i="33"/>
  <c r="BF77" i="33"/>
  <c r="BU77" i="33"/>
  <c r="K18" i="33"/>
  <c r="AF83" i="33"/>
  <c r="AE57" i="33"/>
  <c r="BG57" i="33"/>
  <c r="Q57" i="33"/>
  <c r="AZ57" i="33"/>
  <c r="BB57" i="33" s="1"/>
  <c r="L57" i="33"/>
  <c r="AS57" i="33"/>
  <c r="AU57" i="33" s="1"/>
  <c r="AL57" i="33"/>
  <c r="BN57" i="33"/>
  <c r="X57" i="33"/>
  <c r="BP66" i="33"/>
  <c r="BM66" i="33"/>
  <c r="AN67" i="33"/>
  <c r="AK67" i="33"/>
  <c r="AG66" i="33"/>
  <c r="AD66" i="33"/>
  <c r="AS46" i="33"/>
  <c r="AE46" i="33"/>
  <c r="BN46" i="33"/>
  <c r="X46" i="33"/>
  <c r="Q46" i="33"/>
  <c r="BG46" i="33"/>
  <c r="L46" i="33"/>
  <c r="L50" i="33" s="1"/>
  <c r="J46" i="33"/>
  <c r="AZ46" i="33"/>
  <c r="AL46" i="33"/>
  <c r="I50" i="33"/>
  <c r="AU66" i="33"/>
  <c r="AR66" i="33"/>
  <c r="J72" i="33"/>
  <c r="AL40" i="33"/>
  <c r="AN36" i="33"/>
  <c r="AK36" i="33"/>
  <c r="AG53" i="33"/>
  <c r="AD53" i="33"/>
  <c r="H60" i="33"/>
  <c r="H31" i="33"/>
  <c r="H35" i="33" s="1"/>
  <c r="G35" i="33"/>
  <c r="K33" i="33"/>
  <c r="BT33" i="33" s="1"/>
  <c r="AN53" i="33"/>
  <c r="AK53" i="33"/>
  <c r="Q45" i="33"/>
  <c r="BS42" i="33"/>
  <c r="R42" i="33"/>
  <c r="P42" i="33"/>
  <c r="BB66" i="33"/>
  <c r="AY66" i="33"/>
  <c r="H28" i="33"/>
  <c r="I28" i="33" s="1"/>
  <c r="BN13" i="33"/>
  <c r="BG13" i="33"/>
  <c r="L13" i="33"/>
  <c r="AZ13" i="33"/>
  <c r="AS13" i="33"/>
  <c r="X13" i="33"/>
  <c r="Q13" i="33"/>
  <c r="AL13" i="33"/>
  <c r="AE13" i="33"/>
  <c r="AU77" i="33"/>
  <c r="AR77" i="33"/>
  <c r="AN33" i="33"/>
  <c r="AK33" i="33"/>
  <c r="BP63" i="33"/>
  <c r="BM63" i="33"/>
  <c r="BP64" i="33"/>
  <c r="BM64" i="33"/>
  <c r="AU78" i="33"/>
  <c r="AR78" i="33"/>
  <c r="BS69" i="33"/>
  <c r="AZ45" i="33"/>
  <c r="BB41" i="33"/>
  <c r="AY41" i="33"/>
  <c r="K32" i="33"/>
  <c r="BT32" i="33"/>
  <c r="R35" i="33"/>
  <c r="BU42" i="33"/>
  <c r="W42" i="33"/>
  <c r="Z42" i="33"/>
  <c r="H23" i="33"/>
  <c r="I23" i="33"/>
  <c r="AN66" i="33"/>
  <c r="AK66" i="33"/>
  <c r="G30" i="33"/>
  <c r="H26" i="33"/>
  <c r="I26" i="33" s="1"/>
  <c r="S48" i="33"/>
  <c r="P48" i="33"/>
  <c r="BS48" i="33"/>
  <c r="BT81" i="33"/>
  <c r="AG42" i="33"/>
  <c r="AD42" i="33"/>
  <c r="M45" i="33"/>
  <c r="AE45" i="33"/>
  <c r="BG45" i="33"/>
  <c r="AZ61" i="33"/>
  <c r="X61" i="33"/>
  <c r="Q61" i="33"/>
  <c r="AL61" i="33"/>
  <c r="BN61" i="33"/>
  <c r="BG61" i="33"/>
  <c r="AE61" i="33"/>
  <c r="AS61" i="33"/>
  <c r="L61" i="33"/>
  <c r="I65" i="33"/>
  <c r="J65" i="33" s="1"/>
  <c r="P43" i="33"/>
  <c r="BS43" i="33"/>
  <c r="R43" i="33"/>
  <c r="S43" i="33" s="1"/>
  <c r="R30" i="33"/>
  <c r="K27" i="33"/>
  <c r="M80" i="33"/>
  <c r="R77" i="33"/>
  <c r="P77" i="33"/>
  <c r="BS77" i="33"/>
  <c r="W48" i="33"/>
  <c r="Z48" i="33"/>
  <c r="AS45" i="33"/>
  <c r="G82" i="33"/>
  <c r="AK78" i="33"/>
  <c r="AN78" i="33"/>
  <c r="AK63" i="33"/>
  <c r="AN63" i="33"/>
  <c r="BM48" i="33"/>
  <c r="BP48" i="33"/>
  <c r="AD33" i="33"/>
  <c r="AG33" i="33"/>
  <c r="X76" i="33"/>
  <c r="BG76" i="33"/>
  <c r="Q76" i="33"/>
  <c r="L76" i="33"/>
  <c r="AZ76" i="33"/>
  <c r="AS76" i="33"/>
  <c r="AL76" i="33"/>
  <c r="AE76" i="33"/>
  <c r="BN76" i="33"/>
  <c r="AG18" i="33"/>
  <c r="Z43" i="33"/>
  <c r="W43" i="33"/>
  <c r="BF78" i="33"/>
  <c r="BI78" i="33"/>
  <c r="M50" i="33"/>
  <c r="W47" i="33"/>
  <c r="Z47" i="33"/>
  <c r="AN48" i="33"/>
  <c r="AK48" i="33"/>
  <c r="BS34" i="33"/>
  <c r="AN32" i="33"/>
  <c r="J28" i="33" l="1"/>
  <c r="H25" i="33"/>
  <c r="BG29" i="33"/>
  <c r="AZ29" i="33"/>
  <c r="AS29" i="33"/>
  <c r="AL29" i="33"/>
  <c r="AE29" i="33"/>
  <c r="X29" i="33"/>
  <c r="Q29" i="33"/>
  <c r="Q84" i="33" s="1"/>
  <c r="L29" i="33"/>
  <c r="BN29" i="33"/>
  <c r="J29" i="33"/>
  <c r="X27" i="33"/>
  <c r="BN27" i="33"/>
  <c r="BG27" i="33"/>
  <c r="Q27" i="33"/>
  <c r="AZ27" i="33"/>
  <c r="BB27" i="33" s="1"/>
  <c r="AL27" i="33"/>
  <c r="AE27" i="33"/>
  <c r="L27" i="33"/>
  <c r="AS27" i="33"/>
  <c r="AU27" i="33" s="1"/>
  <c r="BN26" i="33"/>
  <c r="BG26" i="33"/>
  <c r="AE26" i="33"/>
  <c r="AZ26" i="33"/>
  <c r="AL26" i="33"/>
  <c r="X26" i="33"/>
  <c r="Q26" i="33"/>
  <c r="L26" i="33"/>
  <c r="AS26" i="33"/>
  <c r="I30" i="33"/>
  <c r="J26" i="33"/>
  <c r="R37" i="33"/>
  <c r="S37" i="33"/>
  <c r="P37" i="33"/>
  <c r="BS37" i="33"/>
  <c r="Q40" i="33"/>
  <c r="BU12" i="33"/>
  <c r="BI12" i="33"/>
  <c r="Q20" i="33"/>
  <c r="S17" i="33"/>
  <c r="P17" i="33"/>
  <c r="BS17" i="33"/>
  <c r="BM14" i="33"/>
  <c r="BP14" i="33"/>
  <c r="AG76" i="33"/>
  <c r="AE80" i="33"/>
  <c r="AS60" i="33"/>
  <c r="AU56" i="33"/>
  <c r="AR56" i="33"/>
  <c r="BI16" i="33"/>
  <c r="BG20" i="33"/>
  <c r="BF16" i="33"/>
  <c r="H82" i="33"/>
  <c r="I82" i="33" s="1"/>
  <c r="BS57" i="33"/>
  <c r="P57" i="33"/>
  <c r="S57" i="33"/>
  <c r="AU12" i="33"/>
  <c r="AU76" i="33"/>
  <c r="AS80" i="33"/>
  <c r="R45" i="33"/>
  <c r="S45" i="33" s="1"/>
  <c r="K42" i="33"/>
  <c r="BU57" i="33"/>
  <c r="BI57" i="33"/>
  <c r="BN79" i="33"/>
  <c r="BP79" i="33" s="1"/>
  <c r="AE79" i="33"/>
  <c r="X79" i="33"/>
  <c r="Q79" i="33"/>
  <c r="L79" i="33"/>
  <c r="BG79" i="33"/>
  <c r="BG80" i="33" s="1"/>
  <c r="AS79" i="33"/>
  <c r="AL79" i="33"/>
  <c r="AZ79" i="33"/>
  <c r="J79" i="33"/>
  <c r="W17" i="33"/>
  <c r="Z17" i="33"/>
  <c r="M40" i="33"/>
  <c r="W37" i="33"/>
  <c r="Y37" i="33"/>
  <c r="X40" i="33"/>
  <c r="I80" i="33"/>
  <c r="L62" i="33"/>
  <c r="L65" i="33" s="1"/>
  <c r="AE62" i="33"/>
  <c r="X62" i="33"/>
  <c r="BN62" i="33"/>
  <c r="BG62" i="33"/>
  <c r="AZ62" i="33"/>
  <c r="BB62" i="33" s="1"/>
  <c r="AS62" i="33"/>
  <c r="AU62" i="33" s="1"/>
  <c r="AL62" i="33"/>
  <c r="Q62" i="33"/>
  <c r="J62" i="33"/>
  <c r="Z21" i="33"/>
  <c r="BB12" i="33"/>
  <c r="AZ80" i="33"/>
  <c r="BB76" i="33"/>
  <c r="BB56" i="33"/>
  <c r="AY56" i="33"/>
  <c r="AZ60" i="33"/>
  <c r="BF21" i="33"/>
  <c r="BI21" i="33"/>
  <c r="BS12" i="33"/>
  <c r="P12" i="33"/>
  <c r="S12" i="33"/>
  <c r="AK52" i="33"/>
  <c r="AN52" i="33"/>
  <c r="AG58" i="33"/>
  <c r="AD58" i="33"/>
  <c r="AG61" i="33"/>
  <c r="AD61" i="33"/>
  <c r="BB45" i="33"/>
  <c r="AY45" i="33"/>
  <c r="BS13" i="33"/>
  <c r="S13" i="33"/>
  <c r="P13" i="33"/>
  <c r="P45" i="33"/>
  <c r="J18" i="33"/>
  <c r="L18" i="33"/>
  <c r="BN60" i="33"/>
  <c r="BP56" i="33"/>
  <c r="BM56" i="33"/>
  <c r="BM21" i="33"/>
  <c r="BP21" i="33"/>
  <c r="X75" i="33"/>
  <c r="Z71" i="33"/>
  <c r="AD12" i="33"/>
  <c r="AB4" i="33"/>
  <c r="AG12" i="33"/>
  <c r="AE5" i="33"/>
  <c r="AE7" i="33" s="1"/>
  <c r="BP52" i="33"/>
  <c r="BM52" i="33"/>
  <c r="AG37" i="33"/>
  <c r="AD37" i="33"/>
  <c r="AE40" i="33"/>
  <c r="AR71" i="33"/>
  <c r="AS75" i="33"/>
  <c r="AU71" i="33"/>
  <c r="BP49" i="33"/>
  <c r="BM49" i="33"/>
  <c r="AN12" i="33"/>
  <c r="AK12" i="33"/>
  <c r="AN76" i="33"/>
  <c r="AL80" i="33"/>
  <c r="AD46" i="33"/>
  <c r="AE50" i="33"/>
  <c r="AG46" i="33"/>
  <c r="AD16" i="33"/>
  <c r="AG16" i="33"/>
  <c r="AE20" i="33"/>
  <c r="BP17" i="33"/>
  <c r="BM17" i="33"/>
  <c r="J32" i="33"/>
  <c r="K35" i="33"/>
  <c r="L32" i="33"/>
  <c r="AN40" i="33"/>
  <c r="AK40" i="33"/>
  <c r="Z56" i="33"/>
  <c r="X60" i="33"/>
  <c r="H85" i="33"/>
  <c r="AK13" i="33"/>
  <c r="AN13" i="33"/>
  <c r="S42" i="33"/>
  <c r="AL11" i="33"/>
  <c r="BN11" i="33"/>
  <c r="Q11" i="33"/>
  <c r="L11" i="33"/>
  <c r="AS11" i="33"/>
  <c r="X11" i="33"/>
  <c r="AZ11" i="33"/>
  <c r="I15" i="33"/>
  <c r="AE11" i="33"/>
  <c r="BG11" i="33"/>
  <c r="J11" i="33"/>
  <c r="BT28" i="33"/>
  <c r="I81" i="33"/>
  <c r="BM37" i="33"/>
  <c r="BP37" i="33"/>
  <c r="BN40" i="33"/>
  <c r="S76" i="33"/>
  <c r="Q80" i="33"/>
  <c r="BS76" i="33"/>
  <c r="BG65" i="33"/>
  <c r="BI61" i="33"/>
  <c r="BF61" i="33"/>
  <c r="H30" i="33"/>
  <c r="Z13" i="33"/>
  <c r="W13" i="33"/>
  <c r="BT18" i="33"/>
  <c r="AD72" i="33"/>
  <c r="AG72" i="33"/>
  <c r="AU21" i="33"/>
  <c r="AS25" i="33"/>
  <c r="AR21" i="33"/>
  <c r="AK71" i="33"/>
  <c r="AL75" i="33"/>
  <c r="AN71" i="33"/>
  <c r="P73" i="33"/>
  <c r="BS73" i="33"/>
  <c r="S73" i="33"/>
  <c r="Z52" i="33"/>
  <c r="W52" i="33"/>
  <c r="AN37" i="33"/>
  <c r="AK37" i="33"/>
  <c r="BS39" i="33"/>
  <c r="AK73" i="33"/>
  <c r="AN73" i="33"/>
  <c r="AG52" i="33"/>
  <c r="AD52" i="33"/>
  <c r="M55" i="33"/>
  <c r="BU37" i="33"/>
  <c r="BI37" i="33"/>
  <c r="BG40" i="33"/>
  <c r="BS54" i="33"/>
  <c r="K43" i="33"/>
  <c r="BT43" i="33" s="1"/>
  <c r="BS46" i="33"/>
  <c r="Q50" i="33"/>
  <c r="S46" i="33"/>
  <c r="BG22" i="33"/>
  <c r="AS22" i="33"/>
  <c r="AU22" i="33" s="1"/>
  <c r="AL22" i="33"/>
  <c r="Q22" i="33"/>
  <c r="BN22" i="33"/>
  <c r="BN82" i="33" s="1"/>
  <c r="L22" i="33"/>
  <c r="L25" i="33" s="1"/>
  <c r="AZ22" i="33"/>
  <c r="BB22" i="33" s="1"/>
  <c r="AE22" i="33"/>
  <c r="AE82" i="33" s="1"/>
  <c r="J22" i="33"/>
  <c r="X22" i="33"/>
  <c r="Z12" i="33"/>
  <c r="W12" i="33"/>
  <c r="AN17" i="33"/>
  <c r="AK17" i="33"/>
  <c r="BB37" i="33"/>
  <c r="AZ40" i="33"/>
  <c r="BN50" i="33"/>
  <c r="BP46" i="33"/>
  <c r="BM46" i="33"/>
  <c r="J15" i="33"/>
  <c r="BS49" i="33"/>
  <c r="AU45" i="33"/>
  <c r="AR45" i="33"/>
  <c r="AS50" i="33"/>
  <c r="AU46" i="33"/>
  <c r="AR46" i="33"/>
  <c r="BS56" i="33"/>
  <c r="Q60" i="33"/>
  <c r="S56" i="33"/>
  <c r="AG13" i="33"/>
  <c r="AB5" i="33"/>
  <c r="AD13" i="33"/>
  <c r="AD57" i="33"/>
  <c r="AG57" i="33"/>
  <c r="P52" i="33"/>
  <c r="BS52" i="33"/>
  <c r="S52" i="33"/>
  <c r="BI76" i="33"/>
  <c r="AL24" i="33"/>
  <c r="AL84" i="33" s="1"/>
  <c r="AE24" i="33"/>
  <c r="L24" i="33"/>
  <c r="AZ24" i="33"/>
  <c r="Q24" i="33"/>
  <c r="J24" i="33"/>
  <c r="AS24" i="33"/>
  <c r="AS84" i="33" s="1"/>
  <c r="BN24" i="33"/>
  <c r="BN84" i="33" s="1"/>
  <c r="BG24" i="33"/>
  <c r="BG84" i="33" s="1"/>
  <c r="X24" i="33"/>
  <c r="X84" i="33" s="1"/>
  <c r="S21" i="33"/>
  <c r="BS21" i="33"/>
  <c r="AN61" i="33"/>
  <c r="AK61" i="33"/>
  <c r="AL65" i="33"/>
  <c r="BB13" i="33"/>
  <c r="BB21" i="33"/>
  <c r="AY21" i="33"/>
  <c r="K78" i="33"/>
  <c r="BT78" i="33" s="1"/>
  <c r="BP73" i="33"/>
  <c r="BM73" i="33"/>
  <c r="BS74" i="33"/>
  <c r="BP39" i="33"/>
  <c r="BM39" i="33"/>
  <c r="AN56" i="33"/>
  <c r="AK56" i="33"/>
  <c r="AL60" i="33"/>
  <c r="Z72" i="33"/>
  <c r="W72" i="33"/>
  <c r="Z46" i="33"/>
  <c r="X50" i="33"/>
  <c r="AZ20" i="33"/>
  <c r="BB16" i="33"/>
  <c r="AY16" i="33"/>
  <c r="BM38" i="33"/>
  <c r="BP38" i="33"/>
  <c r="L60" i="33"/>
  <c r="G85" i="33"/>
  <c r="S58" i="33"/>
  <c r="P58" i="33"/>
  <c r="BS58" i="33"/>
  <c r="AS65" i="33"/>
  <c r="AU61" i="33"/>
  <c r="AR61" i="33"/>
  <c r="BT77" i="33"/>
  <c r="R80" i="33"/>
  <c r="K77" i="33"/>
  <c r="BP61" i="33"/>
  <c r="BM61" i="33"/>
  <c r="BN65" i="33"/>
  <c r="AU13" i="33"/>
  <c r="AN45" i="33"/>
  <c r="AK45" i="33"/>
  <c r="AN72" i="33"/>
  <c r="AK72" i="33"/>
  <c r="AZ75" i="33"/>
  <c r="BB71" i="33"/>
  <c r="AY71" i="33"/>
  <c r="X80" i="33"/>
  <c r="Z76" i="33"/>
  <c r="S77" i="33"/>
  <c r="BS61" i="33"/>
  <c r="S61" i="33"/>
  <c r="J33" i="33"/>
  <c r="L33" i="33"/>
  <c r="AN46" i="33"/>
  <c r="AL50" i="33"/>
  <c r="AK46" i="33"/>
  <c r="J67" i="33"/>
  <c r="L67" i="33"/>
  <c r="AG21" i="33"/>
  <c r="AD21" i="33"/>
  <c r="L75" i="33"/>
  <c r="S78" i="33"/>
  <c r="Z73" i="33"/>
  <c r="W73" i="33"/>
  <c r="BS38" i="33"/>
  <c r="R38" i="33"/>
  <c r="S38" i="33" s="1"/>
  <c r="P38" i="33"/>
  <c r="BU52" i="33"/>
  <c r="BI52" i="33"/>
  <c r="Z61" i="33"/>
  <c r="BI13" i="33"/>
  <c r="BS14" i="33"/>
  <c r="AS40" i="33"/>
  <c r="AN21" i="33"/>
  <c r="AK21" i="33"/>
  <c r="I55" i="33"/>
  <c r="J55" i="33" s="1"/>
  <c r="AL51" i="33"/>
  <c r="BN51" i="33"/>
  <c r="BG51" i="33"/>
  <c r="AE51" i="33"/>
  <c r="AZ51" i="33"/>
  <c r="X51" i="33"/>
  <c r="Q51" i="33"/>
  <c r="L51" i="33"/>
  <c r="L55" i="33" s="1"/>
  <c r="J51" i="33"/>
  <c r="AS51" i="33"/>
  <c r="AE68" i="33"/>
  <c r="BG68" i="33"/>
  <c r="Q68" i="33"/>
  <c r="AZ68" i="33"/>
  <c r="AS68" i="33"/>
  <c r="AL68" i="33"/>
  <c r="BN68" i="33"/>
  <c r="X68" i="33"/>
  <c r="I70" i="33"/>
  <c r="AF17" i="33"/>
  <c r="AG17" i="33" s="1"/>
  <c r="AD17" i="33"/>
  <c r="AG73" i="33"/>
  <c r="AD73" i="33"/>
  <c r="W38" i="33"/>
  <c r="Y38" i="33"/>
  <c r="Y83" i="33" s="1"/>
  <c r="AR16" i="33"/>
  <c r="AU16" i="33"/>
  <c r="AS20" i="33"/>
  <c r="BP76" i="33"/>
  <c r="S71" i="33"/>
  <c r="BS71" i="33"/>
  <c r="Q75" i="33"/>
  <c r="Z57" i="33"/>
  <c r="M60" i="33"/>
  <c r="W57" i="33"/>
  <c r="J27" i="33"/>
  <c r="K30" i="33"/>
  <c r="BB46" i="33"/>
  <c r="AY46" i="33"/>
  <c r="AZ50" i="33"/>
  <c r="AZ65" i="33"/>
  <c r="BB61" i="33"/>
  <c r="AY61" i="33"/>
  <c r="BG23" i="33"/>
  <c r="BI23" i="33" s="1"/>
  <c r="AS23" i="33"/>
  <c r="AU23" i="33" s="1"/>
  <c r="BN23" i="33"/>
  <c r="AE23" i="33"/>
  <c r="X23" i="33"/>
  <c r="X25" i="33" s="1"/>
  <c r="AZ23" i="33"/>
  <c r="BB23" i="33" s="1"/>
  <c r="AL23" i="33"/>
  <c r="L23" i="33"/>
  <c r="Q23" i="33"/>
  <c r="Q25" i="33" s="1"/>
  <c r="J23" i="33"/>
  <c r="BP13" i="33"/>
  <c r="BM13" i="33"/>
  <c r="BG60" i="33"/>
  <c r="BF56" i="33"/>
  <c r="BI56" i="33"/>
  <c r="BS16" i="33"/>
  <c r="Z16" i="33"/>
  <c r="X20" i="33"/>
  <c r="AE75" i="33"/>
  <c r="AG71" i="33"/>
  <c r="AD71" i="33"/>
  <c r="BM19" i="33"/>
  <c r="BP19" i="33"/>
  <c r="BM58" i="33"/>
  <c r="BP58" i="33"/>
  <c r="BT27" i="33"/>
  <c r="BI45" i="33"/>
  <c r="BF45" i="33"/>
  <c r="X28" i="33"/>
  <c r="BN28" i="33"/>
  <c r="BG28" i="33"/>
  <c r="BI28" i="33" s="1"/>
  <c r="Q28" i="33"/>
  <c r="AZ28" i="33"/>
  <c r="BB28" i="33" s="1"/>
  <c r="AL28" i="33"/>
  <c r="L28" i="33"/>
  <c r="AS28" i="33"/>
  <c r="AU28" i="33" s="1"/>
  <c r="AE28" i="33"/>
  <c r="I31" i="33"/>
  <c r="BP57" i="33"/>
  <c r="BM57" i="33"/>
  <c r="BP16" i="33"/>
  <c r="BN20" i="33"/>
  <c r="BM16" i="33"/>
  <c r="BS72" i="33"/>
  <c r="S72" i="33"/>
  <c r="P72" i="33"/>
  <c r="M75" i="33"/>
  <c r="I25" i="33"/>
  <c r="J25" i="33" s="1"/>
  <c r="BG75" i="33"/>
  <c r="BI71" i="33"/>
  <c r="BF71" i="33"/>
  <c r="AG38" i="33"/>
  <c r="AD38" i="33"/>
  <c r="Z58" i="33"/>
  <c r="W58" i="33"/>
  <c r="BP54" i="33"/>
  <c r="BM54" i="33"/>
  <c r="AG45" i="33"/>
  <c r="AD45" i="33"/>
  <c r="BI46" i="33"/>
  <c r="BF46" i="33"/>
  <c r="BG50" i="33"/>
  <c r="AN57" i="33"/>
  <c r="AK57" i="33"/>
  <c r="AE60" i="33"/>
  <c r="AG56" i="33"/>
  <c r="AD56" i="33"/>
  <c r="AL20" i="33"/>
  <c r="AN16" i="33"/>
  <c r="AK16" i="33"/>
  <c r="BP72" i="33"/>
  <c r="BM72" i="33"/>
  <c r="BM71" i="33"/>
  <c r="BP71" i="33"/>
  <c r="BN75" i="33"/>
  <c r="BI17" i="33"/>
  <c r="BU17" i="33"/>
  <c r="BM12" i="33"/>
  <c r="BP12" i="33"/>
  <c r="BP74" i="33"/>
  <c r="BM74" i="33"/>
  <c r="AN38" i="33"/>
  <c r="AK38" i="33"/>
  <c r="BS19" i="33"/>
  <c r="AK58" i="33"/>
  <c r="AN58" i="33"/>
  <c r="BG82" i="33" l="1"/>
  <c r="L84" i="33"/>
  <c r="Q82" i="33"/>
  <c r="AE83" i="33"/>
  <c r="AG83" i="33" s="1"/>
  <c r="AL25" i="33"/>
  <c r="AN25" i="33" s="1"/>
  <c r="AL83" i="33"/>
  <c r="AK83" i="33" s="1"/>
  <c r="BN83" i="33"/>
  <c r="AZ84" i="33"/>
  <c r="AY84" i="33" s="1"/>
  <c r="AE84" i="33"/>
  <c r="BS84" i="33" s="1"/>
  <c r="J30" i="33"/>
  <c r="Q83" i="33"/>
  <c r="P83" i="33" s="1"/>
  <c r="AN84" i="33"/>
  <c r="AK84" i="33"/>
  <c r="P82" i="33"/>
  <c r="S82" i="33"/>
  <c r="AD82" i="33"/>
  <c r="BP84" i="33"/>
  <c r="BM84" i="33"/>
  <c r="W25" i="33"/>
  <c r="Z25" i="33"/>
  <c r="BP83" i="33"/>
  <c r="BM83" i="33"/>
  <c r="AR84" i="33"/>
  <c r="AU84" i="33"/>
  <c r="W84" i="33"/>
  <c r="Z84" i="33"/>
  <c r="BI80" i="33"/>
  <c r="BF80" i="33"/>
  <c r="P75" i="33"/>
  <c r="S75" i="33"/>
  <c r="P25" i="33"/>
  <c r="S25" i="33"/>
  <c r="Y82" i="33"/>
  <c r="Y85" i="33" s="1"/>
  <c r="Y40" i="33"/>
  <c r="AN50" i="33"/>
  <c r="AK50" i="33"/>
  <c r="BP65" i="33"/>
  <c r="BM65" i="33"/>
  <c r="AN80" i="33"/>
  <c r="AK80" i="33"/>
  <c r="M65" i="33"/>
  <c r="BS62" i="33"/>
  <c r="S62" i="33"/>
  <c r="P62" i="33"/>
  <c r="AG80" i="33"/>
  <c r="AD80" i="33"/>
  <c r="BP50" i="33"/>
  <c r="BM50" i="33"/>
  <c r="Z60" i="33"/>
  <c r="W60" i="33"/>
  <c r="AB6" i="33"/>
  <c r="AC4" i="33" s="1"/>
  <c r="AG4" i="33" s="1"/>
  <c r="AR80" i="33"/>
  <c r="AU80" i="33"/>
  <c r="BM20" i="33"/>
  <c r="BP20" i="33"/>
  <c r="BF60" i="33"/>
  <c r="BI60" i="33"/>
  <c r="BB65" i="33"/>
  <c r="AY65" i="33"/>
  <c r="BS68" i="33"/>
  <c r="P68" i="33"/>
  <c r="R68" i="33"/>
  <c r="M70" i="33"/>
  <c r="Q70" i="33"/>
  <c r="AY20" i="33"/>
  <c r="BB20" i="33"/>
  <c r="AZ25" i="33"/>
  <c r="BS24" i="33"/>
  <c r="AY40" i="33"/>
  <c r="BB40" i="33"/>
  <c r="BI22" i="33"/>
  <c r="BU22" i="33"/>
  <c r="BF11" i="33"/>
  <c r="BG15" i="33"/>
  <c r="BI11" i="33"/>
  <c r="S27" i="33"/>
  <c r="P27" i="33"/>
  <c r="BS27" i="33"/>
  <c r="BI20" i="33"/>
  <c r="BF20" i="33"/>
  <c r="BF50" i="33"/>
  <c r="BI50" i="33"/>
  <c r="AN68" i="33"/>
  <c r="AK68" i="33"/>
  <c r="AL70" i="33"/>
  <c r="I85" i="33"/>
  <c r="J81" i="33"/>
  <c r="AN22" i="33"/>
  <c r="AK22" i="33"/>
  <c r="AK27" i="33"/>
  <c r="AN27" i="33"/>
  <c r="BB68" i="33"/>
  <c r="AZ70" i="33"/>
  <c r="R40" i="33"/>
  <c r="K37" i="33"/>
  <c r="R82" i="33"/>
  <c r="AY50" i="33"/>
  <c r="BB50" i="33"/>
  <c r="Z38" i="33"/>
  <c r="BI68" i="33"/>
  <c r="BU67" i="33"/>
  <c r="BG70" i="33"/>
  <c r="AR40" i="33"/>
  <c r="AU40" i="33"/>
  <c r="Q65" i="33"/>
  <c r="J77" i="33"/>
  <c r="L77" i="33"/>
  <c r="L80" i="33" s="1"/>
  <c r="K80" i="33"/>
  <c r="J80" i="33" s="1"/>
  <c r="Z50" i="33"/>
  <c r="W50" i="33"/>
  <c r="AE15" i="33"/>
  <c r="AG11" i="33"/>
  <c r="AD11" i="33"/>
  <c r="BG25" i="33"/>
  <c r="BI27" i="33"/>
  <c r="BU27" i="33"/>
  <c r="AN75" i="33"/>
  <c r="AK75" i="33"/>
  <c r="BF75" i="33"/>
  <c r="BI75" i="33"/>
  <c r="AG23" i="33"/>
  <c r="AD23" i="33"/>
  <c r="BG55" i="33"/>
  <c r="BI51" i="33"/>
  <c r="BF51" i="33"/>
  <c r="BP82" i="33"/>
  <c r="BM82" i="33"/>
  <c r="BP51" i="33"/>
  <c r="BM51" i="33"/>
  <c r="BN55" i="33"/>
  <c r="AN51" i="33"/>
  <c r="AK51" i="33"/>
  <c r="AL55" i="33"/>
  <c r="J42" i="33"/>
  <c r="L42" i="33"/>
  <c r="K45" i="33"/>
  <c r="J45" i="33" s="1"/>
  <c r="BN80" i="33"/>
  <c r="J78" i="33"/>
  <c r="L78" i="33"/>
  <c r="M30" i="33"/>
  <c r="AG27" i="33"/>
  <c r="AD27" i="33"/>
  <c r="BP75" i="33"/>
  <c r="BM75" i="33"/>
  <c r="W28" i="33"/>
  <c r="Z28" i="33"/>
  <c r="AU20" i="33"/>
  <c r="AR20" i="33"/>
  <c r="AC5" i="33"/>
  <c r="AG5" i="33" s="1"/>
  <c r="BT42" i="33"/>
  <c r="AN62" i="33"/>
  <c r="AK62" i="33"/>
  <c r="AD68" i="33"/>
  <c r="AG68" i="33"/>
  <c r="AE70" i="33"/>
  <c r="S50" i="33"/>
  <c r="P50" i="33"/>
  <c r="X83" i="33"/>
  <c r="AL82" i="33"/>
  <c r="BU62" i="33"/>
  <c r="BI62" i="33"/>
  <c r="AS82" i="33"/>
  <c r="AS30" i="33"/>
  <c r="AR26" i="33"/>
  <c r="AU26" i="33"/>
  <c r="BP27" i="33"/>
  <c r="BM27" i="33"/>
  <c r="BP22" i="33"/>
  <c r="BM22" i="33"/>
  <c r="BP28" i="33"/>
  <c r="BM28" i="33"/>
  <c r="P84" i="33"/>
  <c r="S84" i="33"/>
  <c r="Z75" i="33"/>
  <c r="W75" i="33"/>
  <c r="BP62" i="33"/>
  <c r="BM62" i="33"/>
  <c r="L30" i="33"/>
  <c r="W27" i="33"/>
  <c r="Z27" i="33"/>
  <c r="Z80" i="33"/>
  <c r="W80" i="33"/>
  <c r="AZ83" i="33"/>
  <c r="P60" i="33"/>
  <c r="S60" i="33"/>
  <c r="J43" i="33"/>
  <c r="L43" i="33"/>
  <c r="Z11" i="33"/>
  <c r="X15" i="33"/>
  <c r="BB60" i="33"/>
  <c r="AY60" i="33"/>
  <c r="Z62" i="33"/>
  <c r="W62" i="33"/>
  <c r="Q30" i="33"/>
  <c r="S26" i="33"/>
  <c r="BS26" i="33"/>
  <c r="BP11" i="33"/>
  <c r="BN15" i="33"/>
  <c r="BM11" i="33"/>
  <c r="Z68" i="33"/>
  <c r="W68" i="33"/>
  <c r="X70" i="33"/>
  <c r="BP40" i="33"/>
  <c r="BM40" i="33"/>
  <c r="S28" i="33"/>
  <c r="P28" i="33"/>
  <c r="BS28" i="33"/>
  <c r="AD50" i="33"/>
  <c r="AG50" i="33"/>
  <c r="BP24" i="33"/>
  <c r="BM24" i="33"/>
  <c r="AS55" i="33"/>
  <c r="AU51" i="33"/>
  <c r="AR51" i="33"/>
  <c r="AY11" i="33"/>
  <c r="BB11" i="33"/>
  <c r="AZ15" i="33"/>
  <c r="BG83" i="33"/>
  <c r="AN60" i="33"/>
  <c r="AK60" i="33"/>
  <c r="AN65" i="33"/>
  <c r="AK65" i="33"/>
  <c r="BN25" i="33"/>
  <c r="BS79" i="33"/>
  <c r="BM29" i="33"/>
  <c r="BP29" i="33"/>
  <c r="AG28" i="33"/>
  <c r="AD28" i="33"/>
  <c r="L15" i="33"/>
  <c r="S20" i="33"/>
  <c r="P20" i="33"/>
  <c r="AD75" i="33"/>
  <c r="AG75" i="33"/>
  <c r="AU50" i="33"/>
  <c r="AR50" i="33"/>
  <c r="BB80" i="33"/>
  <c r="AY80" i="33"/>
  <c r="Z23" i="33"/>
  <c r="W23" i="33"/>
  <c r="M25" i="33"/>
  <c r="AD22" i="33"/>
  <c r="AG22" i="33"/>
  <c r="AL15" i="33"/>
  <c r="AK11" i="33"/>
  <c r="AN11" i="33"/>
  <c r="BP60" i="33"/>
  <c r="BM60" i="33"/>
  <c r="K38" i="33"/>
  <c r="BT38" i="33"/>
  <c r="R83" i="33"/>
  <c r="AR25" i="33"/>
  <c r="AU25" i="33"/>
  <c r="Z37" i="33"/>
  <c r="AS83" i="33"/>
  <c r="AU68" i="33"/>
  <c r="AS70" i="33"/>
  <c r="P22" i="33"/>
  <c r="S22" i="33"/>
  <c r="BS22" i="33"/>
  <c r="AR60" i="33"/>
  <c r="AU60" i="33"/>
  <c r="AE25" i="33"/>
  <c r="AK20" i="33"/>
  <c r="AN20" i="33"/>
  <c r="AL31" i="33"/>
  <c r="BN31" i="33"/>
  <c r="BG31" i="33"/>
  <c r="BG81" i="33" s="1"/>
  <c r="AE31" i="33"/>
  <c r="Q31" i="33"/>
  <c r="AZ31" i="33"/>
  <c r="I35" i="33"/>
  <c r="J35" i="33" s="1"/>
  <c r="X31" i="33"/>
  <c r="L31" i="33"/>
  <c r="L35" i="33" s="1"/>
  <c r="AS31" i="33"/>
  <c r="AS81" i="33" s="1"/>
  <c r="J31" i="33"/>
  <c r="P23" i="33"/>
  <c r="S23" i="33"/>
  <c r="BS23" i="33"/>
  <c r="AS15" i="33"/>
  <c r="AU11" i="33"/>
  <c r="AR11" i="33"/>
  <c r="AG62" i="33"/>
  <c r="AD62" i="33"/>
  <c r="Z26" i="33"/>
  <c r="X30" i="33"/>
  <c r="S51" i="33"/>
  <c r="BS51" i="33"/>
  <c r="Q55" i="33"/>
  <c r="AR65" i="33"/>
  <c r="AU65" i="33"/>
  <c r="X82" i="33"/>
  <c r="BS82" i="33" s="1"/>
  <c r="BF65" i="33"/>
  <c r="BI65" i="33"/>
  <c r="AR75" i="33"/>
  <c r="AU75" i="33"/>
  <c r="AK26" i="33"/>
  <c r="AL30" i="33"/>
  <c r="AN26" i="33"/>
  <c r="AN23" i="33"/>
  <c r="AK23" i="33"/>
  <c r="AF20" i="33"/>
  <c r="AG20" i="33" s="1"/>
  <c r="K17" i="33"/>
  <c r="BT17" i="33" s="1"/>
  <c r="AF82" i="33"/>
  <c r="AF85" i="33" s="1"/>
  <c r="Z51" i="33"/>
  <c r="X55" i="33"/>
  <c r="X65" i="33"/>
  <c r="BB75" i="33"/>
  <c r="AY75" i="33"/>
  <c r="W22" i="33"/>
  <c r="Z22" i="33"/>
  <c r="BI40" i="33"/>
  <c r="BF40" i="33"/>
  <c r="Q15" i="33"/>
  <c r="S11" i="33"/>
  <c r="BS11" i="33"/>
  <c r="AE65" i="33"/>
  <c r="BB26" i="33"/>
  <c r="AY26" i="33"/>
  <c r="AZ30" i="33"/>
  <c r="BS29" i="33"/>
  <c r="Z40" i="33"/>
  <c r="W40" i="33"/>
  <c r="BF82" i="33"/>
  <c r="BI82" i="33"/>
  <c r="AE30" i="33"/>
  <c r="AG26" i="33"/>
  <c r="AD26" i="33"/>
  <c r="BB51" i="33"/>
  <c r="AY51" i="33"/>
  <c r="AZ55" i="33"/>
  <c r="AD40" i="33"/>
  <c r="AG40" i="33"/>
  <c r="AE55" i="33"/>
  <c r="AG51" i="33"/>
  <c r="AD51" i="33"/>
  <c r="AZ82" i="33"/>
  <c r="BM26" i="33"/>
  <c r="BN30" i="33"/>
  <c r="BP26" i="33"/>
  <c r="P80" i="33"/>
  <c r="S80" i="33"/>
  <c r="AG60" i="33"/>
  <c r="AD60" i="33"/>
  <c r="BG30" i="33"/>
  <c r="BI26" i="33"/>
  <c r="BF26" i="33"/>
  <c r="Z20" i="33"/>
  <c r="W20" i="33"/>
  <c r="BP68" i="33"/>
  <c r="BM68" i="33"/>
  <c r="BN70" i="33"/>
  <c r="P40" i="33"/>
  <c r="S40" i="33"/>
  <c r="BF84" i="33"/>
  <c r="BI84" i="33"/>
  <c r="AD20" i="33"/>
  <c r="AK28" i="33"/>
  <c r="AN28" i="33"/>
  <c r="BP23" i="33"/>
  <c r="BM23" i="33"/>
  <c r="AG84" i="33" l="1"/>
  <c r="AD84" i="33"/>
  <c r="BB84" i="33"/>
  <c r="AK25" i="33"/>
  <c r="AD83" i="33"/>
  <c r="M85" i="33"/>
  <c r="AN83" i="33"/>
  <c r="L45" i="33"/>
  <c r="BP31" i="33"/>
  <c r="BM31" i="33"/>
  <c r="BN35" i="33"/>
  <c r="BB55" i="33"/>
  <c r="AY55" i="33"/>
  <c r="AY31" i="33"/>
  <c r="AZ35" i="33"/>
  <c r="BB31" i="33"/>
  <c r="S30" i="33"/>
  <c r="P30" i="33"/>
  <c r="AN55" i="33"/>
  <c r="AK55" i="33"/>
  <c r="BI70" i="33"/>
  <c r="BF70" i="33"/>
  <c r="BI30" i="33"/>
  <c r="BF30" i="33"/>
  <c r="AG31" i="33"/>
  <c r="AD31" i="33"/>
  <c r="AE35" i="33"/>
  <c r="BM55" i="33"/>
  <c r="BP55" i="33"/>
  <c r="AD30" i="33"/>
  <c r="AG30" i="33"/>
  <c r="AU15" i="33"/>
  <c r="AR15" i="33"/>
  <c r="AN31" i="33"/>
  <c r="AK31" i="33"/>
  <c r="AL35" i="33"/>
  <c r="BF81" i="33"/>
  <c r="BI81" i="33"/>
  <c r="BG85" i="33"/>
  <c r="S31" i="33"/>
  <c r="BS31" i="33"/>
  <c r="Q35" i="33"/>
  <c r="BP25" i="33"/>
  <c r="BM25" i="33"/>
  <c r="AU30" i="33"/>
  <c r="AR30" i="33"/>
  <c r="BI25" i="33"/>
  <c r="BF25" i="33"/>
  <c r="AR81" i="33"/>
  <c r="AU81" i="33"/>
  <c r="AS85" i="33"/>
  <c r="J38" i="33"/>
  <c r="L38" i="33"/>
  <c r="K83" i="33"/>
  <c r="J83" i="33" s="1"/>
  <c r="BF83" i="33"/>
  <c r="BI83" i="33"/>
  <c r="W15" i="33"/>
  <c r="Z15" i="33"/>
  <c r="AN82" i="33"/>
  <c r="AK82" i="33"/>
  <c r="AG15" i="33"/>
  <c r="AD15" i="33"/>
  <c r="R85" i="33"/>
  <c r="BB25" i="33"/>
  <c r="AY25" i="33"/>
  <c r="J17" i="33"/>
  <c r="K20" i="33"/>
  <c r="J20" i="33" s="1"/>
  <c r="L17" i="33"/>
  <c r="K82" i="33"/>
  <c r="AD65" i="33"/>
  <c r="AG65" i="33"/>
  <c r="X35" i="33"/>
  <c r="Z31" i="33"/>
  <c r="BI15" i="33"/>
  <c r="BF15" i="33"/>
  <c r="W30" i="33"/>
  <c r="Z30" i="33"/>
  <c r="S15" i="33"/>
  <c r="P15" i="33"/>
  <c r="Q81" i="33"/>
  <c r="BI31" i="33"/>
  <c r="BF31" i="33"/>
  <c r="BG35" i="33"/>
  <c r="AY15" i="33"/>
  <c r="BB15" i="33"/>
  <c r="J37" i="33"/>
  <c r="K40" i="33"/>
  <c r="J40" i="33" s="1"/>
  <c r="L37" i="33"/>
  <c r="BP30" i="33"/>
  <c r="BM30" i="33"/>
  <c r="AG25" i="33"/>
  <c r="AD25" i="33"/>
  <c r="X81" i="33"/>
  <c r="BT37" i="33"/>
  <c r="S83" i="33"/>
  <c r="AG55" i="33"/>
  <c r="AD55" i="33"/>
  <c r="S65" i="33"/>
  <c r="P65" i="33"/>
  <c r="Z70" i="33"/>
  <c r="W70" i="33"/>
  <c r="Z65" i="33"/>
  <c r="W65" i="33"/>
  <c r="Z82" i="33"/>
  <c r="W82" i="33"/>
  <c r="P70" i="33"/>
  <c r="AG82" i="33"/>
  <c r="BB83" i="33"/>
  <c r="AY83" i="33"/>
  <c r="AR70" i="33"/>
  <c r="AU70" i="33"/>
  <c r="AR83" i="33"/>
  <c r="AU83" i="33"/>
  <c r="AN70" i="33"/>
  <c r="AK70" i="33"/>
  <c r="AR82" i="33"/>
  <c r="AU82" i="33"/>
  <c r="Z83" i="33"/>
  <c r="W83" i="33"/>
  <c r="AE81" i="33"/>
  <c r="BB82" i="33"/>
  <c r="AY82" i="33"/>
  <c r="Z55" i="33"/>
  <c r="W55" i="33"/>
  <c r="L81" i="33"/>
  <c r="AZ81" i="33"/>
  <c r="AG70" i="33"/>
  <c r="AD70" i="33"/>
  <c r="BI55" i="33"/>
  <c r="BF55" i="33"/>
  <c r="BB70" i="33"/>
  <c r="AY70" i="33"/>
  <c r="BS83" i="33"/>
  <c r="AR55" i="33"/>
  <c r="AU55" i="33"/>
  <c r="AN30" i="33"/>
  <c r="AK30" i="33"/>
  <c r="BP70" i="33"/>
  <c r="BM70" i="33"/>
  <c r="AY30" i="33"/>
  <c r="BB30" i="33"/>
  <c r="AN15" i="33"/>
  <c r="AK15" i="33"/>
  <c r="BP15" i="33"/>
  <c r="BM15" i="33"/>
  <c r="K68" i="33"/>
  <c r="BT68" i="33"/>
  <c r="R70" i="33"/>
  <c r="S70" i="33" s="1"/>
  <c r="P55" i="33"/>
  <c r="S55" i="33"/>
  <c r="AS35" i="33"/>
  <c r="AR31" i="33"/>
  <c r="AU31" i="33"/>
  <c r="AL81" i="33"/>
  <c r="BN81" i="33"/>
  <c r="BP80" i="33"/>
  <c r="BM80" i="33"/>
  <c r="S68" i="33"/>
  <c r="J68" i="33" l="1"/>
  <c r="K70" i="33"/>
  <c r="J70" i="33" s="1"/>
  <c r="L68" i="33"/>
  <c r="L70" i="33" s="1"/>
  <c r="AK35" i="33"/>
  <c r="AN35" i="33"/>
  <c r="BI35" i="33"/>
  <c r="BF35" i="33"/>
  <c r="BS81" i="33"/>
  <c r="P81" i="33"/>
  <c r="S81" i="33"/>
  <c r="Q85" i="33"/>
  <c r="BF85" i="33"/>
  <c r="BI85" i="33"/>
  <c r="AU85" i="33"/>
  <c r="AR85" i="33"/>
  <c r="BB81" i="33"/>
  <c r="AZ85" i="33"/>
  <c r="AY81" i="33"/>
  <c r="J82" i="33"/>
  <c r="K85" i="33"/>
  <c r="J85" i="33" s="1"/>
  <c r="L20" i="33"/>
  <c r="L82" i="33"/>
  <c r="BT82" i="33"/>
  <c r="Z81" i="33"/>
  <c r="X85" i="33"/>
  <c r="W81" i="33"/>
  <c r="BB35" i="33"/>
  <c r="AY35" i="33"/>
  <c r="BN85" i="33"/>
  <c r="BP81" i="33"/>
  <c r="BM81" i="33"/>
  <c r="BT83" i="33"/>
  <c r="AD35" i="33"/>
  <c r="AG35" i="33"/>
  <c r="AL85" i="33"/>
  <c r="AN81" i="33"/>
  <c r="AK81" i="33"/>
  <c r="AD81" i="33"/>
  <c r="AE85" i="33"/>
  <c r="AG81" i="33"/>
  <c r="S35" i="33"/>
  <c r="P35" i="33"/>
  <c r="BM35" i="33"/>
  <c r="BP35" i="33"/>
  <c r="AU35" i="33"/>
  <c r="AR35" i="33"/>
  <c r="L40" i="33"/>
  <c r="Z35" i="33"/>
  <c r="W35" i="33"/>
  <c r="BP85" i="33" l="1"/>
  <c r="BM85" i="33"/>
  <c r="Z85" i="33"/>
  <c r="W85" i="33"/>
  <c r="AD85" i="33"/>
  <c r="AG85" i="33"/>
  <c r="L83" i="33"/>
  <c r="L85" i="33" s="1"/>
  <c r="AN85" i="33"/>
  <c r="AK85" i="33"/>
  <c r="BB85" i="33"/>
  <c r="AY85" i="33"/>
  <c r="S85" i="33"/>
  <c r="P85" i="33"/>
  <c r="D27" i="23" l="1"/>
  <c r="D26" i="23"/>
  <c r="D25" i="23"/>
  <c r="D24" i="23"/>
  <c r="D23" i="23"/>
  <c r="D22" i="23"/>
  <c r="D21" i="23"/>
  <c r="D19" i="23"/>
  <c r="D18" i="23"/>
  <c r="D17" i="23"/>
  <c r="D16" i="23"/>
  <c r="D15" i="23"/>
  <c r="D14" i="23"/>
  <c r="D13" i="23"/>
  <c r="D12" i="23"/>
  <c r="D11" i="23"/>
  <c r="D10" i="23"/>
  <c r="D9" i="23"/>
  <c r="D8" i="23"/>
  <c r="D6" i="23"/>
  <c r="D5" i="23"/>
  <c r="U43" i="32"/>
  <c r="Q43" i="32"/>
  <c r="E41" i="32"/>
  <c r="E40" i="32"/>
  <c r="E39" i="32"/>
  <c r="H40" i="32"/>
  <c r="C41" i="32"/>
  <c r="C40" i="32"/>
  <c r="C39" i="32"/>
  <c r="S41" i="32"/>
  <c r="O41" i="32"/>
  <c r="M41" i="32"/>
  <c r="G41" i="32"/>
  <c r="S40" i="32"/>
  <c r="O40" i="32"/>
  <c r="M40" i="32"/>
  <c r="G40" i="32"/>
  <c r="S39" i="32"/>
  <c r="O39" i="32"/>
  <c r="M39" i="32"/>
  <c r="G39" i="32"/>
  <c r="V41" i="24"/>
  <c r="V40" i="24"/>
  <c r="V39" i="24"/>
  <c r="V38" i="24"/>
  <c r="V36" i="24"/>
  <c r="V37" i="24"/>
  <c r="V35" i="24"/>
  <c r="V34" i="24"/>
  <c r="V33" i="24"/>
  <c r="V32" i="24"/>
  <c r="V31" i="24"/>
  <c r="T41" i="24"/>
  <c r="T40" i="24"/>
  <c r="T39" i="24"/>
  <c r="T38" i="24"/>
  <c r="T36" i="24"/>
  <c r="T37" i="24"/>
  <c r="T35" i="24"/>
  <c r="T34" i="24"/>
  <c r="T33" i="24"/>
  <c r="T32" i="24"/>
  <c r="T31" i="24"/>
  <c r="P41" i="24"/>
  <c r="P40" i="24"/>
  <c r="P39" i="24"/>
  <c r="P38" i="24"/>
  <c r="P36" i="24"/>
  <c r="H39" i="32" l="1"/>
  <c r="F40" i="32"/>
  <c r="F39" i="32"/>
  <c r="F41" i="32"/>
  <c r="H41" i="32"/>
  <c r="R50" i="28" l="1"/>
  <c r="E41" i="24"/>
  <c r="F41" i="24" s="1"/>
  <c r="E40" i="24"/>
  <c r="E39" i="24"/>
  <c r="F39" i="24" s="1"/>
  <c r="C41" i="24"/>
  <c r="C40" i="24"/>
  <c r="C39" i="24"/>
  <c r="M41" i="24"/>
  <c r="M40" i="24"/>
  <c r="M39" i="24"/>
  <c r="G64" i="28"/>
  <c r="G63" i="28"/>
  <c r="G62" i="28"/>
  <c r="H62" i="28" s="1"/>
  <c r="I62" i="28" s="1"/>
  <c r="G61" i="28"/>
  <c r="G59" i="28"/>
  <c r="G58" i="28"/>
  <c r="H58" i="28" s="1"/>
  <c r="G57" i="28"/>
  <c r="G56" i="28"/>
  <c r="G54" i="28"/>
  <c r="G53" i="28"/>
  <c r="G52" i="28"/>
  <c r="G51" i="28"/>
  <c r="H51" i="28" s="1"/>
  <c r="R65" i="28"/>
  <c r="R60" i="28"/>
  <c r="R55" i="28"/>
  <c r="H53" i="28"/>
  <c r="I53" i="28" s="1"/>
  <c r="BG53" i="28" s="1"/>
  <c r="H54" i="28"/>
  <c r="I54" i="28" s="1"/>
  <c r="BG54" i="28" s="1"/>
  <c r="BO65" i="28"/>
  <c r="BH65" i="28"/>
  <c r="BA65" i="28"/>
  <c r="AT65" i="28"/>
  <c r="AM65" i="28"/>
  <c r="AF65" i="28"/>
  <c r="Y65" i="28"/>
  <c r="BT64" i="28"/>
  <c r="K64" i="28"/>
  <c r="K63" i="28"/>
  <c r="BT63" i="28" s="1"/>
  <c r="K62" i="28"/>
  <c r="BT62" i="28" s="1"/>
  <c r="BD61" i="28"/>
  <c r="AW61" i="28" s="1"/>
  <c r="AP61" i="28" s="1"/>
  <c r="AI61" i="28" s="1"/>
  <c r="AB61" i="28" s="1"/>
  <c r="V41" i="32" s="1"/>
  <c r="K61" i="28"/>
  <c r="BT61" i="28" s="1"/>
  <c r="BO60" i="28"/>
  <c r="BH60" i="28"/>
  <c r="BA60" i="28"/>
  <c r="AT60" i="28"/>
  <c r="AM60" i="28"/>
  <c r="AF60" i="28"/>
  <c r="Y60" i="28"/>
  <c r="K59" i="28"/>
  <c r="BT59" i="28" s="1"/>
  <c r="K58" i="28"/>
  <c r="BT58" i="28" s="1"/>
  <c r="K57" i="28"/>
  <c r="BD56" i="28"/>
  <c r="AW56" i="28" s="1"/>
  <c r="AP56" i="28" s="1"/>
  <c r="AI56" i="28" s="1"/>
  <c r="AB56" i="28" s="1"/>
  <c r="V40" i="32" s="1"/>
  <c r="K56" i="28"/>
  <c r="BT56" i="28" s="1"/>
  <c r="BO55" i="28"/>
  <c r="BH55" i="28"/>
  <c r="BA55" i="28"/>
  <c r="AT55" i="28"/>
  <c r="AM55" i="28"/>
  <c r="AF55" i="28"/>
  <c r="Y55" i="28"/>
  <c r="K54" i="28"/>
  <c r="BT54" i="28" s="1"/>
  <c r="K53" i="28"/>
  <c r="BT53" i="28" s="1"/>
  <c r="K52" i="28"/>
  <c r="BT52" i="28" s="1"/>
  <c r="BD51" i="28"/>
  <c r="AW51" i="28" s="1"/>
  <c r="AP51" i="28" s="1"/>
  <c r="AI51" i="28" s="1"/>
  <c r="AB51" i="28" s="1"/>
  <c r="V39" i="32" s="1"/>
  <c r="K51" i="28"/>
  <c r="W62" i="32"/>
  <c r="W61" i="32"/>
  <c r="W60" i="32"/>
  <c r="W59" i="32"/>
  <c r="V62" i="32"/>
  <c r="V61" i="32"/>
  <c r="V60" i="32"/>
  <c r="V59" i="32"/>
  <c r="U58" i="32"/>
  <c r="U57" i="32"/>
  <c r="T58" i="32"/>
  <c r="T57" i="32"/>
  <c r="AB26" i="13"/>
  <c r="AB21" i="13"/>
  <c r="AB46" i="13"/>
  <c r="AB41" i="13"/>
  <c r="AB36" i="13"/>
  <c r="AB31" i="13"/>
  <c r="AB51" i="12"/>
  <c r="AB46" i="12"/>
  <c r="AB41" i="12"/>
  <c r="AB36" i="12"/>
  <c r="AB31" i="12"/>
  <c r="W47" i="32"/>
  <c r="V47" i="32"/>
  <c r="AB26" i="12"/>
  <c r="U44" i="32"/>
  <c r="T44" i="32"/>
  <c r="BD16" i="11"/>
  <c r="BG62" i="28" l="1"/>
  <c r="AS62" i="28"/>
  <c r="AE62" i="28"/>
  <c r="Q62" i="28"/>
  <c r="BN62" i="28"/>
  <c r="AZ62" i="28"/>
  <c r="AL62" i="28"/>
  <c r="X62" i="28"/>
  <c r="AL53" i="28"/>
  <c r="BN53" i="28"/>
  <c r="AL54" i="28"/>
  <c r="BN54" i="28"/>
  <c r="Q53" i="28"/>
  <c r="AS53" i="28"/>
  <c r="Q54" i="28"/>
  <c r="AS54" i="28"/>
  <c r="X53" i="28"/>
  <c r="AZ53" i="28"/>
  <c r="X54" i="28"/>
  <c r="AZ54" i="28"/>
  <c r="AE53" i="28"/>
  <c r="AE54" i="28"/>
  <c r="F40" i="24"/>
  <c r="H40" i="24"/>
  <c r="H41" i="24"/>
  <c r="H39" i="24"/>
  <c r="G60" i="28"/>
  <c r="K60" i="28"/>
  <c r="BT57" i="28"/>
  <c r="L62" i="28"/>
  <c r="J62" i="28"/>
  <c r="I64" i="28"/>
  <c r="G65" i="28"/>
  <c r="H63" i="28"/>
  <c r="I63" i="28" s="1"/>
  <c r="K65" i="28"/>
  <c r="H61" i="28"/>
  <c r="I61" i="28" s="1"/>
  <c r="H64" i="28"/>
  <c r="H56" i="28"/>
  <c r="I58" i="28"/>
  <c r="I56" i="28"/>
  <c r="H57" i="28"/>
  <c r="I57" i="28" s="1"/>
  <c r="H59" i="28"/>
  <c r="I59" i="28" s="1"/>
  <c r="G55" i="28"/>
  <c r="H52" i="28"/>
  <c r="I52" i="28" s="1"/>
  <c r="K55" i="28"/>
  <c r="J54" i="28"/>
  <c r="BP54" i="28"/>
  <c r="L54" i="28"/>
  <c r="L53" i="28"/>
  <c r="J53" i="28"/>
  <c r="I51" i="28"/>
  <c r="BT51" i="28"/>
  <c r="BG63" i="28" l="1"/>
  <c r="AS63" i="28"/>
  <c r="AE63" i="28"/>
  <c r="Q63" i="28"/>
  <c r="M65" i="28" s="1"/>
  <c r="BN63" i="28"/>
  <c r="AZ63" i="28"/>
  <c r="AL63" i="28"/>
  <c r="X63" i="28"/>
  <c r="U41" i="24" s="1"/>
  <c r="S41" i="24" s="1"/>
  <c r="X59" i="28"/>
  <c r="BG59" i="28"/>
  <c r="AS59" i="28"/>
  <c r="AE59" i="28"/>
  <c r="Q59" i="28"/>
  <c r="BN59" i="28"/>
  <c r="AZ59" i="28"/>
  <c r="AL59" i="28"/>
  <c r="AE52" i="28"/>
  <c r="W39" i="24" s="1"/>
  <c r="BG52" i="28"/>
  <c r="X52" i="28"/>
  <c r="U39" i="24" s="1"/>
  <c r="S39" i="24" s="1"/>
  <c r="AZ52" i="28"/>
  <c r="AS52" i="28"/>
  <c r="AR52" i="28" s="1"/>
  <c r="Q52" i="28"/>
  <c r="BN52" i="28"/>
  <c r="Y39" i="24" s="1"/>
  <c r="AL52" i="28"/>
  <c r="AN52" i="28" s="1"/>
  <c r="BG64" i="28"/>
  <c r="AS64" i="28"/>
  <c r="AE64" i="28"/>
  <c r="Q64" i="28"/>
  <c r="BN64" i="28"/>
  <c r="BP64" i="28" s="1"/>
  <c r="AZ64" i="28"/>
  <c r="AZ65" i="28" s="1"/>
  <c r="AL64" i="28"/>
  <c r="X64" i="28"/>
  <c r="AZ56" i="28"/>
  <c r="AL56" i="28"/>
  <c r="X56" i="28"/>
  <c r="BG56" i="28"/>
  <c r="AS56" i="28"/>
  <c r="AE56" i="28"/>
  <c r="W40" i="32" s="1"/>
  <c r="Q56" i="28"/>
  <c r="BN56" i="28"/>
  <c r="AL57" i="28"/>
  <c r="X57" i="28"/>
  <c r="U40" i="24" s="1"/>
  <c r="S40" i="24" s="1"/>
  <c r="BG57" i="28"/>
  <c r="AS57" i="28"/>
  <c r="AE57" i="28"/>
  <c r="W40" i="24" s="1"/>
  <c r="Q57" i="28"/>
  <c r="BN57" i="28"/>
  <c r="Y40" i="24" s="1"/>
  <c r="AZ57" i="28"/>
  <c r="X58" i="28"/>
  <c r="BG58" i="28"/>
  <c r="AS58" i="28"/>
  <c r="AE58" i="28"/>
  <c r="Q58" i="28"/>
  <c r="BN58" i="28"/>
  <c r="AZ58" i="28"/>
  <c r="AL58" i="28"/>
  <c r="Y41" i="24"/>
  <c r="Q30" i="34"/>
  <c r="Q41" i="24"/>
  <c r="W41" i="24"/>
  <c r="BG61" i="28"/>
  <c r="AS61" i="28"/>
  <c r="AS65" i="28" s="1"/>
  <c r="AE61" i="28"/>
  <c r="Q61" i="28"/>
  <c r="BN61" i="28"/>
  <c r="AZ61" i="28"/>
  <c r="AL61" i="28"/>
  <c r="X61" i="28"/>
  <c r="BN51" i="28"/>
  <c r="AE51" i="28"/>
  <c r="W39" i="32" s="1"/>
  <c r="BG51" i="28"/>
  <c r="AZ51" i="28"/>
  <c r="Q51" i="28"/>
  <c r="AS51" i="28"/>
  <c r="AL51" i="28"/>
  <c r="X51" i="28"/>
  <c r="L63" i="28"/>
  <c r="J63" i="28"/>
  <c r="J61" i="28"/>
  <c r="I65" i="28"/>
  <c r="J65" i="28" s="1"/>
  <c r="L61" i="28"/>
  <c r="L64" i="28"/>
  <c r="J64" i="28"/>
  <c r="AR62" i="28"/>
  <c r="AU62" i="28"/>
  <c r="AY62" i="28"/>
  <c r="BB62" i="28"/>
  <c r="BF62" i="28"/>
  <c r="BI62" i="28"/>
  <c r="BP62" i="28"/>
  <c r="BM62" i="28"/>
  <c r="AG62" i="28"/>
  <c r="AD62" i="28"/>
  <c r="BS62" i="28"/>
  <c r="S62" i="28"/>
  <c r="P62" i="28"/>
  <c r="W62" i="28"/>
  <c r="Z62" i="28"/>
  <c r="H65" i="28"/>
  <c r="AK62" i="28"/>
  <c r="AN62" i="28"/>
  <c r="BP59" i="28"/>
  <c r="L59" i="28"/>
  <c r="J59" i="28"/>
  <c r="J57" i="28"/>
  <c r="L57" i="28"/>
  <c r="L58" i="28"/>
  <c r="J58" i="28"/>
  <c r="I60" i="28"/>
  <c r="J60" i="28" s="1"/>
  <c r="L56" i="28"/>
  <c r="J56" i="28"/>
  <c r="H60" i="28"/>
  <c r="M55" i="28"/>
  <c r="AD52" i="28"/>
  <c r="L52" i="28"/>
  <c r="BP52" i="28"/>
  <c r="J52" i="28"/>
  <c r="AU52" i="28"/>
  <c r="BB52" i="28"/>
  <c r="Z52" i="28"/>
  <c r="H55" i="28"/>
  <c r="BI53" i="28"/>
  <c r="BF53" i="28"/>
  <c r="BS53" i="28"/>
  <c r="P53" i="28"/>
  <c r="S53" i="28"/>
  <c r="AK53" i="28"/>
  <c r="AN53" i="28"/>
  <c r="BP53" i="28"/>
  <c r="BM53" i="28"/>
  <c r="L51" i="28"/>
  <c r="I55" i="28"/>
  <c r="J55" i="28" s="1"/>
  <c r="J51" i="28"/>
  <c r="Z53" i="28"/>
  <c r="W53" i="28"/>
  <c r="AG53" i="28"/>
  <c r="AD53" i="28"/>
  <c r="BB53" i="28"/>
  <c r="AY53" i="28"/>
  <c r="AR53" i="28"/>
  <c r="AU53" i="28"/>
  <c r="BF52" i="28"/>
  <c r="BI52" i="28"/>
  <c r="BS54" i="28"/>
  <c r="W41" i="32" l="1"/>
  <c r="AE65" i="28"/>
  <c r="BN60" i="28"/>
  <c r="Y39" i="32"/>
  <c r="I39" i="32" s="1"/>
  <c r="Q29" i="34"/>
  <c r="Q40" i="24"/>
  <c r="M60" i="28"/>
  <c r="AS60" i="28"/>
  <c r="O41" i="24"/>
  <c r="AA41" i="24" s="1"/>
  <c r="G41" i="24"/>
  <c r="AB41" i="24"/>
  <c r="I41" i="24"/>
  <c r="AE60" i="28"/>
  <c r="AL65" i="28"/>
  <c r="Q28" i="34"/>
  <c r="Q39" i="24"/>
  <c r="X65" i="28"/>
  <c r="BN65" i="28"/>
  <c r="Y41" i="32"/>
  <c r="I41" i="32" s="1"/>
  <c r="BG65" i="28"/>
  <c r="G30" i="34"/>
  <c r="O30" i="34"/>
  <c r="Y40" i="32"/>
  <c r="BG60" i="28"/>
  <c r="AK52" i="28"/>
  <c r="AA39" i="32"/>
  <c r="AL60" i="28"/>
  <c r="X60" i="28"/>
  <c r="AZ60" i="28"/>
  <c r="AG52" i="28"/>
  <c r="W52" i="28"/>
  <c r="L55" i="28"/>
  <c r="BM52" i="28"/>
  <c r="AY52" i="28"/>
  <c r="BS64" i="28"/>
  <c r="AU61" i="28"/>
  <c r="AG61" i="28"/>
  <c r="BP63" i="28"/>
  <c r="BM63" i="28"/>
  <c r="BI63" i="28"/>
  <c r="BF63" i="28"/>
  <c r="BS63" i="28"/>
  <c r="S63" i="28"/>
  <c r="P63" i="28"/>
  <c r="BS61" i="28"/>
  <c r="Q65" i="28"/>
  <c r="S61" i="28"/>
  <c r="BI61" i="28"/>
  <c r="W63" i="28"/>
  <c r="Z63" i="28"/>
  <c r="AK63" i="28"/>
  <c r="AN63" i="28"/>
  <c r="L65" i="28"/>
  <c r="AG63" i="28"/>
  <c r="AD63" i="28"/>
  <c r="Z61" i="28"/>
  <c r="BB63" i="28"/>
  <c r="AY63" i="28"/>
  <c r="AN61" i="28"/>
  <c r="BB61" i="28"/>
  <c r="AU63" i="28"/>
  <c r="AR63" i="28"/>
  <c r="BP61" i="28"/>
  <c r="L60" i="28"/>
  <c r="BP57" i="28"/>
  <c r="BM57" i="28"/>
  <c r="AN56" i="28"/>
  <c r="AY57" i="28"/>
  <c r="BB57" i="28"/>
  <c r="AG57" i="28"/>
  <c r="AD57" i="28"/>
  <c r="AN57" i="28"/>
  <c r="AK57" i="28"/>
  <c r="BS58" i="28"/>
  <c r="S58" i="28"/>
  <c r="P58" i="28"/>
  <c r="BF58" i="28"/>
  <c r="BI58" i="28"/>
  <c r="Z58" i="28"/>
  <c r="W58" i="28"/>
  <c r="BB56" i="28"/>
  <c r="BP58" i="28"/>
  <c r="BM58" i="28"/>
  <c r="BS56" i="28"/>
  <c r="Q60" i="28"/>
  <c r="S56" i="28"/>
  <c r="AK58" i="28"/>
  <c r="AN58" i="28"/>
  <c r="Z56" i="28"/>
  <c r="AU57" i="28"/>
  <c r="AR57" i="28"/>
  <c r="AU56" i="28"/>
  <c r="BS57" i="28"/>
  <c r="S57" i="28"/>
  <c r="P57" i="28"/>
  <c r="AY58" i="28"/>
  <c r="BB58" i="28"/>
  <c r="BS59" i="28"/>
  <c r="AU58" i="28"/>
  <c r="AR58" i="28"/>
  <c r="AG58" i="28"/>
  <c r="AD58" i="28"/>
  <c r="BI56" i="28"/>
  <c r="BP56" i="28"/>
  <c r="BI57" i="28"/>
  <c r="BF57" i="28"/>
  <c r="AG56" i="28"/>
  <c r="W57" i="28"/>
  <c r="Z57" i="28"/>
  <c r="BS52" i="28"/>
  <c r="S52" i="28"/>
  <c r="P52" i="28"/>
  <c r="BG55" i="28"/>
  <c r="BI51" i="28"/>
  <c r="AE55" i="28"/>
  <c r="AG51" i="28"/>
  <c r="BS51" i="28"/>
  <c r="Q55" i="28"/>
  <c r="S51" i="28"/>
  <c r="AS55" i="28"/>
  <c r="AU51" i="28"/>
  <c r="AL55" i="28"/>
  <c r="AN51" i="28"/>
  <c r="Z51" i="28"/>
  <c r="X55" i="28"/>
  <c r="BN55" i="28"/>
  <c r="BP51" i="28"/>
  <c r="BB51" i="28"/>
  <c r="AZ55" i="28"/>
  <c r="AB40" i="32" l="1"/>
  <c r="AA40" i="32"/>
  <c r="I40" i="32"/>
  <c r="O29" i="34"/>
  <c r="G29" i="34"/>
  <c r="AB41" i="32"/>
  <c r="AA41" i="32"/>
  <c r="O28" i="34"/>
  <c r="G28" i="34"/>
  <c r="G40" i="24"/>
  <c r="O40" i="24"/>
  <c r="AA40" i="24" s="1"/>
  <c r="I40" i="24"/>
  <c r="AB40" i="24"/>
  <c r="I39" i="24"/>
  <c r="O39" i="24"/>
  <c r="AA39" i="24" s="1"/>
  <c r="AB39" i="24"/>
  <c r="G39" i="24"/>
  <c r="AB39" i="32"/>
  <c r="BF65" i="28"/>
  <c r="BI65" i="28"/>
  <c r="P65" i="28"/>
  <c r="S65" i="28"/>
  <c r="Z65" i="28"/>
  <c r="W65" i="28"/>
  <c r="BB65" i="28"/>
  <c r="AY65" i="28"/>
  <c r="AK65" i="28"/>
  <c r="AN65" i="28"/>
  <c r="BP65" i="28"/>
  <c r="BM65" i="28"/>
  <c r="AG65" i="28"/>
  <c r="AD65" i="28"/>
  <c r="AR65" i="28"/>
  <c r="AU65" i="28"/>
  <c r="BP60" i="28"/>
  <c r="BM60" i="28"/>
  <c r="S60" i="28"/>
  <c r="P60" i="28"/>
  <c r="Z60" i="28"/>
  <c r="W60" i="28"/>
  <c r="AD60" i="28"/>
  <c r="AG60" i="28"/>
  <c r="AK60" i="28"/>
  <c r="AN60" i="28"/>
  <c r="AU60" i="28"/>
  <c r="AR60" i="28"/>
  <c r="BF60" i="28"/>
  <c r="BI60" i="28"/>
  <c r="AY60" i="28"/>
  <c r="BB60" i="28"/>
  <c r="Z55" i="28"/>
  <c r="W55" i="28"/>
  <c r="AU55" i="28"/>
  <c r="AR55" i="28"/>
  <c r="BP55" i="28"/>
  <c r="BM55" i="28"/>
  <c r="AN55" i="28"/>
  <c r="AK55" i="28"/>
  <c r="S55" i="28"/>
  <c r="P55" i="28"/>
  <c r="AD55" i="28"/>
  <c r="AG55" i="28"/>
  <c r="BB55" i="28"/>
  <c r="AY55" i="28"/>
  <c r="BF55" i="28"/>
  <c r="BI55" i="28"/>
  <c r="W64" i="32" l="1"/>
  <c r="N63" i="32"/>
  <c r="S62" i="32"/>
  <c r="O62" i="32"/>
  <c r="E62" i="32"/>
  <c r="C62" i="32"/>
  <c r="S61" i="32"/>
  <c r="O61" i="32"/>
  <c r="E61" i="32"/>
  <c r="F61" i="32" s="1"/>
  <c r="C61" i="32"/>
  <c r="S60" i="32"/>
  <c r="O60" i="32"/>
  <c r="E60" i="32"/>
  <c r="F60" i="32" s="1"/>
  <c r="C60" i="32"/>
  <c r="S59" i="32"/>
  <c r="O59" i="32"/>
  <c r="E59" i="32"/>
  <c r="C59" i="32"/>
  <c r="S58" i="32"/>
  <c r="O58" i="32"/>
  <c r="G58" i="32"/>
  <c r="E58" i="32"/>
  <c r="H58" i="32" s="1"/>
  <c r="C58" i="32"/>
  <c r="S57" i="32"/>
  <c r="O57" i="32"/>
  <c r="L57" i="32"/>
  <c r="K57" i="32"/>
  <c r="J57" i="32"/>
  <c r="E57" i="32"/>
  <c r="H57" i="32" s="1"/>
  <c r="C57" i="32"/>
  <c r="Q64" i="32"/>
  <c r="E56" i="32"/>
  <c r="C56" i="32"/>
  <c r="O55" i="32"/>
  <c r="G55" i="32"/>
  <c r="E55" i="32"/>
  <c r="H55" i="32" s="1"/>
  <c r="C55" i="32"/>
  <c r="W54" i="32"/>
  <c r="W53" i="32" s="1"/>
  <c r="Q54" i="32"/>
  <c r="Q53" i="32" s="1"/>
  <c r="N53" i="32"/>
  <c r="L54" i="32"/>
  <c r="L53" i="32" s="1"/>
  <c r="S52" i="32"/>
  <c r="O52" i="32"/>
  <c r="G52" i="32"/>
  <c r="E52" i="32"/>
  <c r="C52" i="32"/>
  <c r="S51" i="32"/>
  <c r="O51" i="32"/>
  <c r="G51" i="32"/>
  <c r="E51" i="32"/>
  <c r="C51" i="32"/>
  <c r="S50" i="32"/>
  <c r="O50" i="32"/>
  <c r="G50" i="32"/>
  <c r="E50" i="32"/>
  <c r="C50" i="32"/>
  <c r="S49" i="32"/>
  <c r="O49" i="32"/>
  <c r="G49" i="32"/>
  <c r="E49" i="32"/>
  <c r="C49" i="32"/>
  <c r="S48" i="32"/>
  <c r="O48" i="32"/>
  <c r="G48" i="32"/>
  <c r="E48" i="32"/>
  <c r="C48" i="32"/>
  <c r="S47" i="32"/>
  <c r="O47" i="32"/>
  <c r="G47" i="32"/>
  <c r="E47" i="32"/>
  <c r="C47" i="32"/>
  <c r="U54" i="32"/>
  <c r="U53" i="32" s="1"/>
  <c r="S46" i="32"/>
  <c r="O46" i="32"/>
  <c r="J46" i="32"/>
  <c r="I46" i="32" s="1"/>
  <c r="G46" i="32"/>
  <c r="E46" i="32"/>
  <c r="F46" i="32" s="1"/>
  <c r="C46" i="32"/>
  <c r="S45" i="32"/>
  <c r="O45" i="32"/>
  <c r="J45" i="32"/>
  <c r="I45" i="32" s="1"/>
  <c r="G45" i="32"/>
  <c r="E45" i="32"/>
  <c r="F45" i="32" s="1"/>
  <c r="C45" i="32"/>
  <c r="S44" i="32"/>
  <c r="O44" i="32"/>
  <c r="M54" i="32"/>
  <c r="M53" i="32" s="1"/>
  <c r="J44" i="32"/>
  <c r="J54" i="32" s="1"/>
  <c r="J53" i="32" s="1"/>
  <c r="G44" i="32"/>
  <c r="G54" i="32" s="1"/>
  <c r="G53" i="32" s="1"/>
  <c r="E44" i="32"/>
  <c r="C44" i="32"/>
  <c r="N42" i="32"/>
  <c r="S38" i="32"/>
  <c r="O38" i="32"/>
  <c r="M38" i="32"/>
  <c r="G38" i="32"/>
  <c r="E38" i="32"/>
  <c r="H38" i="32" s="1"/>
  <c r="C38" i="32"/>
  <c r="S37" i="32"/>
  <c r="O37" i="32"/>
  <c r="M37" i="32"/>
  <c r="G37" i="32"/>
  <c r="E37" i="32"/>
  <c r="H37" i="32" s="1"/>
  <c r="C37" i="32"/>
  <c r="S36" i="32"/>
  <c r="Q42" i="32"/>
  <c r="O36" i="32"/>
  <c r="M36" i="32"/>
  <c r="G36" i="32"/>
  <c r="E36" i="32"/>
  <c r="C36" i="32"/>
  <c r="S35" i="32"/>
  <c r="O35" i="32"/>
  <c r="M35" i="32"/>
  <c r="G35" i="32"/>
  <c r="E35" i="32"/>
  <c r="C35" i="32"/>
  <c r="S34" i="32"/>
  <c r="O34" i="32"/>
  <c r="M34" i="32"/>
  <c r="G34" i="32"/>
  <c r="E34" i="32"/>
  <c r="C34" i="32"/>
  <c r="S33" i="32"/>
  <c r="O33" i="32"/>
  <c r="M33" i="32"/>
  <c r="G33" i="32"/>
  <c r="E33" i="32"/>
  <c r="C33" i="32"/>
  <c r="S32" i="32"/>
  <c r="O32" i="32"/>
  <c r="M32" i="32"/>
  <c r="G32" i="32"/>
  <c r="E32" i="32"/>
  <c r="C32" i="32"/>
  <c r="U42" i="32"/>
  <c r="S31" i="32"/>
  <c r="O31" i="32"/>
  <c r="O43" i="32" s="1"/>
  <c r="M31" i="32"/>
  <c r="G31" i="32"/>
  <c r="E31" i="32"/>
  <c r="C31" i="32"/>
  <c r="W30" i="32"/>
  <c r="W29" i="32" s="1"/>
  <c r="N29" i="32"/>
  <c r="O28" i="32"/>
  <c r="E28" i="32"/>
  <c r="F28" i="32" s="1"/>
  <c r="C28" i="32"/>
  <c r="O27" i="32"/>
  <c r="K27" i="32"/>
  <c r="E27" i="32"/>
  <c r="C27" i="32"/>
  <c r="O26" i="32"/>
  <c r="G26" i="32"/>
  <c r="E26" i="32"/>
  <c r="C26" i="32"/>
  <c r="O25" i="32"/>
  <c r="L25" i="32"/>
  <c r="G25" i="32" s="1"/>
  <c r="K25" i="32"/>
  <c r="E25" i="32"/>
  <c r="C25" i="32"/>
  <c r="O24" i="32"/>
  <c r="G24" i="32"/>
  <c r="E24" i="32"/>
  <c r="C24" i="32"/>
  <c r="O23" i="32"/>
  <c r="G23" i="32"/>
  <c r="E23" i="32"/>
  <c r="H23" i="32" s="1"/>
  <c r="C23" i="32"/>
  <c r="O22" i="32"/>
  <c r="G22" i="32"/>
  <c r="E22" i="32"/>
  <c r="F22" i="32" s="1"/>
  <c r="C22" i="32"/>
  <c r="O21" i="32"/>
  <c r="L21" i="32"/>
  <c r="G21" i="32" s="1"/>
  <c r="K21" i="32"/>
  <c r="E21" i="32"/>
  <c r="F21" i="32" s="1"/>
  <c r="C21" i="32"/>
  <c r="G20" i="32"/>
  <c r="O20" i="32"/>
  <c r="E20" i="32"/>
  <c r="H20" i="32" s="1"/>
  <c r="C20" i="32"/>
  <c r="N18" i="32"/>
  <c r="O17" i="32"/>
  <c r="E17" i="32"/>
  <c r="C17" i="32"/>
  <c r="O16" i="32"/>
  <c r="E16" i="32"/>
  <c r="C16" i="32"/>
  <c r="O15" i="32"/>
  <c r="E15" i="32"/>
  <c r="C15" i="32"/>
  <c r="S14" i="32"/>
  <c r="K14" i="32"/>
  <c r="E14" i="32"/>
  <c r="C14" i="32"/>
  <c r="S13" i="32"/>
  <c r="E13" i="32"/>
  <c r="C13" i="32"/>
  <c r="O12" i="32"/>
  <c r="G12" i="32"/>
  <c r="E12" i="32"/>
  <c r="C12" i="32"/>
  <c r="B42" i="37" s="1"/>
  <c r="S11" i="32"/>
  <c r="E11" i="32"/>
  <c r="C11" i="32"/>
  <c r="S10" i="32"/>
  <c r="M19" i="32"/>
  <c r="E10" i="32"/>
  <c r="C10" i="32"/>
  <c r="S9" i="32"/>
  <c r="O9" i="32"/>
  <c r="G9" i="32"/>
  <c r="C9" i="32"/>
  <c r="B12" i="1" s="1"/>
  <c r="S8" i="32"/>
  <c r="K8" i="32"/>
  <c r="C8" i="32"/>
  <c r="S7" i="32"/>
  <c r="K7" i="32"/>
  <c r="C7" i="32"/>
  <c r="S6" i="32"/>
  <c r="K6" i="32"/>
  <c r="J6" i="32"/>
  <c r="E6" i="32"/>
  <c r="E34" i="37" s="1"/>
  <c r="C6" i="32"/>
  <c r="S4" i="32"/>
  <c r="U22" i="31"/>
  <c r="U19" i="31"/>
  <c r="U21" i="31"/>
  <c r="B44" i="37" l="1"/>
  <c r="B20" i="1"/>
  <c r="C42" i="4"/>
  <c r="C33" i="36" s="1"/>
  <c r="B34" i="37"/>
  <c r="B9" i="1"/>
  <c r="C32" i="4"/>
  <c r="C21" i="36" s="1"/>
  <c r="E42" i="37"/>
  <c r="E15" i="1"/>
  <c r="D40" i="4"/>
  <c r="E39" i="37"/>
  <c r="E17" i="1"/>
  <c r="D37" i="4"/>
  <c r="B36" i="37"/>
  <c r="B14" i="1"/>
  <c r="C35" i="4"/>
  <c r="C24" i="36" s="1"/>
  <c r="E38" i="37"/>
  <c r="E16" i="1"/>
  <c r="D36" i="4"/>
  <c r="B41" i="37"/>
  <c r="B13" i="1"/>
  <c r="C39" i="4"/>
  <c r="C29" i="36" s="1"/>
  <c r="E41" i="37"/>
  <c r="E13" i="1"/>
  <c r="D39" i="4"/>
  <c r="B43" i="37"/>
  <c r="B18" i="1"/>
  <c r="C41" i="4"/>
  <c r="C31" i="36" s="1"/>
  <c r="E36" i="37"/>
  <c r="E14" i="1"/>
  <c r="D35" i="4"/>
  <c r="B45" i="37"/>
  <c r="B19" i="1"/>
  <c r="C43" i="4"/>
  <c r="C32" i="36" s="1"/>
  <c r="F17" i="32"/>
  <c r="E44" i="37"/>
  <c r="E20" i="1"/>
  <c r="D42" i="4"/>
  <c r="B38" i="37"/>
  <c r="B16" i="1"/>
  <c r="C36" i="4"/>
  <c r="C25" i="36" s="1"/>
  <c r="B39" i="37"/>
  <c r="B17" i="1"/>
  <c r="C37" i="4"/>
  <c r="C26" i="36" s="1"/>
  <c r="G24" i="38"/>
  <c r="T34" i="37"/>
  <c r="V24" i="38" s="1"/>
  <c r="R34" i="37"/>
  <c r="P34" i="37"/>
  <c r="H34" i="37"/>
  <c r="J34" i="37"/>
  <c r="E43" i="37"/>
  <c r="E18" i="1"/>
  <c r="D41" i="4"/>
  <c r="B35" i="37"/>
  <c r="B10" i="1"/>
  <c r="C33" i="4"/>
  <c r="C22" i="36" s="1"/>
  <c r="H16" i="32"/>
  <c r="E45" i="37"/>
  <c r="E19" i="1"/>
  <c r="D43" i="4"/>
  <c r="B37" i="37"/>
  <c r="B11" i="1"/>
  <c r="C34" i="4"/>
  <c r="C23" i="36" s="1"/>
  <c r="E9" i="1"/>
  <c r="D32" i="4"/>
  <c r="B15" i="1"/>
  <c r="C40" i="4"/>
  <c r="C30" i="36" s="1"/>
  <c r="S43" i="32"/>
  <c r="H31" i="32"/>
  <c r="E42" i="32"/>
  <c r="M43" i="32"/>
  <c r="H27" i="32"/>
  <c r="F24" i="32"/>
  <c r="H22" i="32"/>
  <c r="H56" i="32"/>
  <c r="H64" i="32" s="1"/>
  <c r="H25" i="32"/>
  <c r="F49" i="32"/>
  <c r="F55" i="32"/>
  <c r="F23" i="32"/>
  <c r="H32" i="32"/>
  <c r="H34" i="32"/>
  <c r="H36" i="32"/>
  <c r="F47" i="32"/>
  <c r="H47" i="32"/>
  <c r="F25" i="32"/>
  <c r="F48" i="32"/>
  <c r="F26" i="32"/>
  <c r="F27" i="32"/>
  <c r="F50" i="32"/>
  <c r="F51" i="32"/>
  <c r="H21" i="32"/>
  <c r="F31" i="32"/>
  <c r="F52" i="32"/>
  <c r="F32" i="32"/>
  <c r="E53" i="32"/>
  <c r="F33" i="32"/>
  <c r="F56" i="32"/>
  <c r="H33" i="32"/>
  <c r="H35" i="32"/>
  <c r="F34" i="32"/>
  <c r="F57" i="32"/>
  <c r="H44" i="32"/>
  <c r="H54" i="32" s="1"/>
  <c r="F35" i="32"/>
  <c r="F58" i="32"/>
  <c r="F36" i="32"/>
  <c r="F59" i="32"/>
  <c r="F37" i="32"/>
  <c r="F20" i="32"/>
  <c r="F38" i="32"/>
  <c r="F44" i="32"/>
  <c r="F62" i="32"/>
  <c r="F10" i="32"/>
  <c r="F14" i="32"/>
  <c r="F12" i="32"/>
  <c r="H17" i="32"/>
  <c r="H15" i="32"/>
  <c r="F11" i="32"/>
  <c r="F15" i="32"/>
  <c r="H6" i="32"/>
  <c r="F16" i="32"/>
  <c r="F13" i="32"/>
  <c r="H14" i="32"/>
  <c r="H10" i="32"/>
  <c r="H12" i="32"/>
  <c r="F4" i="32"/>
  <c r="F6" i="32"/>
  <c r="AA46" i="32"/>
  <c r="S54" i="32"/>
  <c r="S53" i="32" s="1"/>
  <c r="O54" i="32"/>
  <c r="O53" i="32" s="1"/>
  <c r="AA45" i="32"/>
  <c r="R42" i="32"/>
  <c r="M18" i="32"/>
  <c r="O30" i="32"/>
  <c r="O29" i="32" s="1"/>
  <c r="S42" i="32"/>
  <c r="G15" i="32"/>
  <c r="G16" i="32"/>
  <c r="G17" i="32"/>
  <c r="O56" i="32"/>
  <c r="H26" i="32"/>
  <c r="S28" i="32"/>
  <c r="H46" i="32"/>
  <c r="H48" i="32"/>
  <c r="H49" i="32"/>
  <c r="H50" i="32"/>
  <c r="H51" i="32"/>
  <c r="H52" i="32"/>
  <c r="Q63" i="32"/>
  <c r="H45" i="32"/>
  <c r="H11" i="32"/>
  <c r="E29" i="32"/>
  <c r="M30" i="32"/>
  <c r="M29" i="32" s="1"/>
  <c r="N66" i="32"/>
  <c r="N65" i="32" s="1"/>
  <c r="L64" i="32"/>
  <c r="Q30" i="32"/>
  <c r="Q29" i="32" s="1"/>
  <c r="G57" i="32"/>
  <c r="H4" i="32"/>
  <c r="G56" i="32"/>
  <c r="E63" i="32"/>
  <c r="H13" i="32"/>
  <c r="H24" i="32"/>
  <c r="C11" i="31"/>
  <c r="AJ11" i="31"/>
  <c r="AI11" i="31"/>
  <c r="AH11" i="31"/>
  <c r="AG11" i="31"/>
  <c r="AF11" i="31"/>
  <c r="AE11" i="31"/>
  <c r="AD11" i="31"/>
  <c r="AC11" i="31"/>
  <c r="AB11" i="31"/>
  <c r="AA11" i="31"/>
  <c r="Z11" i="31"/>
  <c r="Y11" i="31"/>
  <c r="W11" i="31"/>
  <c r="V11" i="31"/>
  <c r="U11" i="31"/>
  <c r="O11" i="31"/>
  <c r="J11" i="31"/>
  <c r="T47" i="31"/>
  <c r="Q47" i="31"/>
  <c r="Q46" i="31"/>
  <c r="K46" i="31" s="1"/>
  <c r="I46" i="31" s="1"/>
  <c r="Q45" i="31"/>
  <c r="K45" i="31" s="1"/>
  <c r="M47" i="31"/>
  <c r="K47" i="31" s="1"/>
  <c r="M46" i="31"/>
  <c r="M45" i="31"/>
  <c r="M11" i="31" s="1"/>
  <c r="Q44" i="31"/>
  <c r="P44" i="31"/>
  <c r="L44" i="31"/>
  <c r="S43" i="31"/>
  <c r="S11" i="31" s="1"/>
  <c r="Q43" i="31"/>
  <c r="Q11" i="31" s="1"/>
  <c r="T42" i="31"/>
  <c r="K42" i="31" s="1"/>
  <c r="R42" i="31"/>
  <c r="R11" i="31" s="1"/>
  <c r="P42" i="31"/>
  <c r="P41" i="31"/>
  <c r="L41" i="31"/>
  <c r="L11" i="31" s="1"/>
  <c r="E47" i="31"/>
  <c r="E46" i="31"/>
  <c r="E45" i="31"/>
  <c r="G45" i="31" s="1"/>
  <c r="E44" i="31"/>
  <c r="G44" i="31" s="1"/>
  <c r="E43" i="31"/>
  <c r="G43" i="31" s="1"/>
  <c r="E42" i="31"/>
  <c r="G42" i="31" s="1"/>
  <c r="E41" i="31"/>
  <c r="G41" i="31" s="1"/>
  <c r="E40" i="31"/>
  <c r="G40" i="31" s="1"/>
  <c r="P40" i="31"/>
  <c r="P11" i="31" s="1"/>
  <c r="N40" i="31"/>
  <c r="J40" i="31"/>
  <c r="X46" i="31"/>
  <c r="X45" i="31"/>
  <c r="X44" i="31"/>
  <c r="G46" i="31"/>
  <c r="D47" i="31"/>
  <c r="D46" i="31"/>
  <c r="D45" i="31"/>
  <c r="D44" i="31"/>
  <c r="D43" i="31"/>
  <c r="D42" i="31"/>
  <c r="D41" i="31"/>
  <c r="D40" i="31"/>
  <c r="AJ10" i="31"/>
  <c r="AI10" i="31"/>
  <c r="AH10" i="31"/>
  <c r="AG10" i="31"/>
  <c r="AF10" i="31"/>
  <c r="AE10" i="31"/>
  <c r="AD10" i="31"/>
  <c r="AC10" i="31"/>
  <c r="AB10" i="31"/>
  <c r="AA10" i="31"/>
  <c r="Z10" i="31"/>
  <c r="Y10" i="31"/>
  <c r="W10" i="31"/>
  <c r="V10" i="31"/>
  <c r="U10" i="31"/>
  <c r="T10" i="31"/>
  <c r="S10" i="31"/>
  <c r="R10" i="31"/>
  <c r="Q10" i="31"/>
  <c r="P10" i="31"/>
  <c r="O10" i="31"/>
  <c r="N10" i="31"/>
  <c r="M10" i="31"/>
  <c r="L10" i="31"/>
  <c r="J39" i="31"/>
  <c r="J38" i="31"/>
  <c r="J37" i="31"/>
  <c r="J10" i="31" s="1"/>
  <c r="E39" i="31"/>
  <c r="G39" i="31" s="1"/>
  <c r="E38" i="31"/>
  <c r="G38" i="31" s="1"/>
  <c r="E37" i="31"/>
  <c r="G37" i="31" s="1"/>
  <c r="D39" i="31"/>
  <c r="D38" i="31"/>
  <c r="D37" i="31"/>
  <c r="AJ9" i="31"/>
  <c r="AI9" i="31"/>
  <c r="AH9" i="31"/>
  <c r="AG9" i="31"/>
  <c r="AF9" i="31"/>
  <c r="AE9" i="31"/>
  <c r="AD9" i="31"/>
  <c r="AC9" i="31"/>
  <c r="AB9" i="31"/>
  <c r="AA9" i="31"/>
  <c r="Z9" i="31"/>
  <c r="Y9" i="31"/>
  <c r="W9" i="31"/>
  <c r="V9" i="31"/>
  <c r="U9" i="31"/>
  <c r="S9" i="31"/>
  <c r="R9" i="31"/>
  <c r="Q9" i="31"/>
  <c r="P9" i="31"/>
  <c r="O9" i="31"/>
  <c r="N9" i="31"/>
  <c r="M9" i="31"/>
  <c r="L9" i="31"/>
  <c r="T36" i="31"/>
  <c r="K36" i="31" s="1"/>
  <c r="J9" i="31"/>
  <c r="E36" i="31"/>
  <c r="G36" i="31" s="1"/>
  <c r="E35" i="31"/>
  <c r="G35" i="31" s="1"/>
  <c r="D36" i="31"/>
  <c r="D35" i="31"/>
  <c r="AJ8" i="31"/>
  <c r="AI8" i="31"/>
  <c r="AH8" i="31"/>
  <c r="AG8" i="31"/>
  <c r="AF8" i="31"/>
  <c r="AE8" i="31"/>
  <c r="AD8" i="31"/>
  <c r="AC8" i="31"/>
  <c r="AB8" i="31"/>
  <c r="AA8" i="31"/>
  <c r="Z8" i="31"/>
  <c r="Y8" i="31"/>
  <c r="W8" i="31"/>
  <c r="V8" i="31"/>
  <c r="U8" i="31"/>
  <c r="N8" i="31"/>
  <c r="M8" i="31"/>
  <c r="L8" i="31"/>
  <c r="J8" i="31"/>
  <c r="R34" i="31"/>
  <c r="Q34" i="31"/>
  <c r="R33" i="31"/>
  <c r="K33" i="31" s="1"/>
  <c r="Q32" i="31"/>
  <c r="S32" i="31"/>
  <c r="R31" i="31"/>
  <c r="Q31" i="31"/>
  <c r="T30" i="31"/>
  <c r="S30" i="31"/>
  <c r="Q30" i="31"/>
  <c r="Q29" i="31"/>
  <c r="K29" i="31" s="1"/>
  <c r="Q28" i="31"/>
  <c r="K28" i="31" s="1"/>
  <c r="S27" i="31"/>
  <c r="R27" i="31"/>
  <c r="O27" i="31"/>
  <c r="O8" i="31" s="1"/>
  <c r="S26" i="31"/>
  <c r="P26" i="31"/>
  <c r="P8" i="31" s="1"/>
  <c r="E34" i="31"/>
  <c r="G34" i="31" s="1"/>
  <c r="E33" i="31"/>
  <c r="G33" i="31" s="1"/>
  <c r="E32" i="31"/>
  <c r="G32" i="31" s="1"/>
  <c r="E31" i="31"/>
  <c r="G31" i="31" s="1"/>
  <c r="E30" i="31"/>
  <c r="G30" i="31" s="1"/>
  <c r="E29" i="31"/>
  <c r="G29" i="31" s="1"/>
  <c r="E28" i="31"/>
  <c r="G28" i="31" s="1"/>
  <c r="E27" i="31"/>
  <c r="G27" i="31" s="1"/>
  <c r="E26" i="31"/>
  <c r="G26" i="31" s="1"/>
  <c r="D34" i="31"/>
  <c r="D33" i="31"/>
  <c r="D32" i="31"/>
  <c r="D31" i="31"/>
  <c r="D30" i="31"/>
  <c r="D29" i="31"/>
  <c r="D28" i="31"/>
  <c r="D27" i="31"/>
  <c r="D26" i="31"/>
  <c r="X43" i="31"/>
  <c r="X42" i="31"/>
  <c r="X41" i="31"/>
  <c r="K41" i="31"/>
  <c r="X40" i="31"/>
  <c r="X11" i="31" s="1"/>
  <c r="X39" i="31"/>
  <c r="K39" i="31"/>
  <c r="I39" i="31" s="1"/>
  <c r="X38" i="31"/>
  <c r="K38" i="31"/>
  <c r="X37" i="31"/>
  <c r="K37" i="31"/>
  <c r="X36" i="31"/>
  <c r="X35" i="31"/>
  <c r="X9" i="31" s="1"/>
  <c r="K35" i="31"/>
  <c r="X34" i="31"/>
  <c r="X33" i="31"/>
  <c r="X32" i="31"/>
  <c r="X31" i="31"/>
  <c r="X30" i="31"/>
  <c r="X29" i="31"/>
  <c r="X28" i="31"/>
  <c r="X27" i="31"/>
  <c r="C27" i="31"/>
  <c r="C28" i="31" s="1"/>
  <c r="C29" i="31" s="1"/>
  <c r="C30" i="31" s="1"/>
  <c r="C31" i="31" s="1"/>
  <c r="C32" i="31" s="1"/>
  <c r="C33" i="31" s="1"/>
  <c r="C34" i="31" s="1"/>
  <c r="C36" i="31" s="1"/>
  <c r="C38" i="31" s="1"/>
  <c r="C39" i="31" s="1"/>
  <c r="C41" i="31" s="1"/>
  <c r="C42" i="31" s="1"/>
  <c r="C43" i="31" s="1"/>
  <c r="C44" i="31" s="1"/>
  <c r="C45" i="31" s="1"/>
  <c r="C46" i="31" s="1"/>
  <c r="C47" i="31" s="1"/>
  <c r="X26" i="31"/>
  <c r="T25" i="31"/>
  <c r="K25" i="31" s="1"/>
  <c r="T23" i="31"/>
  <c r="R22" i="31"/>
  <c r="S21" i="31"/>
  <c r="Q21" i="31"/>
  <c r="Q20" i="31"/>
  <c r="K20" i="31" s="1"/>
  <c r="S19" i="31"/>
  <c r="T16" i="31"/>
  <c r="S16" i="31"/>
  <c r="R15" i="31"/>
  <c r="O15" i="31"/>
  <c r="Q14" i="31"/>
  <c r="N14" i="31"/>
  <c r="N7" i="31" s="1"/>
  <c r="G47" i="31"/>
  <c r="M6" i="31"/>
  <c r="E25" i="31"/>
  <c r="E24" i="31"/>
  <c r="E23" i="31"/>
  <c r="E22" i="31"/>
  <c r="E21" i="31"/>
  <c r="E20" i="31"/>
  <c r="E19" i="31"/>
  <c r="E18" i="31"/>
  <c r="E14" i="31"/>
  <c r="G12" i="31"/>
  <c r="H12" i="31" s="1"/>
  <c r="D25" i="31"/>
  <c r="D24" i="31"/>
  <c r="D23" i="31"/>
  <c r="D22" i="31"/>
  <c r="D21" i="31"/>
  <c r="D20" i="31"/>
  <c r="D19" i="31"/>
  <c r="D18" i="31"/>
  <c r="D17" i="31"/>
  <c r="D16" i="31"/>
  <c r="D15" i="31"/>
  <c r="D14" i="31"/>
  <c r="X47" i="31"/>
  <c r="X25" i="31"/>
  <c r="X24" i="31"/>
  <c r="X23" i="31"/>
  <c r="X22" i="31"/>
  <c r="X21" i="31"/>
  <c r="X20" i="31"/>
  <c r="X19" i="31"/>
  <c r="X18" i="31"/>
  <c r="X17" i="31"/>
  <c r="X16" i="31"/>
  <c r="X15" i="31"/>
  <c r="X14" i="31"/>
  <c r="C14" i="31"/>
  <c r="C15" i="31" s="1"/>
  <c r="C16" i="31" s="1"/>
  <c r="C17" i="31" s="1"/>
  <c r="C18" i="31" s="1"/>
  <c r="C19" i="31" s="1"/>
  <c r="C20" i="31" s="1"/>
  <c r="C21" i="31" s="1"/>
  <c r="C22" i="31" s="1"/>
  <c r="C23" i="31" s="1"/>
  <c r="C24" i="31" s="1"/>
  <c r="C25" i="31" s="1"/>
  <c r="C7" i="31" s="1"/>
  <c r="X12" i="31"/>
  <c r="AJ7" i="31"/>
  <c r="AI7" i="31"/>
  <c r="AH7" i="31"/>
  <c r="AG7" i="31"/>
  <c r="AF7" i="31"/>
  <c r="AE7" i="31"/>
  <c r="AD7" i="31"/>
  <c r="AC7" i="31"/>
  <c r="AB7" i="31"/>
  <c r="AA7" i="31"/>
  <c r="Z7" i="31"/>
  <c r="Y7" i="31"/>
  <c r="W7" i="31"/>
  <c r="V7" i="31"/>
  <c r="U7" i="31"/>
  <c r="L7" i="31"/>
  <c r="AJ6" i="31"/>
  <c r="AI6" i="31"/>
  <c r="AH6" i="31"/>
  <c r="AG6" i="31"/>
  <c r="AF6" i="31"/>
  <c r="AE6" i="31"/>
  <c r="AD6" i="31"/>
  <c r="AC6" i="31"/>
  <c r="AB6" i="31"/>
  <c r="AA6" i="31"/>
  <c r="Z6" i="31"/>
  <c r="Y6" i="31"/>
  <c r="W6" i="31"/>
  <c r="V6" i="31"/>
  <c r="U6" i="31"/>
  <c r="G11" i="31" l="1"/>
  <c r="K40" i="31"/>
  <c r="V259" i="38"/>
  <c r="V26" i="38"/>
  <c r="V41" i="38"/>
  <c r="M24" i="38"/>
  <c r="H38" i="37"/>
  <c r="T38" i="37"/>
  <c r="P38" i="37"/>
  <c r="R38" i="37"/>
  <c r="J38" i="37"/>
  <c r="G22" i="31"/>
  <c r="G23" i="31"/>
  <c r="E24" i="36"/>
  <c r="F24" i="36" s="1"/>
  <c r="F35" i="4"/>
  <c r="G35" i="4" s="1"/>
  <c r="E32" i="36"/>
  <c r="F32" i="36" s="1"/>
  <c r="F43" i="4"/>
  <c r="G43" i="4" s="1"/>
  <c r="R14" i="1"/>
  <c r="T14" i="1"/>
  <c r="H14" i="1"/>
  <c r="J14" i="1"/>
  <c r="P14" i="1"/>
  <c r="G25" i="31"/>
  <c r="T19" i="1"/>
  <c r="J19" i="1"/>
  <c r="P19" i="1"/>
  <c r="H19" i="1"/>
  <c r="R19" i="1"/>
  <c r="H68" i="39"/>
  <c r="G26" i="38"/>
  <c r="G41" i="38"/>
  <c r="K24" i="38"/>
  <c r="H36" i="37"/>
  <c r="R36" i="37"/>
  <c r="T36" i="37"/>
  <c r="J36" i="37"/>
  <c r="P36" i="37"/>
  <c r="E26" i="36"/>
  <c r="F26" i="36" s="1"/>
  <c r="F37" i="4"/>
  <c r="G37" i="4" s="1"/>
  <c r="T17" i="1"/>
  <c r="J17" i="1"/>
  <c r="P17" i="1"/>
  <c r="H17" i="1"/>
  <c r="R17" i="1"/>
  <c r="G24" i="31"/>
  <c r="N24" i="38"/>
  <c r="H39" i="37"/>
  <c r="R39" i="37"/>
  <c r="J39" i="37"/>
  <c r="P39" i="37"/>
  <c r="T39" i="37"/>
  <c r="E30" i="36"/>
  <c r="F30" i="36" s="1"/>
  <c r="F40" i="4"/>
  <c r="G40" i="4" s="1"/>
  <c r="E29" i="36"/>
  <c r="F39" i="4"/>
  <c r="D51" i="4"/>
  <c r="D48" i="4"/>
  <c r="H15" i="1"/>
  <c r="T15" i="1"/>
  <c r="J15" i="1"/>
  <c r="R15" i="1"/>
  <c r="P15" i="1"/>
  <c r="J13" i="1"/>
  <c r="R13" i="1"/>
  <c r="H13" i="1"/>
  <c r="T13" i="1"/>
  <c r="P13" i="1"/>
  <c r="L24" i="38"/>
  <c r="R42" i="37"/>
  <c r="J42" i="37"/>
  <c r="P42" i="37"/>
  <c r="H42" i="37"/>
  <c r="T42" i="37"/>
  <c r="G21" i="31"/>
  <c r="P20" i="1"/>
  <c r="R20" i="1"/>
  <c r="H20" i="1"/>
  <c r="T20" i="1"/>
  <c r="J20" i="1"/>
  <c r="O24" i="38"/>
  <c r="T43" i="37"/>
  <c r="R43" i="37"/>
  <c r="P43" i="37"/>
  <c r="H43" i="37"/>
  <c r="J43" i="37"/>
  <c r="G18" i="31"/>
  <c r="Q24" i="38"/>
  <c r="T44" i="37"/>
  <c r="H44" i="37"/>
  <c r="J44" i="37"/>
  <c r="P44" i="37"/>
  <c r="R44" i="37"/>
  <c r="P24" i="38"/>
  <c r="H45" i="37"/>
  <c r="P45" i="37"/>
  <c r="R45" i="37"/>
  <c r="J45" i="37"/>
  <c r="T45" i="37"/>
  <c r="E31" i="36"/>
  <c r="F31" i="36" s="1"/>
  <c r="F41" i="4"/>
  <c r="G41" i="4" s="1"/>
  <c r="J24" i="38"/>
  <c r="P41" i="37"/>
  <c r="R41" i="37"/>
  <c r="H41" i="37"/>
  <c r="J41" i="37"/>
  <c r="T41" i="37"/>
  <c r="Y24" i="38" s="1"/>
  <c r="E52" i="37"/>
  <c r="E33" i="36"/>
  <c r="F33" i="36" s="1"/>
  <c r="F42" i="4"/>
  <c r="G42" i="4" s="1"/>
  <c r="G19" i="31"/>
  <c r="E25" i="36"/>
  <c r="F25" i="36" s="1"/>
  <c r="F36" i="4"/>
  <c r="G36" i="4" s="1"/>
  <c r="T18" i="1"/>
  <c r="J18" i="1"/>
  <c r="P18" i="1"/>
  <c r="H18" i="1"/>
  <c r="R18" i="1"/>
  <c r="G20" i="31"/>
  <c r="T16" i="1"/>
  <c r="J16" i="1"/>
  <c r="P16" i="1"/>
  <c r="R16" i="1"/>
  <c r="H16" i="1"/>
  <c r="G14" i="31"/>
  <c r="E21" i="36"/>
  <c r="F32" i="4"/>
  <c r="R9" i="1"/>
  <c r="T9" i="1"/>
  <c r="J9" i="1"/>
  <c r="P9" i="1"/>
  <c r="H9" i="1"/>
  <c r="I45" i="31"/>
  <c r="E11" i="31"/>
  <c r="I33" i="31"/>
  <c r="H33" i="31" s="1"/>
  <c r="L6" i="31"/>
  <c r="G10" i="31"/>
  <c r="T11" i="31"/>
  <c r="F42" i="32"/>
  <c r="G9" i="31"/>
  <c r="E9" i="31"/>
  <c r="O64" i="32"/>
  <c r="O63" i="32" s="1"/>
  <c r="O42" i="32"/>
  <c r="F63" i="32"/>
  <c r="F53" i="32"/>
  <c r="F29" i="32"/>
  <c r="R53" i="32"/>
  <c r="G64" i="32"/>
  <c r="G63" i="32" s="1"/>
  <c r="H45" i="31"/>
  <c r="H46" i="31"/>
  <c r="K44" i="31"/>
  <c r="I44" i="31" s="1"/>
  <c r="H44" i="31"/>
  <c r="K10" i="31"/>
  <c r="T9" i="31"/>
  <c r="X10" i="31"/>
  <c r="C10" i="31"/>
  <c r="K9" i="31"/>
  <c r="E10" i="31"/>
  <c r="C9" i="31"/>
  <c r="I40" i="31"/>
  <c r="H40" i="31" s="1"/>
  <c r="C8" i="31"/>
  <c r="C6" i="31" s="1"/>
  <c r="I35" i="31"/>
  <c r="I28" i="31"/>
  <c r="H28" i="31" s="1"/>
  <c r="I41" i="31"/>
  <c r="K27" i="31"/>
  <c r="R8" i="31"/>
  <c r="Q8" i="31"/>
  <c r="K26" i="31"/>
  <c r="I26" i="31" s="1"/>
  <c r="H26" i="31" s="1"/>
  <c r="S8" i="31"/>
  <c r="X8" i="31"/>
  <c r="I42" i="31"/>
  <c r="H42" i="31" s="1"/>
  <c r="I38" i="31"/>
  <c r="H38" i="31" s="1"/>
  <c r="G8" i="31"/>
  <c r="I36" i="31"/>
  <c r="E8" i="31"/>
  <c r="I29" i="31"/>
  <c r="H29" i="31" s="1"/>
  <c r="I37" i="31"/>
  <c r="K34" i="31"/>
  <c r="I34" i="31" s="1"/>
  <c r="H34" i="31" s="1"/>
  <c r="K30" i="31"/>
  <c r="I30" i="31" s="1"/>
  <c r="H30" i="31" s="1"/>
  <c r="H41" i="31"/>
  <c r="H39" i="31"/>
  <c r="M7" i="31"/>
  <c r="K15" i="31"/>
  <c r="I15" i="31" s="1"/>
  <c r="K21" i="31"/>
  <c r="I21" i="31" s="1"/>
  <c r="H21" i="31" s="1"/>
  <c r="I25" i="31"/>
  <c r="H25" i="31" s="1"/>
  <c r="K23" i="31"/>
  <c r="I23" i="31" s="1"/>
  <c r="H23" i="31" s="1"/>
  <c r="I47" i="31"/>
  <c r="X6" i="31"/>
  <c r="P6" i="31"/>
  <c r="I20" i="31"/>
  <c r="X7" i="31"/>
  <c r="P7" i="31"/>
  <c r="J6" i="31"/>
  <c r="J7" i="31"/>
  <c r="O58" i="24"/>
  <c r="S59" i="24"/>
  <c r="O62" i="24"/>
  <c r="O61" i="24"/>
  <c r="O60" i="24"/>
  <c r="O59" i="24"/>
  <c r="O57" i="24"/>
  <c r="O55" i="24"/>
  <c r="O52" i="24"/>
  <c r="O51" i="24"/>
  <c r="O50" i="24"/>
  <c r="O49" i="24"/>
  <c r="O48" i="24"/>
  <c r="O46" i="24"/>
  <c r="O45" i="24"/>
  <c r="O44" i="24"/>
  <c r="O47" i="24"/>
  <c r="M62" i="24"/>
  <c r="M57" i="24"/>
  <c r="M56" i="24"/>
  <c r="M44" i="24"/>
  <c r="O37" i="24"/>
  <c r="O35" i="24"/>
  <c r="O34" i="24"/>
  <c r="O33" i="24"/>
  <c r="O32" i="24"/>
  <c r="O31" i="24"/>
  <c r="Y259" i="38" l="1"/>
  <c r="Y195" i="38"/>
  <c r="Y41" i="38"/>
  <c r="Y122" i="38"/>
  <c r="Y26" i="38"/>
  <c r="R52" i="37"/>
  <c r="S52" i="37" s="1"/>
  <c r="K52" i="37" s="1"/>
  <c r="H42" i="4"/>
  <c r="J42" i="4"/>
  <c r="I42" i="4"/>
  <c r="U93" i="35"/>
  <c r="U100" i="35"/>
  <c r="U95" i="35"/>
  <c r="U98" i="35"/>
  <c r="U78" i="35"/>
  <c r="T52" i="37"/>
  <c r="U52" i="37" s="1"/>
  <c r="N52" i="37" s="1"/>
  <c r="S95" i="35"/>
  <c r="S98" i="35"/>
  <c r="S100" i="35"/>
  <c r="S93" i="35"/>
  <c r="S78" i="35"/>
  <c r="Q68" i="39"/>
  <c r="P41" i="38"/>
  <c r="P26" i="38"/>
  <c r="J52" i="37"/>
  <c r="P52" i="37"/>
  <c r="Q52" i="37" s="1"/>
  <c r="R68" i="39"/>
  <c r="Q41" i="38"/>
  <c r="Q26" i="38"/>
  <c r="T93" i="35"/>
  <c r="T95" i="35"/>
  <c r="T98" i="35"/>
  <c r="T100" i="35"/>
  <c r="T78" i="35"/>
  <c r="L68" i="39"/>
  <c r="K26" i="38"/>
  <c r="K41" i="38"/>
  <c r="R95" i="35"/>
  <c r="R98" i="35"/>
  <c r="R78" i="35"/>
  <c r="R100" i="35"/>
  <c r="R93" i="35"/>
  <c r="H71" i="39"/>
  <c r="H73" i="39"/>
  <c r="H74" i="39"/>
  <c r="H80" i="39"/>
  <c r="H72" i="39"/>
  <c r="H88" i="39"/>
  <c r="H76" i="39"/>
  <c r="H79" i="39"/>
  <c r="H81" i="39"/>
  <c r="H84" i="39"/>
  <c r="H75" i="39"/>
  <c r="H52" i="37"/>
  <c r="Q93" i="35"/>
  <c r="Q98" i="35"/>
  <c r="Q94" i="35"/>
  <c r="Q95" i="35"/>
  <c r="Q100" i="35"/>
  <c r="Q92" i="35"/>
  <c r="Q99" i="35"/>
  <c r="Q97" i="35"/>
  <c r="H43" i="4"/>
  <c r="I43" i="4"/>
  <c r="J43" i="4"/>
  <c r="O68" i="39"/>
  <c r="N41" i="38"/>
  <c r="N26" i="38"/>
  <c r="F29" i="36"/>
  <c r="F35" i="36" s="1"/>
  <c r="E35" i="36"/>
  <c r="K68" i="39"/>
  <c r="J26" i="38"/>
  <c r="J41" i="38"/>
  <c r="H36" i="4"/>
  <c r="L36" i="4" s="1"/>
  <c r="I36" i="4"/>
  <c r="J36" i="4"/>
  <c r="I41" i="4"/>
  <c r="J41" i="4"/>
  <c r="H41" i="4"/>
  <c r="G39" i="4"/>
  <c r="F48" i="4"/>
  <c r="H40" i="4"/>
  <c r="J40" i="4"/>
  <c r="I40" i="4"/>
  <c r="J35" i="4"/>
  <c r="H35" i="4"/>
  <c r="I35" i="4"/>
  <c r="H20" i="31"/>
  <c r="P68" i="39"/>
  <c r="O41" i="38"/>
  <c r="O26" i="38"/>
  <c r="M68" i="39"/>
  <c r="L26" i="38"/>
  <c r="L41" i="38"/>
  <c r="H37" i="4"/>
  <c r="J37" i="4"/>
  <c r="I37" i="4"/>
  <c r="N68" i="39"/>
  <c r="M26" i="38"/>
  <c r="M41" i="38"/>
  <c r="F21" i="36"/>
  <c r="G32" i="4"/>
  <c r="K95" i="35"/>
  <c r="K99" i="35"/>
  <c r="K100" i="35"/>
  <c r="K98" i="35"/>
  <c r="K97" i="35"/>
  <c r="K93" i="35"/>
  <c r="K94" i="35"/>
  <c r="K92" i="35"/>
  <c r="H37" i="31"/>
  <c r="I10" i="31"/>
  <c r="H35" i="31"/>
  <c r="I9" i="31"/>
  <c r="I27" i="31"/>
  <c r="H36" i="31"/>
  <c r="H10" i="31"/>
  <c r="H47" i="31"/>
  <c r="O28" i="24"/>
  <c r="O25" i="24"/>
  <c r="O24" i="24"/>
  <c r="O23" i="24"/>
  <c r="O22" i="24"/>
  <c r="O21" i="24"/>
  <c r="G27" i="29"/>
  <c r="G26" i="29"/>
  <c r="G24" i="29"/>
  <c r="G23" i="29"/>
  <c r="G21" i="29"/>
  <c r="H21" i="29" s="1"/>
  <c r="G20" i="29"/>
  <c r="H20" i="29" s="1"/>
  <c r="G12" i="29"/>
  <c r="G11" i="29"/>
  <c r="G9" i="29"/>
  <c r="G8" i="29"/>
  <c r="O8" i="24"/>
  <c r="O6" i="24"/>
  <c r="F4" i="24"/>
  <c r="S62" i="24"/>
  <c r="S61" i="24"/>
  <c r="S60" i="24"/>
  <c r="S58" i="24"/>
  <c r="S57" i="24"/>
  <c r="S56" i="24"/>
  <c r="S55" i="24"/>
  <c r="S52" i="24"/>
  <c r="S51" i="24"/>
  <c r="S50" i="24"/>
  <c r="S49" i="24"/>
  <c r="S48" i="24"/>
  <c r="S47" i="24"/>
  <c r="S44" i="24"/>
  <c r="S26" i="24"/>
  <c r="S25" i="24"/>
  <c r="S24" i="24"/>
  <c r="S23" i="24"/>
  <c r="S22" i="24"/>
  <c r="S21" i="24"/>
  <c r="S20" i="24"/>
  <c r="S14" i="24"/>
  <c r="S13" i="24"/>
  <c r="S11" i="24"/>
  <c r="S10" i="24"/>
  <c r="S8" i="24"/>
  <c r="S7" i="24"/>
  <c r="S6" i="24"/>
  <c r="S4" i="24"/>
  <c r="O4" i="24"/>
  <c r="AA4" i="24" s="1"/>
  <c r="G152" i="38" l="1"/>
  <c r="G70" i="38"/>
  <c r="G197" i="38"/>
  <c r="G88" i="38"/>
  <c r="G261" i="38"/>
  <c r="G229" i="38"/>
  <c r="G125" i="38"/>
  <c r="G106" i="38"/>
  <c r="H45" i="39"/>
  <c r="G59" i="47" s="1"/>
  <c r="S87" i="35"/>
  <c r="S99" i="35" s="1"/>
  <c r="S76" i="35"/>
  <c r="S94" i="35"/>
  <c r="G61" i="38"/>
  <c r="H70" i="39"/>
  <c r="I39" i="4"/>
  <c r="I48" i="4" s="1"/>
  <c r="J39" i="4"/>
  <c r="J48" i="4" s="1"/>
  <c r="H39" i="4"/>
  <c r="H48" i="4" s="1"/>
  <c r="G48" i="4"/>
  <c r="L48" i="4" s="1"/>
  <c r="L41" i="4"/>
  <c r="R71" i="39"/>
  <c r="R75" i="39"/>
  <c r="R73" i="39"/>
  <c r="R80" i="39"/>
  <c r="R84" i="39"/>
  <c r="R72" i="39"/>
  <c r="R88" i="39"/>
  <c r="R79" i="39"/>
  <c r="R76" i="39"/>
  <c r="R74" i="39"/>
  <c r="R81" i="39"/>
  <c r="R94" i="35"/>
  <c r="R76" i="35"/>
  <c r="R87" i="35"/>
  <c r="R99" i="35" s="1"/>
  <c r="P71" i="39"/>
  <c r="P81" i="39"/>
  <c r="P76" i="39"/>
  <c r="P72" i="39"/>
  <c r="P79" i="39"/>
  <c r="P73" i="39"/>
  <c r="P74" i="39"/>
  <c r="P84" i="39"/>
  <c r="P80" i="39"/>
  <c r="P88" i="39"/>
  <c r="P75" i="39"/>
  <c r="L40" i="4"/>
  <c r="M88" i="39"/>
  <c r="M84" i="39"/>
  <c r="M71" i="39"/>
  <c r="M74" i="39"/>
  <c r="M79" i="39"/>
  <c r="M72" i="39"/>
  <c r="M80" i="39"/>
  <c r="M73" i="39"/>
  <c r="M75" i="39"/>
  <c r="M76" i="39"/>
  <c r="M81" i="39"/>
  <c r="U87" i="35"/>
  <c r="U99" i="35" s="1"/>
  <c r="U76" i="35"/>
  <c r="U94" i="35"/>
  <c r="G258" i="38"/>
  <c r="G259" i="38"/>
  <c r="N79" i="39"/>
  <c r="N80" i="39"/>
  <c r="N84" i="39"/>
  <c r="N75" i="39"/>
  <c r="N72" i="39"/>
  <c r="N76" i="39"/>
  <c r="N73" i="39"/>
  <c r="N71" i="39"/>
  <c r="N81" i="39"/>
  <c r="N88" i="39"/>
  <c r="N74" i="39"/>
  <c r="G165" i="38"/>
  <c r="H78" i="39"/>
  <c r="L79" i="39"/>
  <c r="L73" i="39"/>
  <c r="L72" i="39"/>
  <c r="L74" i="39"/>
  <c r="L88" i="39"/>
  <c r="L76" i="39"/>
  <c r="L84" i="39"/>
  <c r="L75" i="39"/>
  <c r="L80" i="39"/>
  <c r="L71" i="39"/>
  <c r="L81" i="39"/>
  <c r="L43" i="4"/>
  <c r="O79" i="39"/>
  <c r="O88" i="39"/>
  <c r="O76" i="39"/>
  <c r="O71" i="39"/>
  <c r="O74" i="39"/>
  <c r="O81" i="39"/>
  <c r="O80" i="39"/>
  <c r="O75" i="39"/>
  <c r="O73" i="39"/>
  <c r="O84" i="39"/>
  <c r="O72" i="39"/>
  <c r="K79" i="39"/>
  <c r="K73" i="39"/>
  <c r="K80" i="39"/>
  <c r="K75" i="39"/>
  <c r="K81" i="39"/>
  <c r="K74" i="39"/>
  <c r="K72" i="39"/>
  <c r="K76" i="39"/>
  <c r="K71" i="39"/>
  <c r="K84" i="39"/>
  <c r="K88" i="39"/>
  <c r="T87" i="35"/>
  <c r="T99" i="35" s="1"/>
  <c r="T76" i="35"/>
  <c r="T94" i="35"/>
  <c r="L37" i="4"/>
  <c r="L35" i="4"/>
  <c r="Q81" i="39"/>
  <c r="Q88" i="39"/>
  <c r="Q80" i="39"/>
  <c r="Q79" i="39"/>
  <c r="Q73" i="39"/>
  <c r="Q72" i="39"/>
  <c r="Q76" i="39"/>
  <c r="Q75" i="39"/>
  <c r="Q74" i="39"/>
  <c r="Q71" i="39"/>
  <c r="Q84" i="39"/>
  <c r="L42" i="4"/>
  <c r="H32" i="4"/>
  <c r="I32" i="4"/>
  <c r="J32" i="4"/>
  <c r="H27" i="31"/>
  <c r="H9" i="31"/>
  <c r="H22" i="29"/>
  <c r="K197" i="38" l="1"/>
  <c r="K195" i="38" s="1"/>
  <c r="P229" i="38"/>
  <c r="N152" i="38"/>
  <c r="K106" i="38"/>
  <c r="Q229" i="38"/>
  <c r="G215" i="47"/>
  <c r="G216" i="47"/>
  <c r="O152" i="38"/>
  <c r="J261" i="38"/>
  <c r="O197" i="38"/>
  <c r="J125" i="38"/>
  <c r="J122" i="38" s="1"/>
  <c r="J122" i="48"/>
  <c r="J122" i="47"/>
  <c r="O261" i="38"/>
  <c r="O258" i="38" s="1"/>
  <c r="M106" i="38"/>
  <c r="L70" i="38"/>
  <c r="M152" i="38"/>
  <c r="Q106" i="38"/>
  <c r="N229" i="38"/>
  <c r="G162" i="38"/>
  <c r="O88" i="38"/>
  <c r="N70" i="38"/>
  <c r="L106" i="38"/>
  <c r="N261" i="38"/>
  <c r="N258" i="38" s="1"/>
  <c r="M261" i="38"/>
  <c r="M259" i="38" s="1"/>
  <c r="N197" i="38"/>
  <c r="N181" i="47"/>
  <c r="G216" i="48"/>
  <c r="G217" i="48"/>
  <c r="N106" i="38"/>
  <c r="N125" i="38"/>
  <c r="N122" i="38" s="1"/>
  <c r="N122" i="48"/>
  <c r="N122" i="47"/>
  <c r="Q70" i="38"/>
  <c r="P125" i="38"/>
  <c r="P122" i="38" s="1"/>
  <c r="P122" i="48"/>
  <c r="P122" i="47"/>
  <c r="L229" i="38"/>
  <c r="P70" i="38"/>
  <c r="M229" i="38"/>
  <c r="M125" i="38"/>
  <c r="M122" i="38" s="1"/>
  <c r="M122" i="47"/>
  <c r="M70" i="38"/>
  <c r="G162" i="47"/>
  <c r="P261" i="38"/>
  <c r="P258" i="38" s="1"/>
  <c r="K88" i="38"/>
  <c r="Q125" i="38"/>
  <c r="Q122" i="38" s="1"/>
  <c r="Q122" i="48"/>
  <c r="Q122" i="47"/>
  <c r="P106" i="38"/>
  <c r="Q261" i="38"/>
  <c r="Q259" i="38" s="1"/>
  <c r="Q197" i="38"/>
  <c r="Q195" i="38" s="1"/>
  <c r="J229" i="38"/>
  <c r="J152" i="38"/>
  <c r="Q152" i="38"/>
  <c r="J88" i="38"/>
  <c r="O229" i="38"/>
  <c r="K152" i="38"/>
  <c r="K261" i="38"/>
  <c r="K258" i="38" s="1"/>
  <c r="K125" i="38"/>
  <c r="K122" i="38" s="1"/>
  <c r="K122" i="48"/>
  <c r="K122" i="47"/>
  <c r="N88" i="38"/>
  <c r="M197" i="38"/>
  <c r="M195" i="38" s="1"/>
  <c r="L261" i="38"/>
  <c r="L259" i="38" s="1"/>
  <c r="K70" i="38"/>
  <c r="P152" i="38"/>
  <c r="J70" i="38"/>
  <c r="O106" i="38"/>
  <c r="J106" i="38"/>
  <c r="L125" i="38"/>
  <c r="L122" i="38" s="1"/>
  <c r="L122" i="48"/>
  <c r="L122" i="47"/>
  <c r="P88" i="38"/>
  <c r="L152" i="38"/>
  <c r="Q88" i="38"/>
  <c r="K229" i="38"/>
  <c r="L88" i="38"/>
  <c r="O70" i="38"/>
  <c r="P197" i="38"/>
  <c r="P195" i="38" s="1"/>
  <c r="J197" i="38"/>
  <c r="M88" i="38"/>
  <c r="L197" i="38"/>
  <c r="L195" i="38" s="1"/>
  <c r="O125" i="38"/>
  <c r="O122" i="38" s="1"/>
  <c r="O122" i="47"/>
  <c r="O122" i="48"/>
  <c r="G59" i="38"/>
  <c r="M165" i="38"/>
  <c r="N78" i="39"/>
  <c r="M70" i="39"/>
  <c r="L61" i="38"/>
  <c r="Q61" i="38"/>
  <c r="R70" i="39"/>
  <c r="O165" i="38"/>
  <c r="P78" i="39"/>
  <c r="K165" i="38"/>
  <c r="K162" i="38" s="1"/>
  <c r="L78" i="39"/>
  <c r="O61" i="38"/>
  <c r="P70" i="39"/>
  <c r="J61" i="38"/>
  <c r="K70" i="39"/>
  <c r="O70" i="39"/>
  <c r="N61" i="38"/>
  <c r="G163" i="38"/>
  <c r="J165" i="38"/>
  <c r="K78" i="39"/>
  <c r="U85" i="35"/>
  <c r="U92" i="35"/>
  <c r="U80" i="35"/>
  <c r="L165" i="38"/>
  <c r="M78" i="39"/>
  <c r="T85" i="35"/>
  <c r="T92" i="35"/>
  <c r="T80" i="35"/>
  <c r="R85" i="35"/>
  <c r="R80" i="35"/>
  <c r="R92" i="35"/>
  <c r="M258" i="38"/>
  <c r="N70" i="39"/>
  <c r="M61" i="38"/>
  <c r="P61" i="38"/>
  <c r="Q70" i="39"/>
  <c r="N165" i="38"/>
  <c r="O78" i="39"/>
  <c r="P165" i="38"/>
  <c r="Q78" i="39"/>
  <c r="J195" i="38"/>
  <c r="L70" i="39"/>
  <c r="K61" i="38"/>
  <c r="Q165" i="38"/>
  <c r="R78" i="39"/>
  <c r="S85" i="35"/>
  <c r="S80" i="35"/>
  <c r="S92" i="35"/>
  <c r="O195" i="38"/>
  <c r="L32" i="4"/>
  <c r="AF23" i="13"/>
  <c r="AZ84" i="10"/>
  <c r="AS84" i="10"/>
  <c r="X84" i="10"/>
  <c r="G84" i="10"/>
  <c r="G83" i="10"/>
  <c r="H83" i="10" s="1"/>
  <c r="I83" i="10" s="1"/>
  <c r="G82" i="10"/>
  <c r="H84" i="10"/>
  <c r="I84" i="10" s="1"/>
  <c r="BN84" i="10" s="1"/>
  <c r="G81" i="10"/>
  <c r="BO85" i="10"/>
  <c r="BH85" i="10"/>
  <c r="BA85" i="10"/>
  <c r="AT85" i="10"/>
  <c r="AM85" i="10"/>
  <c r="AF85" i="10"/>
  <c r="Y85" i="10"/>
  <c r="K84" i="10"/>
  <c r="BT84" i="10" s="1"/>
  <c r="BD81" i="10"/>
  <c r="AW81" i="10" s="1"/>
  <c r="AP81" i="10" s="1"/>
  <c r="AI81" i="10" s="1"/>
  <c r="AB81" i="10" s="1"/>
  <c r="K81" i="10"/>
  <c r="BT81" i="10" s="1"/>
  <c r="Y62" i="10"/>
  <c r="T22" i="31" s="1"/>
  <c r="K22" i="31" s="1"/>
  <c r="I22" i="31" s="1"/>
  <c r="H22" i="31" s="1"/>
  <c r="P259" i="38" l="1"/>
  <c r="N161" i="38"/>
  <c r="O161" i="38"/>
  <c r="K161" i="38"/>
  <c r="K259" i="38"/>
  <c r="J161" i="38"/>
  <c r="M161" i="38"/>
  <c r="Q258" i="38"/>
  <c r="J258" i="38"/>
  <c r="M162" i="38"/>
  <c r="P162" i="38"/>
  <c r="J259" i="38"/>
  <c r="O259" i="38"/>
  <c r="O162" i="38"/>
  <c r="P163" i="38"/>
  <c r="J163" i="38"/>
  <c r="J162" i="38"/>
  <c r="L162" i="47"/>
  <c r="K162" i="47"/>
  <c r="L58" i="48"/>
  <c r="N162" i="38"/>
  <c r="L162" i="38"/>
  <c r="M58" i="48"/>
  <c r="M122" i="48"/>
  <c r="O161" i="47"/>
  <c r="O181" i="47"/>
  <c r="M215" i="47"/>
  <c r="M216" i="47"/>
  <c r="N259" i="38"/>
  <c r="L258" i="38"/>
  <c r="Q161" i="38"/>
  <c r="L181" i="47"/>
  <c r="Q181" i="47"/>
  <c r="Q161" i="47"/>
  <c r="M216" i="48"/>
  <c r="M217" i="48"/>
  <c r="N163" i="38"/>
  <c r="M161" i="47"/>
  <c r="M181" i="47"/>
  <c r="J162" i="47"/>
  <c r="O181" i="48"/>
  <c r="O161" i="48"/>
  <c r="M161" i="48"/>
  <c r="M181" i="48"/>
  <c r="M162" i="47"/>
  <c r="Q181" i="48"/>
  <c r="Q161" i="48"/>
  <c r="L161" i="48"/>
  <c r="L181" i="48"/>
  <c r="J58" i="48"/>
  <c r="Q215" i="47"/>
  <c r="Q216" i="47"/>
  <c r="J215" i="47"/>
  <c r="J216" i="47"/>
  <c r="Q162" i="48"/>
  <c r="K216" i="48"/>
  <c r="K217" i="48"/>
  <c r="K215" i="47"/>
  <c r="K216" i="47"/>
  <c r="O215" i="47"/>
  <c r="O216" i="47"/>
  <c r="P216" i="48"/>
  <c r="P217" i="48"/>
  <c r="N195" i="38"/>
  <c r="J181" i="47"/>
  <c r="N162" i="47"/>
  <c r="O216" i="48"/>
  <c r="O217" i="48"/>
  <c r="P161" i="48"/>
  <c r="P181" i="48"/>
  <c r="L216" i="48"/>
  <c r="L217" i="48"/>
  <c r="N161" i="47"/>
  <c r="N215" i="47"/>
  <c r="N216" i="47"/>
  <c r="J217" i="48"/>
  <c r="J216" i="48"/>
  <c r="P161" i="38"/>
  <c r="L161" i="38"/>
  <c r="N216" i="48"/>
  <c r="N217" i="48"/>
  <c r="P215" i="47"/>
  <c r="P216" i="47"/>
  <c r="Q162" i="38"/>
  <c r="J161" i="48"/>
  <c r="J181" i="48"/>
  <c r="K181" i="47"/>
  <c r="P181" i="47"/>
  <c r="P161" i="47"/>
  <c r="Q216" i="48"/>
  <c r="Q217" i="48"/>
  <c r="Q162" i="47"/>
  <c r="M58" i="47"/>
  <c r="K58" i="48"/>
  <c r="O59" i="38"/>
  <c r="P162" i="47"/>
  <c r="L215" i="47"/>
  <c r="L216" i="47"/>
  <c r="O162" i="47"/>
  <c r="N161" i="48"/>
  <c r="N181" i="48"/>
  <c r="K161" i="48"/>
  <c r="K181" i="48"/>
  <c r="M163" i="38"/>
  <c r="Q163" i="38"/>
  <c r="L163" i="38"/>
  <c r="O163" i="38"/>
  <c r="Q59" i="38"/>
  <c r="K163" i="38"/>
  <c r="M59" i="38"/>
  <c r="M58" i="38"/>
  <c r="U89" i="35"/>
  <c r="U97" i="35"/>
  <c r="K59" i="38"/>
  <c r="K58" i="38"/>
  <c r="N59" i="38"/>
  <c r="P59" i="38"/>
  <c r="L59" i="38"/>
  <c r="L58" i="38"/>
  <c r="S89" i="35"/>
  <c r="S97" i="35"/>
  <c r="R97" i="35"/>
  <c r="R89" i="35"/>
  <c r="J58" i="38"/>
  <c r="J59" i="38"/>
  <c r="T89" i="35"/>
  <c r="T97" i="35"/>
  <c r="Q84" i="10"/>
  <c r="AS83" i="10"/>
  <c r="Q83" i="10"/>
  <c r="R83" i="10" s="1"/>
  <c r="K83" i="10" s="1"/>
  <c r="BT83" i="10" s="1"/>
  <c r="BN83" i="10"/>
  <c r="AL83" i="10"/>
  <c r="X83" i="10"/>
  <c r="AE83" i="10"/>
  <c r="BG83" i="10"/>
  <c r="AZ83" i="10"/>
  <c r="BG84" i="10"/>
  <c r="AE84" i="10"/>
  <c r="AL84" i="10"/>
  <c r="G85" i="10"/>
  <c r="J84" i="10"/>
  <c r="L84" i="10"/>
  <c r="BP84" i="10"/>
  <c r="H81" i="10"/>
  <c r="I81" i="10" s="1"/>
  <c r="H82" i="10"/>
  <c r="I82" i="10" s="1"/>
  <c r="AP46" i="13"/>
  <c r="AB11" i="12"/>
  <c r="AI26" i="12"/>
  <c r="AI11" i="12"/>
  <c r="AP26" i="12"/>
  <c r="AP11" i="12"/>
  <c r="AW26" i="12"/>
  <c r="AW11" i="12"/>
  <c r="BD51" i="12"/>
  <c r="AW51" i="12" s="1"/>
  <c r="AP51" i="12" s="1"/>
  <c r="AI51" i="12" s="1"/>
  <c r="BD46" i="12"/>
  <c r="AW46" i="12" s="1"/>
  <c r="AP46" i="12" s="1"/>
  <c r="AI46" i="12" s="1"/>
  <c r="BD41" i="12"/>
  <c r="AW41" i="12" s="1"/>
  <c r="AP41" i="12" s="1"/>
  <c r="AI41" i="12" s="1"/>
  <c r="BD36" i="12"/>
  <c r="AW36" i="12" s="1"/>
  <c r="AP36" i="12" s="1"/>
  <c r="AI36" i="12" s="1"/>
  <c r="BD31" i="12"/>
  <c r="AW31" i="12" s="1"/>
  <c r="AP31" i="12" s="1"/>
  <c r="AI31" i="12" s="1"/>
  <c r="BD26" i="12"/>
  <c r="BD11" i="12"/>
  <c r="L83" i="10" l="1"/>
  <c r="J83" i="10"/>
  <c r="AS82" i="10"/>
  <c r="Q82" i="10"/>
  <c r="R82" i="10" s="1"/>
  <c r="BG82" i="10"/>
  <c r="AZ82" i="10"/>
  <c r="BN82" i="10"/>
  <c r="AL82" i="10"/>
  <c r="AE82" i="10"/>
  <c r="X82" i="10"/>
  <c r="AS81" i="10"/>
  <c r="Q81" i="10"/>
  <c r="AZ81" i="10"/>
  <c r="X81" i="10"/>
  <c r="BG81" i="10"/>
  <c r="BN81" i="10"/>
  <c r="AL81" i="10"/>
  <c r="AE81" i="10"/>
  <c r="BS84" i="10"/>
  <c r="J81" i="10"/>
  <c r="I85" i="10"/>
  <c r="L81" i="10"/>
  <c r="BP83" i="10"/>
  <c r="BM83" i="10"/>
  <c r="AG83" i="10"/>
  <c r="AD83" i="10"/>
  <c r="BB83" i="10"/>
  <c r="AY83" i="10"/>
  <c r="AN83" i="10"/>
  <c r="AK83" i="10"/>
  <c r="BF83" i="10"/>
  <c r="BI83" i="10"/>
  <c r="BS83" i="10"/>
  <c r="S83" i="10"/>
  <c r="P83" i="10"/>
  <c r="Z83" i="10"/>
  <c r="W83" i="10"/>
  <c r="H85" i="10"/>
  <c r="AR83" i="10"/>
  <c r="AU83" i="10"/>
  <c r="AB11" i="30"/>
  <c r="AI11" i="30"/>
  <c r="AP11" i="30"/>
  <c r="AW11" i="30"/>
  <c r="BD11" i="30"/>
  <c r="R85" i="10" l="1"/>
  <c r="K82" i="10"/>
  <c r="BT82" i="10" s="1"/>
  <c r="S81" i="10"/>
  <c r="BS81" i="10"/>
  <c r="Q85" i="10"/>
  <c r="AN81" i="10"/>
  <c r="AL85" i="10"/>
  <c r="BP82" i="10"/>
  <c r="BM82" i="10"/>
  <c r="BS82" i="10"/>
  <c r="M85" i="10"/>
  <c r="P82" i="10"/>
  <c r="S82" i="10"/>
  <c r="Z82" i="10"/>
  <c r="W82" i="10"/>
  <c r="AG82" i="10"/>
  <c r="AD82" i="10"/>
  <c r="AN82" i="10"/>
  <c r="AK82" i="10"/>
  <c r="BB81" i="10"/>
  <c r="AZ85" i="10"/>
  <c r="AS85" i="10"/>
  <c r="AU81" i="10"/>
  <c r="AR82" i="10"/>
  <c r="AU82" i="10"/>
  <c r="BG85" i="10"/>
  <c r="BI81" i="10"/>
  <c r="BB82" i="10"/>
  <c r="AY82" i="10"/>
  <c r="BP81" i="10"/>
  <c r="BN85" i="10"/>
  <c r="X85" i="10"/>
  <c r="Z81" i="10"/>
  <c r="AE85" i="10"/>
  <c r="AG81" i="10"/>
  <c r="BF82" i="10"/>
  <c r="BU82" i="10"/>
  <c r="BI82" i="10"/>
  <c r="K85" i="10" l="1"/>
  <c r="J85" i="10" s="1"/>
  <c r="J82" i="10"/>
  <c r="L82" i="10"/>
  <c r="L85" i="10" s="1"/>
  <c r="Z85" i="10"/>
  <c r="W85" i="10"/>
  <c r="BP85" i="10"/>
  <c r="BM85" i="10"/>
  <c r="BF85" i="10"/>
  <c r="BI85" i="10"/>
  <c r="AN85" i="10"/>
  <c r="AK85" i="10"/>
  <c r="AR85" i="10"/>
  <c r="AU85" i="10"/>
  <c r="BB85" i="10"/>
  <c r="AY85" i="10"/>
  <c r="S85" i="10"/>
  <c r="P85" i="10"/>
  <c r="AD85" i="10"/>
  <c r="AG85" i="10"/>
  <c r="H6" i="11"/>
  <c r="F78" i="14" l="1"/>
  <c r="BE78" i="14"/>
  <c r="BE77" i="14"/>
  <c r="BE76" i="14"/>
  <c r="BE75" i="14"/>
  <c r="BE74" i="14"/>
  <c r="F74" i="14"/>
  <c r="BE73" i="14"/>
  <c r="BE72" i="14"/>
  <c r="BE71" i="14"/>
  <c r="AF60" i="30"/>
  <c r="BO59" i="30"/>
  <c r="BH59" i="30"/>
  <c r="BA59" i="30"/>
  <c r="AT59" i="30"/>
  <c r="AM59" i="30"/>
  <c r="AF59" i="30"/>
  <c r="Y59" i="30"/>
  <c r="R59" i="30"/>
  <c r="BO58" i="30"/>
  <c r="BH58" i="30"/>
  <c r="BH60" i="30" s="1"/>
  <c r="BA58" i="30"/>
  <c r="AT58" i="30"/>
  <c r="AM58" i="30"/>
  <c r="AF58" i="30"/>
  <c r="Y58" i="30"/>
  <c r="BT58" i="30" s="1"/>
  <c r="R58" i="30"/>
  <c r="BO57" i="30"/>
  <c r="BH57" i="30"/>
  <c r="BA57" i="30"/>
  <c r="AT57" i="30"/>
  <c r="AT60" i="30" s="1"/>
  <c r="AM57" i="30"/>
  <c r="AF57" i="30"/>
  <c r="Y57" i="30"/>
  <c r="R57" i="30"/>
  <c r="BO56" i="30"/>
  <c r="BO60" i="30" s="1"/>
  <c r="BH56" i="30"/>
  <c r="BA56" i="30"/>
  <c r="BA60" i="30" s="1"/>
  <c r="AT56" i="30"/>
  <c r="AM56" i="30"/>
  <c r="AM60" i="30" s="1"/>
  <c r="AF56" i="30"/>
  <c r="Y56" i="30"/>
  <c r="R56" i="30"/>
  <c r="BO55" i="30"/>
  <c r="BH55" i="30"/>
  <c r="BA55" i="30"/>
  <c r="AT55" i="30"/>
  <c r="AM55" i="30"/>
  <c r="AF55" i="30"/>
  <c r="Y55" i="30"/>
  <c r="R55" i="30"/>
  <c r="AZ54" i="30"/>
  <c r="BB54" i="30" s="1"/>
  <c r="AS54" i="30"/>
  <c r="AU54" i="30" s="1"/>
  <c r="K54" i="30"/>
  <c r="H54" i="30"/>
  <c r="G54" i="30"/>
  <c r="I54" i="30" s="1"/>
  <c r="BT53" i="30"/>
  <c r="BN53" i="30"/>
  <c r="AS53" i="30"/>
  <c r="AU53" i="30" s="1"/>
  <c r="K53" i="30"/>
  <c r="J53" i="30" s="1"/>
  <c r="I53" i="30"/>
  <c r="H53" i="30"/>
  <c r="G53" i="30"/>
  <c r="BT52" i="30"/>
  <c r="K52" i="30"/>
  <c r="G52" i="30"/>
  <c r="BT51" i="30"/>
  <c r="BD51" i="30"/>
  <c r="AW51" i="30" s="1"/>
  <c r="AP51" i="30" s="1"/>
  <c r="AI51" i="30" s="1"/>
  <c r="AB51" i="30" s="1"/>
  <c r="K51" i="30"/>
  <c r="G51" i="30"/>
  <c r="H51" i="30" s="1"/>
  <c r="BO50" i="30"/>
  <c r="BH50" i="30"/>
  <c r="BA50" i="30"/>
  <c r="AT50" i="30"/>
  <c r="AM50" i="30"/>
  <c r="AF50" i="30"/>
  <c r="Y50" i="30"/>
  <c r="R50" i="30"/>
  <c r="K50" i="30"/>
  <c r="AZ49" i="30"/>
  <c r="BB49" i="30" s="1"/>
  <c r="AS49" i="30"/>
  <c r="AU49" i="30" s="1"/>
  <c r="K49" i="30"/>
  <c r="H49" i="30"/>
  <c r="G49" i="30"/>
  <c r="I49" i="30" s="1"/>
  <c r="BT48" i="30"/>
  <c r="K48" i="30"/>
  <c r="H48" i="30"/>
  <c r="I48" i="30" s="1"/>
  <c r="G48" i="30"/>
  <c r="BT47" i="30"/>
  <c r="K47" i="30"/>
  <c r="G47" i="30"/>
  <c r="BT46" i="30"/>
  <c r="BD46" i="30"/>
  <c r="AW46" i="30" s="1"/>
  <c r="AP46" i="30"/>
  <c r="AI46" i="30" s="1"/>
  <c r="AB46" i="30" s="1"/>
  <c r="K46" i="30"/>
  <c r="G46" i="30"/>
  <c r="H46" i="30" s="1"/>
  <c r="BO45" i="30"/>
  <c r="BH45" i="30"/>
  <c r="BA45" i="30"/>
  <c r="AT45" i="30"/>
  <c r="AM45" i="30"/>
  <c r="AF45" i="30"/>
  <c r="Y45" i="30"/>
  <c r="R45" i="30"/>
  <c r="K44" i="30"/>
  <c r="H44" i="30"/>
  <c r="G44" i="30"/>
  <c r="I44" i="30" s="1"/>
  <c r="BT43" i="30"/>
  <c r="K43" i="30"/>
  <c r="H43" i="30"/>
  <c r="I43" i="30" s="1"/>
  <c r="G43" i="30"/>
  <c r="BT42" i="30"/>
  <c r="K42" i="30"/>
  <c r="G42" i="30"/>
  <c r="BT41" i="30"/>
  <c r="BD41" i="30"/>
  <c r="AW41" i="30" s="1"/>
  <c r="AP41" i="30" s="1"/>
  <c r="AI41" i="30" s="1"/>
  <c r="AB41" i="30" s="1"/>
  <c r="AE41" i="30"/>
  <c r="AD41" i="30"/>
  <c r="K41" i="30"/>
  <c r="G41" i="30"/>
  <c r="H41" i="30" s="1"/>
  <c r="I41" i="30" s="1"/>
  <c r="BO40" i="30"/>
  <c r="BH40" i="30"/>
  <c r="BA40" i="30"/>
  <c r="AT40" i="30"/>
  <c r="AM40" i="30"/>
  <c r="AF40" i="30"/>
  <c r="Y40" i="30"/>
  <c r="R40" i="30"/>
  <c r="K39" i="30"/>
  <c r="H39" i="30"/>
  <c r="G39" i="30"/>
  <c r="I39" i="30" s="1"/>
  <c r="BT38" i="30"/>
  <c r="K38" i="30"/>
  <c r="G38" i="30"/>
  <c r="BT37" i="30"/>
  <c r="K37" i="30"/>
  <c r="G37" i="30"/>
  <c r="BT36" i="30"/>
  <c r="BD36" i="30"/>
  <c r="AW36" i="30" s="1"/>
  <c r="AP36" i="30" s="1"/>
  <c r="AI36" i="30" s="1"/>
  <c r="AB36" i="30" s="1"/>
  <c r="K36" i="30"/>
  <c r="H36" i="30"/>
  <c r="I36" i="30" s="1"/>
  <c r="G36" i="30"/>
  <c r="BO35" i="30"/>
  <c r="BH35" i="30"/>
  <c r="BA35" i="30"/>
  <c r="AT35" i="30"/>
  <c r="AM35" i="30"/>
  <c r="AF35" i="30"/>
  <c r="Y35" i="30"/>
  <c r="R35" i="30"/>
  <c r="K34" i="30"/>
  <c r="BT34" i="30" s="1"/>
  <c r="H34" i="30"/>
  <c r="G34" i="30"/>
  <c r="BT33" i="30"/>
  <c r="K33" i="30"/>
  <c r="G33" i="30"/>
  <c r="BT32" i="30"/>
  <c r="K32" i="30"/>
  <c r="G32" i="30"/>
  <c r="H32" i="30" s="1"/>
  <c r="BT31" i="30"/>
  <c r="BD31" i="30"/>
  <c r="AW31" i="30" s="1"/>
  <c r="AP31" i="30" s="1"/>
  <c r="AI31" i="30" s="1"/>
  <c r="AB31" i="30" s="1"/>
  <c r="K31" i="30"/>
  <c r="H31" i="30"/>
  <c r="G31" i="30"/>
  <c r="BO30" i="30"/>
  <c r="BH30" i="30"/>
  <c r="BA30" i="30"/>
  <c r="AT30" i="30"/>
  <c r="AM30" i="30"/>
  <c r="AF30" i="30"/>
  <c r="Y30" i="30"/>
  <c r="R30" i="30"/>
  <c r="Z29" i="30"/>
  <c r="S29" i="30"/>
  <c r="K29" i="30"/>
  <c r="BT29" i="30" s="1"/>
  <c r="H29" i="30"/>
  <c r="I29" i="30" s="1"/>
  <c r="BG29" i="30" s="1"/>
  <c r="BI29" i="30" s="1"/>
  <c r="G29" i="30"/>
  <c r="BT28" i="30"/>
  <c r="K28" i="30"/>
  <c r="G28" i="30"/>
  <c r="H28" i="30" s="1"/>
  <c r="BT27" i="30"/>
  <c r="K27" i="30"/>
  <c r="G27" i="30"/>
  <c r="BD26" i="30"/>
  <c r="AW26" i="30" s="1"/>
  <c r="AP26" i="30" s="1"/>
  <c r="AI26" i="30" s="1"/>
  <c r="AB26" i="30" s="1"/>
  <c r="Z26" i="30"/>
  <c r="S26" i="30"/>
  <c r="K26" i="30"/>
  <c r="H26" i="30"/>
  <c r="G26" i="30"/>
  <c r="R25" i="30"/>
  <c r="K24" i="30"/>
  <c r="BT24" i="30" s="1"/>
  <c r="BT23" i="30"/>
  <c r="N23" i="30"/>
  <c r="K23" i="30"/>
  <c r="N22" i="30"/>
  <c r="K22" i="30"/>
  <c r="BT21" i="30"/>
  <c r="K21" i="30"/>
  <c r="D21" i="30"/>
  <c r="G22" i="30" s="1"/>
  <c r="H22" i="30" s="1"/>
  <c r="B21" i="30"/>
  <c r="B26" i="30" s="1"/>
  <c r="B31" i="30" s="1"/>
  <c r="B36" i="30" s="1"/>
  <c r="B41" i="30" s="1"/>
  <c r="B46" i="30" s="1"/>
  <c r="B51" i="30" s="1"/>
  <c r="R20" i="30"/>
  <c r="K19" i="30"/>
  <c r="BT18" i="30"/>
  <c r="N18" i="30"/>
  <c r="K18" i="30"/>
  <c r="N17" i="30"/>
  <c r="K17" i="30"/>
  <c r="K20" i="30" s="1"/>
  <c r="BT16" i="30"/>
  <c r="K16" i="30"/>
  <c r="D16" i="30"/>
  <c r="B16" i="30"/>
  <c r="BO15" i="30"/>
  <c r="BH15" i="30"/>
  <c r="BA15" i="30"/>
  <c r="AT15" i="30"/>
  <c r="AM15" i="30"/>
  <c r="AF15" i="30"/>
  <c r="Y15" i="30"/>
  <c r="R15" i="30"/>
  <c r="BT14" i="30"/>
  <c r="K14" i="30"/>
  <c r="N13" i="30"/>
  <c r="K13" i="30"/>
  <c r="K58" i="30" s="1"/>
  <c r="N12" i="30"/>
  <c r="K12" i="30"/>
  <c r="K11" i="30"/>
  <c r="D11" i="30"/>
  <c r="G12" i="30" s="1"/>
  <c r="G6" i="29"/>
  <c r="E27" i="23"/>
  <c r="E26" i="23"/>
  <c r="S7" i="31" l="1"/>
  <c r="S6" i="31"/>
  <c r="E28" i="23"/>
  <c r="G13" i="30"/>
  <c r="G23" i="30"/>
  <c r="H23" i="30" s="1"/>
  <c r="G21" i="30"/>
  <c r="G14" i="30"/>
  <c r="H14" i="30" s="1"/>
  <c r="I14" i="30" s="1"/>
  <c r="G24" i="30"/>
  <c r="H24" i="30" s="1"/>
  <c r="AL48" i="30"/>
  <c r="AE48" i="30"/>
  <c r="X48" i="30"/>
  <c r="Q48" i="30"/>
  <c r="BG48" i="30"/>
  <c r="BI48" i="30" s="1"/>
  <c r="L48" i="30"/>
  <c r="AZ48" i="30"/>
  <c r="BB48" i="30" s="1"/>
  <c r="BN48" i="30"/>
  <c r="AS48" i="30"/>
  <c r="AU48" i="30" s="1"/>
  <c r="AL43" i="30"/>
  <c r="AE43" i="30"/>
  <c r="Q43" i="30"/>
  <c r="BG43" i="30"/>
  <c r="BI43" i="30" s="1"/>
  <c r="L43" i="30"/>
  <c r="AZ43" i="30"/>
  <c r="BB43" i="30" s="1"/>
  <c r="X43" i="30"/>
  <c r="BN43" i="30"/>
  <c r="AS43" i="30"/>
  <c r="AU43" i="30" s="1"/>
  <c r="AL36" i="30"/>
  <c r="AZ36" i="30"/>
  <c r="X36" i="30"/>
  <c r="Q36" i="30"/>
  <c r="AS36" i="30"/>
  <c r="L36" i="30"/>
  <c r="BN36" i="30"/>
  <c r="BG36" i="30"/>
  <c r="AE36" i="30"/>
  <c r="J36" i="30"/>
  <c r="BT26" i="30"/>
  <c r="AZ29" i="30"/>
  <c r="BB29" i="30" s="1"/>
  <c r="K15" i="30"/>
  <c r="G40" i="30"/>
  <c r="I37" i="30"/>
  <c r="H37" i="30"/>
  <c r="H40" i="30" s="1"/>
  <c r="I46" i="30"/>
  <c r="BT59" i="30"/>
  <c r="K59" i="30"/>
  <c r="H13" i="30"/>
  <c r="I13" i="30" s="1"/>
  <c r="I32" i="30"/>
  <c r="J43" i="30"/>
  <c r="K30" i="30"/>
  <c r="I33" i="30"/>
  <c r="H33" i="30"/>
  <c r="AL41" i="30"/>
  <c r="AZ41" i="30"/>
  <c r="X41" i="30"/>
  <c r="Q41" i="30"/>
  <c r="L41" i="30"/>
  <c r="AS41" i="30"/>
  <c r="J41" i="30"/>
  <c r="BN41" i="30"/>
  <c r="J48" i="30"/>
  <c r="AE29" i="30"/>
  <c r="BN29" i="30"/>
  <c r="J29" i="30"/>
  <c r="AL29" i="30"/>
  <c r="K57" i="30"/>
  <c r="BT12" i="30"/>
  <c r="BT57" i="30"/>
  <c r="H35" i="30"/>
  <c r="BT19" i="30"/>
  <c r="G35" i="30"/>
  <c r="BP53" i="30"/>
  <c r="BM53" i="30"/>
  <c r="BG44" i="30"/>
  <c r="BI44" i="30" s="1"/>
  <c r="AE44" i="30"/>
  <c r="AG44" i="30" s="1"/>
  <c r="X44" i="30"/>
  <c r="Z44" i="30" s="1"/>
  <c r="BN44" i="30"/>
  <c r="Q44" i="30"/>
  <c r="AZ44" i="30"/>
  <c r="BB44" i="30" s="1"/>
  <c r="AS44" i="30"/>
  <c r="AU44" i="30" s="1"/>
  <c r="BT22" i="30"/>
  <c r="AE39" i="30"/>
  <c r="AG39" i="30" s="1"/>
  <c r="X39" i="30"/>
  <c r="Z39" i="30" s="1"/>
  <c r="BN39" i="30"/>
  <c r="Q39" i="30"/>
  <c r="L39" i="30"/>
  <c r="BG39" i="30"/>
  <c r="BI39" i="30" s="1"/>
  <c r="AZ39" i="30"/>
  <c r="BB39" i="30" s="1"/>
  <c r="AS39" i="30"/>
  <c r="AU39" i="30" s="1"/>
  <c r="J44" i="30"/>
  <c r="BT44" i="30"/>
  <c r="K45" i="30"/>
  <c r="I52" i="30"/>
  <c r="H52" i="30"/>
  <c r="H12" i="30"/>
  <c r="I12" i="30" s="1"/>
  <c r="BT17" i="30"/>
  <c r="L29" i="30"/>
  <c r="BT39" i="30"/>
  <c r="K40" i="30"/>
  <c r="J39" i="30"/>
  <c r="AG41" i="30"/>
  <c r="L44" i="30"/>
  <c r="BT13" i="30"/>
  <c r="K25" i="30"/>
  <c r="I28" i="30"/>
  <c r="I47" i="30"/>
  <c r="H47" i="30"/>
  <c r="H50" i="30" s="1"/>
  <c r="J54" i="30"/>
  <c r="BT54" i="30"/>
  <c r="K55" i="30"/>
  <c r="R60" i="30"/>
  <c r="G19" i="30"/>
  <c r="G17" i="30"/>
  <c r="G57" i="30" s="1"/>
  <c r="G16" i="30"/>
  <c r="G18" i="30"/>
  <c r="AL44" i="30"/>
  <c r="D56" i="30"/>
  <c r="BT11" i="30"/>
  <c r="K56" i="30"/>
  <c r="I23" i="30"/>
  <c r="G30" i="30"/>
  <c r="H38" i="30"/>
  <c r="I38" i="30" s="1"/>
  <c r="AL39" i="30"/>
  <c r="BT56" i="30"/>
  <c r="AS29" i="30"/>
  <c r="AU29" i="30" s="1"/>
  <c r="K35" i="30"/>
  <c r="BG41" i="30"/>
  <c r="I31" i="30"/>
  <c r="BG49" i="30"/>
  <c r="BI49" i="30" s="1"/>
  <c r="AL49" i="30"/>
  <c r="AE49" i="30"/>
  <c r="AG49" i="30" s="1"/>
  <c r="X49" i="30"/>
  <c r="Z49" i="30" s="1"/>
  <c r="BN49" i="30"/>
  <c r="Q49" i="30"/>
  <c r="H55" i="30"/>
  <c r="J52" i="30"/>
  <c r="I51" i="30"/>
  <c r="J49" i="30"/>
  <c r="BT49" i="30"/>
  <c r="H27" i="30"/>
  <c r="I27" i="30" s="1"/>
  <c r="I34" i="30"/>
  <c r="H42" i="30"/>
  <c r="H45" i="30" s="1"/>
  <c r="L49" i="30"/>
  <c r="BG54" i="30"/>
  <c r="BI54" i="30" s="1"/>
  <c r="AL54" i="30"/>
  <c r="AE54" i="30"/>
  <c r="AG54" i="30" s="1"/>
  <c r="X54" i="30"/>
  <c r="Z54" i="30" s="1"/>
  <c r="BN54" i="30"/>
  <c r="Q54" i="30"/>
  <c r="I22" i="30"/>
  <c r="J22" i="30" s="1"/>
  <c r="L54" i="30"/>
  <c r="Y60" i="30"/>
  <c r="AL53" i="30"/>
  <c r="AE53" i="30"/>
  <c r="X53" i="30"/>
  <c r="Q53" i="30"/>
  <c r="BG53" i="30"/>
  <c r="BI53" i="30" s="1"/>
  <c r="L53" i="30"/>
  <c r="AZ53" i="30"/>
  <c r="BB53" i="30" s="1"/>
  <c r="I26" i="30"/>
  <c r="G11" i="30"/>
  <c r="G45" i="30"/>
  <c r="G50" i="30"/>
  <c r="G55" i="30"/>
  <c r="H26" i="29"/>
  <c r="H23" i="29"/>
  <c r="G33" i="29"/>
  <c r="H33" i="29" s="1"/>
  <c r="H30" i="29"/>
  <c r="H29" i="29"/>
  <c r="H27" i="29"/>
  <c r="H24" i="29"/>
  <c r="H18" i="29"/>
  <c r="H17" i="29"/>
  <c r="H15" i="29"/>
  <c r="H14" i="29"/>
  <c r="H12" i="29"/>
  <c r="H9" i="29"/>
  <c r="H6" i="29"/>
  <c r="G4" i="29"/>
  <c r="H11" i="29"/>
  <c r="AE6" i="10"/>
  <c r="H21" i="30" l="1"/>
  <c r="H25" i="30" s="1"/>
  <c r="I21" i="30"/>
  <c r="G25" i="30"/>
  <c r="G59" i="30"/>
  <c r="H59" i="30" s="1"/>
  <c r="I59" i="30" s="1"/>
  <c r="L59" i="30" s="1"/>
  <c r="I24" i="30"/>
  <c r="I25" i="30" s="1"/>
  <c r="J25" i="30" s="1"/>
  <c r="H57" i="30"/>
  <c r="I57" i="30" s="1"/>
  <c r="L57" i="30" s="1"/>
  <c r="BN27" i="30"/>
  <c r="AS27" i="30"/>
  <c r="AU27" i="30" s="1"/>
  <c r="AE27" i="30"/>
  <c r="X27" i="30"/>
  <c r="BG27" i="30"/>
  <c r="AZ27" i="30"/>
  <c r="BB27" i="30" s="1"/>
  <c r="AL27" i="30"/>
  <c r="L27" i="30"/>
  <c r="Q27" i="30"/>
  <c r="J27" i="30"/>
  <c r="AL13" i="30"/>
  <c r="BN13" i="30"/>
  <c r="Q13" i="30"/>
  <c r="L13" i="30"/>
  <c r="BG13" i="30"/>
  <c r="X13" i="30"/>
  <c r="AS13" i="30"/>
  <c r="AZ13" i="30"/>
  <c r="J13" i="30"/>
  <c r="AE13" i="30"/>
  <c r="AE38" i="30"/>
  <c r="Q38" i="30"/>
  <c r="BG38" i="30"/>
  <c r="BI38" i="30" s="1"/>
  <c r="L38" i="30"/>
  <c r="AZ38" i="30"/>
  <c r="BB38" i="30" s="1"/>
  <c r="X38" i="30"/>
  <c r="X40" i="30" s="1"/>
  <c r="BN38" i="30"/>
  <c r="AS38" i="30"/>
  <c r="AU38" i="30" s="1"/>
  <c r="AL38" i="30"/>
  <c r="J38" i="30"/>
  <c r="I40" i="30"/>
  <c r="BN14" i="30"/>
  <c r="L14" i="30"/>
  <c r="Q14" i="30"/>
  <c r="AL14" i="30"/>
  <c r="J14" i="30"/>
  <c r="AZ14" i="30"/>
  <c r="BG14" i="30"/>
  <c r="AE14" i="30"/>
  <c r="X14" i="30"/>
  <c r="AS14" i="30"/>
  <c r="AS59" i="30" s="1"/>
  <c r="BN12" i="30"/>
  <c r="AS12" i="30"/>
  <c r="AL12" i="30"/>
  <c r="AE12" i="30"/>
  <c r="Q12" i="30"/>
  <c r="L12" i="30"/>
  <c r="J12" i="30"/>
  <c r="BG12" i="30"/>
  <c r="AZ12" i="30"/>
  <c r="X12" i="30"/>
  <c r="AK53" i="30"/>
  <c r="AN53" i="30"/>
  <c r="AG36" i="30"/>
  <c r="AD36" i="30"/>
  <c r="P43" i="30"/>
  <c r="BS43" i="30"/>
  <c r="S43" i="30"/>
  <c r="H30" i="30"/>
  <c r="BS41" i="30"/>
  <c r="S41" i="30"/>
  <c r="BF36" i="30"/>
  <c r="BI36" i="30"/>
  <c r="AG43" i="30"/>
  <c r="AD43" i="30"/>
  <c r="AL51" i="30"/>
  <c r="AZ51" i="30"/>
  <c r="X51" i="30"/>
  <c r="Q51" i="30"/>
  <c r="L51" i="30"/>
  <c r="L55" i="30" s="1"/>
  <c r="AS51" i="30"/>
  <c r="BN51" i="30"/>
  <c r="BG51" i="30"/>
  <c r="I55" i="30"/>
  <c r="J51" i="30"/>
  <c r="AE51" i="30"/>
  <c r="AY41" i="30"/>
  <c r="BB41" i="30"/>
  <c r="J40" i="30"/>
  <c r="AU41" i="30"/>
  <c r="AR41" i="30"/>
  <c r="BP36" i="30"/>
  <c r="BM36" i="30"/>
  <c r="BS54" i="30"/>
  <c r="S54" i="30"/>
  <c r="J55" i="30"/>
  <c r="AN41" i="30"/>
  <c r="AK41" i="30"/>
  <c r="AL46" i="30"/>
  <c r="AZ46" i="30"/>
  <c r="X46" i="30"/>
  <c r="Q46" i="30"/>
  <c r="L46" i="30"/>
  <c r="AS46" i="30"/>
  <c r="AE46" i="30"/>
  <c r="BG46" i="30"/>
  <c r="I50" i="30"/>
  <c r="J50" i="30" s="1"/>
  <c r="J46" i="30"/>
  <c r="BN46" i="30"/>
  <c r="AU36" i="30"/>
  <c r="AR36" i="30"/>
  <c r="BP48" i="30"/>
  <c r="BM48" i="30"/>
  <c r="Z41" i="30"/>
  <c r="AK43" i="30"/>
  <c r="AN43" i="30"/>
  <c r="Q22" i="30"/>
  <c r="L22" i="30"/>
  <c r="AN39" i="30"/>
  <c r="AK39" i="30"/>
  <c r="BP54" i="30"/>
  <c r="BM54" i="30"/>
  <c r="S36" i="30"/>
  <c r="BS36" i="30"/>
  <c r="BS49" i="30"/>
  <c r="S49" i="30"/>
  <c r="J23" i="30"/>
  <c r="L23" i="30"/>
  <c r="Q23" i="30"/>
  <c r="AE52" i="30"/>
  <c r="BG52" i="30"/>
  <c r="L52" i="30"/>
  <c r="AZ52" i="30"/>
  <c r="BB52" i="30" s="1"/>
  <c r="AS52" i="30"/>
  <c r="AU52" i="30" s="1"/>
  <c r="BN52" i="30"/>
  <c r="X52" i="30"/>
  <c r="Q52" i="30"/>
  <c r="AL52" i="30"/>
  <c r="BS44" i="30"/>
  <c r="S44" i="30"/>
  <c r="AE33" i="30"/>
  <c r="Q33" i="30"/>
  <c r="BG33" i="30"/>
  <c r="BI33" i="30" s="1"/>
  <c r="L33" i="30"/>
  <c r="AS33" i="30"/>
  <c r="AU33" i="30" s="1"/>
  <c r="BN33" i="30"/>
  <c r="AZ33" i="30"/>
  <c r="BB33" i="30" s="1"/>
  <c r="AL33" i="30"/>
  <c r="X33" i="30"/>
  <c r="Z36" i="30"/>
  <c r="H19" i="30"/>
  <c r="I19" i="30" s="1"/>
  <c r="G56" i="30"/>
  <c r="G15" i="30"/>
  <c r="H11" i="30"/>
  <c r="H15" i="30" s="1"/>
  <c r="BP49" i="30"/>
  <c r="BM49" i="30"/>
  <c r="BP44" i="30"/>
  <c r="BM44" i="30"/>
  <c r="AK29" i="30"/>
  <c r="AN29" i="30"/>
  <c r="J30" i="30"/>
  <c r="AY36" i="30"/>
  <c r="AZ40" i="30"/>
  <c r="BB36" i="30"/>
  <c r="H17" i="30"/>
  <c r="I17" i="30" s="1"/>
  <c r="BG26" i="30"/>
  <c r="AE26" i="30"/>
  <c r="AS26" i="30"/>
  <c r="I30" i="30"/>
  <c r="AZ26" i="30"/>
  <c r="BN26" i="30"/>
  <c r="AL26" i="30"/>
  <c r="L26" i="30"/>
  <c r="AN54" i="30"/>
  <c r="AK54" i="30"/>
  <c r="AE47" i="30"/>
  <c r="BG47" i="30"/>
  <c r="L47" i="30"/>
  <c r="AZ47" i="30"/>
  <c r="BB47" i="30" s="1"/>
  <c r="J47" i="30"/>
  <c r="AS47" i="30"/>
  <c r="AU47" i="30" s="1"/>
  <c r="X47" i="30"/>
  <c r="Q47" i="30"/>
  <c r="BN47" i="30"/>
  <c r="AL47" i="30"/>
  <c r="L24" i="30"/>
  <c r="Q24" i="30"/>
  <c r="J24" i="30"/>
  <c r="AE37" i="30"/>
  <c r="L37" i="30"/>
  <c r="L40" i="30" s="1"/>
  <c r="AZ37" i="30"/>
  <c r="BB37" i="30" s="1"/>
  <c r="J37" i="30"/>
  <c r="AS37" i="30"/>
  <c r="AU37" i="30" s="1"/>
  <c r="BN37" i="30"/>
  <c r="BN40" i="30" s="1"/>
  <c r="BG37" i="30"/>
  <c r="X37" i="30"/>
  <c r="Q37" i="30"/>
  <c r="AL37" i="30"/>
  <c r="AN36" i="30"/>
  <c r="AK36" i="30"/>
  <c r="S48" i="30"/>
  <c r="P48" i="30"/>
  <c r="BS48" i="30"/>
  <c r="K60" i="30"/>
  <c r="AE28" i="30"/>
  <c r="L28" i="30"/>
  <c r="AZ28" i="30"/>
  <c r="BB28" i="30" s="1"/>
  <c r="J28" i="30"/>
  <c r="BG28" i="30"/>
  <c r="BI28" i="30" s="1"/>
  <c r="AS28" i="30"/>
  <c r="AU28" i="30" s="1"/>
  <c r="AL28" i="30"/>
  <c r="X28" i="30"/>
  <c r="Q28" i="30"/>
  <c r="BN28" i="30"/>
  <c r="BM29" i="30"/>
  <c r="BP29" i="30"/>
  <c r="Z48" i="30"/>
  <c r="W48" i="30"/>
  <c r="BS29" i="30"/>
  <c r="AG29" i="30"/>
  <c r="S53" i="30"/>
  <c r="P53" i="30"/>
  <c r="BS53" i="30"/>
  <c r="I42" i="30"/>
  <c r="AL31" i="30"/>
  <c r="AZ31" i="30"/>
  <c r="X31" i="30"/>
  <c r="Q31" i="30"/>
  <c r="AS31" i="30"/>
  <c r="AE31" i="30"/>
  <c r="I35" i="30"/>
  <c r="J31" i="30"/>
  <c r="L31" i="30"/>
  <c r="L35" i="30" s="1"/>
  <c r="BN31" i="30"/>
  <c r="BG31" i="30"/>
  <c r="AN44" i="30"/>
  <c r="AK44" i="30"/>
  <c r="BP41" i="30"/>
  <c r="BM41" i="30"/>
  <c r="AE32" i="30"/>
  <c r="L32" i="30"/>
  <c r="AZ32" i="30"/>
  <c r="BB32" i="30" s="1"/>
  <c r="J32" i="30"/>
  <c r="AS32" i="30"/>
  <c r="AU32" i="30" s="1"/>
  <c r="Q32" i="30"/>
  <c r="X32" i="30"/>
  <c r="AL32" i="30"/>
  <c r="BN32" i="30"/>
  <c r="BG32" i="30"/>
  <c r="Z43" i="30"/>
  <c r="W43" i="30"/>
  <c r="BP39" i="30"/>
  <c r="BM39" i="30"/>
  <c r="AN49" i="30"/>
  <c r="AK49" i="30"/>
  <c r="AD48" i="30"/>
  <c r="AG48" i="30"/>
  <c r="BP43" i="30"/>
  <c r="BM43" i="30"/>
  <c r="AK48" i="30"/>
  <c r="AN48" i="30"/>
  <c r="Z53" i="30"/>
  <c r="W53" i="30"/>
  <c r="AE34" i="30"/>
  <c r="AG34" i="30" s="1"/>
  <c r="X34" i="30"/>
  <c r="Z34" i="30" s="1"/>
  <c r="BN34" i="30"/>
  <c r="Q34" i="30"/>
  <c r="AL34" i="30"/>
  <c r="BG34" i="30"/>
  <c r="BI34" i="30" s="1"/>
  <c r="AZ34" i="30"/>
  <c r="BB34" i="30" s="1"/>
  <c r="L34" i="30"/>
  <c r="J34" i="30"/>
  <c r="AS34" i="30"/>
  <c r="AU34" i="30" s="1"/>
  <c r="BI41" i="30"/>
  <c r="BF41" i="30"/>
  <c r="H18" i="30"/>
  <c r="I18" i="30" s="1"/>
  <c r="J26" i="30"/>
  <c r="AG53" i="30"/>
  <c r="AD53" i="30"/>
  <c r="J33" i="30"/>
  <c r="J35" i="30"/>
  <c r="G20" i="30"/>
  <c r="H16" i="30"/>
  <c r="BS39" i="30"/>
  <c r="S39" i="30"/>
  <c r="G58" i="30"/>
  <c r="H16" i="29"/>
  <c r="H28" i="29"/>
  <c r="H13" i="29"/>
  <c r="H31" i="29"/>
  <c r="H25" i="29"/>
  <c r="H19" i="29"/>
  <c r="H8" i="29"/>
  <c r="H20" i="30" l="1"/>
  <c r="Q21" i="30"/>
  <c r="L21" i="30"/>
  <c r="L25" i="30" s="1"/>
  <c r="J21" i="30"/>
  <c r="L17" i="30"/>
  <c r="Q17" i="30"/>
  <c r="Q57" i="30" s="1"/>
  <c r="J17" i="30"/>
  <c r="BP40" i="30"/>
  <c r="BM40" i="30"/>
  <c r="Z40" i="30"/>
  <c r="W40" i="30"/>
  <c r="L19" i="30"/>
  <c r="Q19" i="30"/>
  <c r="J19" i="30"/>
  <c r="BF51" i="30"/>
  <c r="BG55" i="30"/>
  <c r="BI51" i="30"/>
  <c r="I16" i="30"/>
  <c r="BP51" i="30"/>
  <c r="BM51" i="30"/>
  <c r="BN55" i="30"/>
  <c r="AK12" i="30"/>
  <c r="AL57" i="30"/>
  <c r="AN12" i="30"/>
  <c r="BN58" i="30"/>
  <c r="BM13" i="30"/>
  <c r="BP13" i="30"/>
  <c r="AN34" i="30"/>
  <c r="AK34" i="30"/>
  <c r="BU47" i="30"/>
  <c r="BI47" i="30"/>
  <c r="BM52" i="30"/>
  <c r="BP52" i="30"/>
  <c r="AS55" i="30"/>
  <c r="AU51" i="30"/>
  <c r="AR51" i="30"/>
  <c r="BM38" i="30"/>
  <c r="BP38" i="30"/>
  <c r="AN13" i="30"/>
  <c r="AK13" i="30"/>
  <c r="AL58" i="30"/>
  <c r="P13" i="30"/>
  <c r="S13" i="30"/>
  <c r="BS13" i="30"/>
  <c r="AK33" i="30"/>
  <c r="AN33" i="30"/>
  <c r="AD46" i="30"/>
  <c r="AE50" i="30"/>
  <c r="AG46" i="30"/>
  <c r="BS51" i="30"/>
  <c r="Q55" i="30"/>
  <c r="S51" i="30"/>
  <c r="AU59" i="30"/>
  <c r="AR59" i="30"/>
  <c r="Q30" i="30"/>
  <c r="BS27" i="30"/>
  <c r="M30" i="30"/>
  <c r="S27" i="30"/>
  <c r="P27" i="30"/>
  <c r="AE57" i="30"/>
  <c r="AG12" i="30"/>
  <c r="AD12" i="30"/>
  <c r="BB40" i="30"/>
  <c r="AY40" i="30"/>
  <c r="Z33" i="30"/>
  <c r="W33" i="30"/>
  <c r="Z38" i="30"/>
  <c r="W38" i="30"/>
  <c r="X59" i="30"/>
  <c r="Z14" i="30"/>
  <c r="AN31" i="30"/>
  <c r="AL35" i="30"/>
  <c r="AK31" i="30"/>
  <c r="M55" i="30"/>
  <c r="BS52" i="30"/>
  <c r="S52" i="30"/>
  <c r="P52" i="30"/>
  <c r="Z52" i="30"/>
  <c r="W52" i="30"/>
  <c r="BS34" i="30"/>
  <c r="S34" i="30"/>
  <c r="BF46" i="30"/>
  <c r="BG50" i="30"/>
  <c r="BI46" i="30"/>
  <c r="BN57" i="30"/>
  <c r="BP12" i="30"/>
  <c r="BM12" i="30"/>
  <c r="BP34" i="30"/>
  <c r="BM34" i="30"/>
  <c r="AD28" i="30"/>
  <c r="AG28" i="30"/>
  <c r="AS50" i="30"/>
  <c r="AU46" i="30"/>
  <c r="AR46" i="30"/>
  <c r="Z51" i="30"/>
  <c r="X55" i="30"/>
  <c r="BG35" i="30"/>
  <c r="BI31" i="30"/>
  <c r="BF31" i="30"/>
  <c r="AG37" i="30"/>
  <c r="AD37" i="30"/>
  <c r="L30" i="30"/>
  <c r="BM33" i="30"/>
  <c r="BP33" i="30"/>
  <c r="BU52" i="30"/>
  <c r="BI52" i="30"/>
  <c r="BS22" i="30"/>
  <c r="BU22" i="30"/>
  <c r="S22" i="30"/>
  <c r="P22" i="30"/>
  <c r="Q25" i="30"/>
  <c r="L50" i="30"/>
  <c r="BB51" i="30"/>
  <c r="AY51" i="30"/>
  <c r="AZ55" i="30"/>
  <c r="AE40" i="30"/>
  <c r="AE59" i="30"/>
  <c r="AG14" i="30"/>
  <c r="AN27" i="30"/>
  <c r="AK27" i="30"/>
  <c r="AK38" i="30"/>
  <c r="AN38" i="30"/>
  <c r="BP37" i="30"/>
  <c r="BM37" i="30"/>
  <c r="AG47" i="30"/>
  <c r="AD47" i="30"/>
  <c r="BP31" i="30"/>
  <c r="BM31" i="30"/>
  <c r="BN35" i="30"/>
  <c r="AL30" i="30"/>
  <c r="AK26" i="30"/>
  <c r="AN26" i="30"/>
  <c r="AG52" i="30"/>
  <c r="AD52" i="30"/>
  <c r="BS46" i="30"/>
  <c r="Q50" i="30"/>
  <c r="S46" i="30"/>
  <c r="AN51" i="30"/>
  <c r="AL55" i="30"/>
  <c r="AK51" i="30"/>
  <c r="BG59" i="30"/>
  <c r="BI14" i="30"/>
  <c r="P38" i="30"/>
  <c r="S38" i="30"/>
  <c r="BS38" i="30"/>
  <c r="AE42" i="30"/>
  <c r="L42" i="30"/>
  <c r="L45" i="30" s="1"/>
  <c r="AZ42" i="30"/>
  <c r="AZ57" i="30" s="1"/>
  <c r="J42" i="30"/>
  <c r="AS42" i="30"/>
  <c r="BG42" i="30"/>
  <c r="BG57" i="30" s="1"/>
  <c r="AL42" i="30"/>
  <c r="X42" i="30"/>
  <c r="X57" i="30" s="1"/>
  <c r="BN42" i="30"/>
  <c r="Q42" i="30"/>
  <c r="I45" i="30"/>
  <c r="J45" i="30" s="1"/>
  <c r="BU32" i="30"/>
  <c r="BI32" i="30"/>
  <c r="BM32" i="30"/>
  <c r="BP32" i="30"/>
  <c r="BS24" i="30"/>
  <c r="S24" i="30"/>
  <c r="BM26" i="30"/>
  <c r="BN30" i="30"/>
  <c r="BP26" i="30"/>
  <c r="BS23" i="30"/>
  <c r="S23" i="30"/>
  <c r="P23" i="30"/>
  <c r="Z46" i="30"/>
  <c r="X50" i="30"/>
  <c r="AZ59" i="30"/>
  <c r="BB14" i="30"/>
  <c r="AG38" i="30"/>
  <c r="AD38" i="30"/>
  <c r="BI27" i="30"/>
  <c r="BU27" i="30"/>
  <c r="BU37" i="30"/>
  <c r="BI37" i="30"/>
  <c r="L18" i="30"/>
  <c r="J18" i="30"/>
  <c r="Q18" i="30"/>
  <c r="Q58" i="30" s="1"/>
  <c r="AN32" i="30"/>
  <c r="AK32" i="30"/>
  <c r="AZ30" i="30"/>
  <c r="BB26" i="30"/>
  <c r="AY26" i="30"/>
  <c r="BB46" i="30"/>
  <c r="AY46" i="30"/>
  <c r="AZ50" i="30"/>
  <c r="AE58" i="30"/>
  <c r="AD13" i="30"/>
  <c r="AG13" i="30"/>
  <c r="Z27" i="30"/>
  <c r="W27" i="30"/>
  <c r="X30" i="30"/>
  <c r="Z32" i="30"/>
  <c r="W32" i="30"/>
  <c r="AN47" i="30"/>
  <c r="AK47" i="30"/>
  <c r="P33" i="30"/>
  <c r="BS33" i="30"/>
  <c r="S33" i="30"/>
  <c r="AN46" i="30"/>
  <c r="AL50" i="30"/>
  <c r="AK46" i="30"/>
  <c r="W12" i="30"/>
  <c r="Z12" i="30"/>
  <c r="AL59" i="30"/>
  <c r="AN14" i="30"/>
  <c r="AK14" i="30"/>
  <c r="AG27" i="30"/>
  <c r="AD27" i="30"/>
  <c r="AG32" i="30"/>
  <c r="AD32" i="30"/>
  <c r="BP46" i="30"/>
  <c r="BM46" i="30"/>
  <c r="BN50" i="30"/>
  <c r="AE35" i="30"/>
  <c r="AG31" i="30"/>
  <c r="AD31" i="30"/>
  <c r="AL40" i="30"/>
  <c r="BB12" i="30"/>
  <c r="BS14" i="30"/>
  <c r="S14" i="30"/>
  <c r="AZ58" i="30"/>
  <c r="BB13" i="30"/>
  <c r="AS35" i="30"/>
  <c r="AR31" i="30"/>
  <c r="AU31" i="30"/>
  <c r="AE30" i="30"/>
  <c r="BS26" i="30"/>
  <c r="AD26" i="30"/>
  <c r="AG26" i="30"/>
  <c r="J57" i="30"/>
  <c r="BG40" i="30"/>
  <c r="BP27" i="30"/>
  <c r="BM27" i="30"/>
  <c r="H58" i="30"/>
  <c r="I58" i="30" s="1"/>
  <c r="Q35" i="30"/>
  <c r="S31" i="30"/>
  <c r="BS31" i="30"/>
  <c r="Z28" i="30"/>
  <c r="W28" i="30"/>
  <c r="AN37" i="30"/>
  <c r="AK37" i="30"/>
  <c r="Z47" i="30"/>
  <c r="W47" i="30"/>
  <c r="BG30" i="30"/>
  <c r="BI26" i="30"/>
  <c r="BF26" i="30"/>
  <c r="AD51" i="30"/>
  <c r="AE55" i="30"/>
  <c r="AG51" i="30"/>
  <c r="BN59" i="30"/>
  <c r="BM14" i="30"/>
  <c r="BP14" i="30"/>
  <c r="X58" i="30"/>
  <c r="W13" i="30"/>
  <c r="Z13" i="30"/>
  <c r="M35" i="30"/>
  <c r="BS32" i="30"/>
  <c r="S32" i="30"/>
  <c r="P32" i="30"/>
  <c r="BP28" i="30"/>
  <c r="BM28" i="30"/>
  <c r="BM47" i="30"/>
  <c r="BP47" i="30"/>
  <c r="AS30" i="30"/>
  <c r="AU26" i="30"/>
  <c r="AR26" i="30"/>
  <c r="AG33" i="30"/>
  <c r="AD33" i="30"/>
  <c r="BS28" i="30"/>
  <c r="S28" i="30"/>
  <c r="P28" i="30"/>
  <c r="M50" i="30"/>
  <c r="BS47" i="30"/>
  <c r="S47" i="30"/>
  <c r="P47" i="30"/>
  <c r="I11" i="30"/>
  <c r="BU12" i="30"/>
  <c r="BI12" i="30"/>
  <c r="AS58" i="30"/>
  <c r="X35" i="30"/>
  <c r="Z31" i="30"/>
  <c r="AN28" i="30"/>
  <c r="AK28" i="30"/>
  <c r="M40" i="30"/>
  <c r="BS37" i="30"/>
  <c r="S37" i="30"/>
  <c r="P37" i="30"/>
  <c r="H56" i="30"/>
  <c r="G60" i="30"/>
  <c r="BG58" i="30"/>
  <c r="BI13" i="30"/>
  <c r="AY31" i="30"/>
  <c r="AZ35" i="30"/>
  <c r="BB31" i="30"/>
  <c r="Z37" i="30"/>
  <c r="W37" i="30"/>
  <c r="AN52" i="30"/>
  <c r="AK52" i="30"/>
  <c r="Q40" i="30"/>
  <c r="AS40" i="30"/>
  <c r="P12" i="30"/>
  <c r="BS12" i="30"/>
  <c r="S12" i="30"/>
  <c r="H10" i="29"/>
  <c r="C38" i="24"/>
  <c r="C37" i="24"/>
  <c r="C36" i="24"/>
  <c r="C35" i="24"/>
  <c r="C34" i="24"/>
  <c r="B16" i="28"/>
  <c r="B21" i="28" s="1"/>
  <c r="B26" i="28" s="1"/>
  <c r="B31" i="28" s="1"/>
  <c r="B36" i="28" s="1"/>
  <c r="B41" i="28" s="1"/>
  <c r="B46" i="28" s="1"/>
  <c r="B51" i="28" s="1"/>
  <c r="B56" i="28" s="1"/>
  <c r="B61" i="28" s="1"/>
  <c r="BO59" i="12"/>
  <c r="BO58" i="12"/>
  <c r="BO57" i="12"/>
  <c r="BO56" i="12"/>
  <c r="BH59" i="12"/>
  <c r="BH58" i="12"/>
  <c r="BH57" i="12"/>
  <c r="BH56" i="12"/>
  <c r="BA59" i="12"/>
  <c r="BA58" i="12"/>
  <c r="BA57" i="12"/>
  <c r="BA56" i="12"/>
  <c r="AT59" i="12"/>
  <c r="AT58" i="12"/>
  <c r="AT57" i="12"/>
  <c r="AT56" i="12"/>
  <c r="AM59" i="12"/>
  <c r="AM58" i="12"/>
  <c r="AM57" i="12"/>
  <c r="AM56" i="12"/>
  <c r="AF59" i="12"/>
  <c r="AF58" i="12"/>
  <c r="AF57" i="12"/>
  <c r="AF56" i="12"/>
  <c r="Y59" i="12"/>
  <c r="Y58" i="12"/>
  <c r="Y57" i="12"/>
  <c r="Y56" i="12"/>
  <c r="R59" i="12"/>
  <c r="R58" i="12"/>
  <c r="R57" i="12"/>
  <c r="R56" i="12"/>
  <c r="K59" i="12"/>
  <c r="B26" i="12"/>
  <c r="B31" i="12" s="1"/>
  <c r="B36" i="12" s="1"/>
  <c r="B41" i="12" s="1"/>
  <c r="BH75" i="28"/>
  <c r="E38" i="24"/>
  <c r="E37" i="24"/>
  <c r="E36" i="24"/>
  <c r="F36" i="24" s="1"/>
  <c r="E35" i="24"/>
  <c r="F35" i="24" s="1"/>
  <c r="E34" i="24"/>
  <c r="F34" i="24" s="1"/>
  <c r="AF75" i="28"/>
  <c r="BO50" i="28"/>
  <c r="BH50" i="28"/>
  <c r="BA50" i="28"/>
  <c r="AT50" i="28"/>
  <c r="AM50" i="28"/>
  <c r="AF50" i="28"/>
  <c r="Y50" i="28"/>
  <c r="K49" i="28"/>
  <c r="BT49" i="28" s="1"/>
  <c r="G49" i="28"/>
  <c r="H49" i="28" s="1"/>
  <c r="I49" i="28" s="1"/>
  <c r="K48" i="28"/>
  <c r="G48" i="28"/>
  <c r="H48" i="28" s="1"/>
  <c r="I48" i="28" s="1"/>
  <c r="K47" i="28"/>
  <c r="G47" i="28"/>
  <c r="BD46" i="28"/>
  <c r="K46" i="28"/>
  <c r="BT46" i="28" s="1"/>
  <c r="G46" i="28"/>
  <c r="BO45" i="28"/>
  <c r="BH45" i="28"/>
  <c r="BA45" i="28"/>
  <c r="AT45" i="28"/>
  <c r="AM45" i="28"/>
  <c r="AF45" i="28"/>
  <c r="Y45" i="28"/>
  <c r="R45" i="28"/>
  <c r="K44" i="28"/>
  <c r="G44" i="28"/>
  <c r="H44" i="28" s="1"/>
  <c r="I44" i="28" s="1"/>
  <c r="K43" i="28"/>
  <c r="G43" i="28"/>
  <c r="K42" i="28"/>
  <c r="BT42" i="28" s="1"/>
  <c r="G42" i="28"/>
  <c r="H42" i="28" s="1"/>
  <c r="I42" i="28" s="1"/>
  <c r="X42" i="28" s="1"/>
  <c r="BD41" i="28"/>
  <c r="K41" i="28"/>
  <c r="BT41" i="28" s="1"/>
  <c r="G41" i="28"/>
  <c r="H41" i="28" s="1"/>
  <c r="BO40" i="28"/>
  <c r="BH40" i="28"/>
  <c r="BA40" i="28"/>
  <c r="AT40" i="28"/>
  <c r="AM40" i="28"/>
  <c r="AF40" i="28"/>
  <c r="Y40" i="28"/>
  <c r="R40" i="28"/>
  <c r="K39" i="28"/>
  <c r="BT39" i="28" s="1"/>
  <c r="K38" i="28"/>
  <c r="G38" i="28"/>
  <c r="K37" i="28"/>
  <c r="K72" i="28" s="1"/>
  <c r="G37" i="28"/>
  <c r="BD36" i="28"/>
  <c r="K36" i="28"/>
  <c r="BT36" i="28" s="1"/>
  <c r="G36" i="28"/>
  <c r="BO35" i="28"/>
  <c r="BH35" i="28"/>
  <c r="BA35" i="28"/>
  <c r="AT35" i="28"/>
  <c r="AM35" i="28"/>
  <c r="AF35" i="28"/>
  <c r="Y35" i="28"/>
  <c r="R35" i="28"/>
  <c r="K34" i="28"/>
  <c r="G34" i="28"/>
  <c r="K33" i="28"/>
  <c r="BT33" i="28" s="1"/>
  <c r="G33" i="28"/>
  <c r="H33" i="28" s="1"/>
  <c r="I33" i="28" s="1"/>
  <c r="K32" i="28"/>
  <c r="BT32" i="28" s="1"/>
  <c r="G32" i="28"/>
  <c r="H32" i="28" s="1"/>
  <c r="I32" i="28" s="1"/>
  <c r="BD31" i="28"/>
  <c r="K31" i="28"/>
  <c r="BT31" i="28" s="1"/>
  <c r="G31" i="28"/>
  <c r="BO30" i="28"/>
  <c r="BH30" i="28"/>
  <c r="BA30" i="28"/>
  <c r="AT30" i="28"/>
  <c r="AM30" i="28"/>
  <c r="AF30" i="28"/>
  <c r="Y30" i="28"/>
  <c r="R30" i="28"/>
  <c r="K29" i="28"/>
  <c r="G29" i="28"/>
  <c r="H29" i="28" s="1"/>
  <c r="K28" i="28"/>
  <c r="BT28" i="28" s="1"/>
  <c r="G28" i="28"/>
  <c r="H28" i="28" s="1"/>
  <c r="K27" i="28"/>
  <c r="BT27" i="28" s="1"/>
  <c r="G27" i="28"/>
  <c r="BD26" i="28"/>
  <c r="K26" i="28"/>
  <c r="BT26" i="28" s="1"/>
  <c r="G26" i="28"/>
  <c r="BO25" i="28"/>
  <c r="BH25" i="28"/>
  <c r="BA25" i="28"/>
  <c r="AT25" i="28"/>
  <c r="AM25" i="28"/>
  <c r="AF25" i="28"/>
  <c r="Y25" i="28"/>
  <c r="R25" i="28"/>
  <c r="K24" i="28"/>
  <c r="BT24" i="28" s="1"/>
  <c r="K23" i="28"/>
  <c r="K22" i="28"/>
  <c r="BT22" i="28" s="1"/>
  <c r="BD21" i="28"/>
  <c r="K21" i="28"/>
  <c r="BT21" i="28" s="1"/>
  <c r="G24" i="28"/>
  <c r="C33" i="24"/>
  <c r="BO20" i="28"/>
  <c r="BH20" i="28"/>
  <c r="BA20" i="28"/>
  <c r="AT20" i="28"/>
  <c r="AM20" i="28"/>
  <c r="AF20" i="28"/>
  <c r="Y20" i="28"/>
  <c r="R20" i="28"/>
  <c r="K19" i="28"/>
  <c r="BT19" i="28" s="1"/>
  <c r="K18" i="28"/>
  <c r="BT18" i="28" s="1"/>
  <c r="K17" i="28"/>
  <c r="BT17" i="28" s="1"/>
  <c r="BD16" i="28"/>
  <c r="K16" i="28"/>
  <c r="G16" i="28"/>
  <c r="C32" i="24"/>
  <c r="BO15" i="28"/>
  <c r="BH15" i="28"/>
  <c r="BA15" i="28"/>
  <c r="AT15" i="28"/>
  <c r="AM15" i="28"/>
  <c r="AF15" i="28"/>
  <c r="Y15" i="28"/>
  <c r="R15" i="28"/>
  <c r="K14" i="28"/>
  <c r="K13" i="28"/>
  <c r="BT13" i="28" s="1"/>
  <c r="K12" i="28"/>
  <c r="BT12" i="28" s="1"/>
  <c r="BD11" i="28"/>
  <c r="K11" i="28"/>
  <c r="G11" i="28"/>
  <c r="C31" i="24"/>
  <c r="G5" i="29"/>
  <c r="E18" i="23"/>
  <c r="E17" i="23"/>
  <c r="E15" i="23"/>
  <c r="E14" i="23"/>
  <c r="D54" i="23"/>
  <c r="E54" i="23" s="1"/>
  <c r="E51" i="23"/>
  <c r="D50" i="23"/>
  <c r="E50" i="23" s="1"/>
  <c r="E48" i="23"/>
  <c r="E47" i="23"/>
  <c r="E45" i="23"/>
  <c r="D44" i="23"/>
  <c r="E44" i="23" s="1"/>
  <c r="E42" i="23"/>
  <c r="D41" i="23"/>
  <c r="E41" i="23" s="1"/>
  <c r="E39" i="23"/>
  <c r="E38" i="23"/>
  <c r="D30" i="23"/>
  <c r="E30" i="23" s="1"/>
  <c r="E24" i="23"/>
  <c r="E23" i="23"/>
  <c r="E21" i="23"/>
  <c r="E20" i="23"/>
  <c r="E12" i="23"/>
  <c r="E11" i="23"/>
  <c r="E9" i="23"/>
  <c r="E6" i="23"/>
  <c r="D4" i="23"/>
  <c r="J46" i="24"/>
  <c r="G46" i="24"/>
  <c r="J45" i="24"/>
  <c r="G45" i="24"/>
  <c r="C46" i="24"/>
  <c r="C45" i="24"/>
  <c r="W64" i="24"/>
  <c r="U64" i="24"/>
  <c r="E62" i="24"/>
  <c r="F62" i="24" s="1"/>
  <c r="E61" i="24"/>
  <c r="F61" i="24" s="1"/>
  <c r="E60" i="24"/>
  <c r="F60" i="24" s="1"/>
  <c r="E59" i="24"/>
  <c r="F59" i="24" s="1"/>
  <c r="C62" i="24"/>
  <c r="C61" i="24"/>
  <c r="C60" i="24"/>
  <c r="C59" i="24"/>
  <c r="S28" i="24"/>
  <c r="E28" i="24"/>
  <c r="F28" i="24" s="1"/>
  <c r="C28" i="24"/>
  <c r="W30" i="24"/>
  <c r="M38" i="24"/>
  <c r="M37" i="24"/>
  <c r="M36" i="24"/>
  <c r="M35" i="24"/>
  <c r="M34" i="24"/>
  <c r="BE62" i="14"/>
  <c r="F62" i="14"/>
  <c r="BE61" i="14"/>
  <c r="BE60" i="14"/>
  <c r="BE59" i="14"/>
  <c r="BE66" i="14"/>
  <c r="F66" i="14"/>
  <c r="BE65" i="14"/>
  <c r="BE64" i="14"/>
  <c r="BE63" i="14"/>
  <c r="BE67" i="14"/>
  <c r="BE68" i="14"/>
  <c r="BE69" i="14"/>
  <c r="F70" i="14"/>
  <c r="BE70" i="14"/>
  <c r="F58" i="14"/>
  <c r="BE58" i="14"/>
  <c r="BE57" i="14"/>
  <c r="BE56" i="14"/>
  <c r="BE55" i="14"/>
  <c r="BT38" i="28" l="1"/>
  <c r="K73" i="28"/>
  <c r="BT14" i="28"/>
  <c r="BT74" i="28"/>
  <c r="H38" i="28"/>
  <c r="I38" i="28" s="1"/>
  <c r="AE38" i="28" s="1"/>
  <c r="H38" i="24"/>
  <c r="F38" i="24"/>
  <c r="H37" i="24"/>
  <c r="F37" i="24"/>
  <c r="BT48" i="28"/>
  <c r="BT73" i="28"/>
  <c r="AM75" i="28"/>
  <c r="BO75" i="28"/>
  <c r="AT75" i="28"/>
  <c r="Y75" i="28"/>
  <c r="AW36" i="28"/>
  <c r="AP36" i="28" s="1"/>
  <c r="AI36" i="28" s="1"/>
  <c r="AB36" i="28" s="1"/>
  <c r="V36" i="32" s="1"/>
  <c r="AW26" i="28"/>
  <c r="AP26" i="28" s="1"/>
  <c r="AI26" i="28" s="1"/>
  <c r="AB26" i="28" s="1"/>
  <c r="BA75" i="28"/>
  <c r="AW31" i="28"/>
  <c r="AP31" i="28" s="1"/>
  <c r="AI31" i="28" s="1"/>
  <c r="AB31" i="28" s="1"/>
  <c r="AW16" i="28"/>
  <c r="AP16" i="28" s="1"/>
  <c r="AI16" i="28" s="1"/>
  <c r="AB16" i="28" s="1"/>
  <c r="AW41" i="28"/>
  <c r="AP41" i="28" s="1"/>
  <c r="AI41" i="28" s="1"/>
  <c r="AB41" i="28" s="1"/>
  <c r="AW21" i="28"/>
  <c r="AP21" i="28" s="1"/>
  <c r="AI21" i="28" s="1"/>
  <c r="AB21" i="28" s="1"/>
  <c r="AW46" i="28"/>
  <c r="AP46" i="28" s="1"/>
  <c r="AI46" i="28" s="1"/>
  <c r="AB46" i="28" s="1"/>
  <c r="V38" i="32" s="1"/>
  <c r="AW11" i="28"/>
  <c r="AP11" i="28" s="1"/>
  <c r="AI11" i="28" s="1"/>
  <c r="AB11" i="28" s="1"/>
  <c r="H34" i="24"/>
  <c r="H35" i="24"/>
  <c r="H60" i="30"/>
  <c r="BS21" i="30"/>
  <c r="S21" i="30"/>
  <c r="G50" i="28"/>
  <c r="AY57" i="30"/>
  <c r="BB57" i="30"/>
  <c r="W57" i="30"/>
  <c r="Z57" i="30"/>
  <c r="BI57" i="30"/>
  <c r="BF57" i="30"/>
  <c r="S58" i="30"/>
  <c r="P58" i="30"/>
  <c r="AU58" i="30"/>
  <c r="AR58" i="30"/>
  <c r="AU30" i="30"/>
  <c r="AR30" i="30"/>
  <c r="AD55" i="30"/>
  <c r="AG55" i="30"/>
  <c r="BF35" i="30"/>
  <c r="BI35" i="30"/>
  <c r="AK59" i="30"/>
  <c r="AN59" i="30"/>
  <c r="BB35" i="30"/>
  <c r="AY35" i="30"/>
  <c r="S25" i="30"/>
  <c r="P25" i="30"/>
  <c r="Z55" i="30"/>
  <c r="W55" i="30"/>
  <c r="AD50" i="30"/>
  <c r="AG50" i="30"/>
  <c r="AU55" i="30"/>
  <c r="AR55" i="30"/>
  <c r="J16" i="30"/>
  <c r="I20" i="30"/>
  <c r="J20" i="30" s="1"/>
  <c r="Q16" i="30"/>
  <c r="L16" i="30"/>
  <c r="L20" i="30" s="1"/>
  <c r="BF40" i="30"/>
  <c r="BI40" i="30"/>
  <c r="AN40" i="30"/>
  <c r="AK40" i="30"/>
  <c r="AG58" i="30"/>
  <c r="AD58" i="30"/>
  <c r="BB50" i="30"/>
  <c r="AY50" i="30"/>
  <c r="BI59" i="30"/>
  <c r="BF59" i="30"/>
  <c r="BF55" i="30"/>
  <c r="BI55" i="30"/>
  <c r="L58" i="30"/>
  <c r="J58" i="30"/>
  <c r="BP35" i="30"/>
  <c r="BM35" i="30"/>
  <c r="BI58" i="30"/>
  <c r="BF58" i="30"/>
  <c r="AL11" i="30"/>
  <c r="Q11" i="30"/>
  <c r="L11" i="30"/>
  <c r="L15" i="30" s="1"/>
  <c r="BG11" i="30"/>
  <c r="AZ11" i="30"/>
  <c r="AE11" i="30"/>
  <c r="I15" i="30"/>
  <c r="J15" i="30" s="1"/>
  <c r="BN11" i="30"/>
  <c r="X11" i="30"/>
  <c r="AS11" i="30"/>
  <c r="J11" i="30"/>
  <c r="BF30" i="30"/>
  <c r="BI30" i="30"/>
  <c r="AN50" i="30"/>
  <c r="AK50" i="30"/>
  <c r="AD35" i="30"/>
  <c r="AG35" i="30"/>
  <c r="BB59" i="30"/>
  <c r="AY59" i="30"/>
  <c r="M45" i="30"/>
  <c r="BS42" i="30"/>
  <c r="S42" i="30"/>
  <c r="P42" i="30"/>
  <c r="Q45" i="30"/>
  <c r="AN55" i="30"/>
  <c r="AK55" i="30"/>
  <c r="AU50" i="30"/>
  <c r="AR50" i="30"/>
  <c r="AG57" i="30"/>
  <c r="AD57" i="30"/>
  <c r="Z35" i="30"/>
  <c r="W35" i="30"/>
  <c r="I56" i="30"/>
  <c r="BP50" i="30"/>
  <c r="BM50" i="30"/>
  <c r="Z50" i="30"/>
  <c r="W50" i="30"/>
  <c r="BP42" i="30"/>
  <c r="BM42" i="30"/>
  <c r="BN45" i="30"/>
  <c r="BS19" i="30"/>
  <c r="S19" i="30"/>
  <c r="AD30" i="30"/>
  <c r="AG30" i="30"/>
  <c r="Z42" i="30"/>
  <c r="W42" i="30"/>
  <c r="X45" i="30"/>
  <c r="BB30" i="30"/>
  <c r="AY30" i="30"/>
  <c r="AN42" i="30"/>
  <c r="AK42" i="30"/>
  <c r="AL45" i="30"/>
  <c r="P50" i="30"/>
  <c r="S50" i="30"/>
  <c r="S57" i="30"/>
  <c r="P57" i="30"/>
  <c r="AN35" i="30"/>
  <c r="AK35" i="30"/>
  <c r="AR35" i="30"/>
  <c r="AU35" i="30"/>
  <c r="AU42" i="30"/>
  <c r="AS45" i="30"/>
  <c r="S30" i="30"/>
  <c r="P30" i="30"/>
  <c r="BM58" i="30"/>
  <c r="BP58" i="30"/>
  <c r="BU42" i="30"/>
  <c r="BI42" i="30"/>
  <c r="BG45" i="30"/>
  <c r="AK58" i="30"/>
  <c r="AN58" i="30"/>
  <c r="AU40" i="30"/>
  <c r="AR40" i="30"/>
  <c r="P40" i="30"/>
  <c r="S40" i="30"/>
  <c r="W58" i="30"/>
  <c r="Z58" i="30"/>
  <c r="BS18" i="30"/>
  <c r="S18" i="30"/>
  <c r="P18" i="30"/>
  <c r="AG59" i="30"/>
  <c r="AD59" i="30"/>
  <c r="S35" i="30"/>
  <c r="P35" i="30"/>
  <c r="Z30" i="30"/>
  <c r="W30" i="30"/>
  <c r="BB55" i="30"/>
  <c r="AY55" i="30"/>
  <c r="BS17" i="30"/>
  <c r="S17" i="30"/>
  <c r="P17" i="30"/>
  <c r="BU17" i="30"/>
  <c r="AY58" i="30"/>
  <c r="BB58" i="30"/>
  <c r="BP30" i="30"/>
  <c r="BM30" i="30"/>
  <c r="BB42" i="30"/>
  <c r="AZ45" i="30"/>
  <c r="AD40" i="30"/>
  <c r="AG40" i="30"/>
  <c r="BM57" i="30"/>
  <c r="BP57" i="30"/>
  <c r="Z59" i="30"/>
  <c r="W59" i="30"/>
  <c r="AK57" i="30"/>
  <c r="AN57" i="30"/>
  <c r="BM59" i="30"/>
  <c r="BP59" i="30"/>
  <c r="Q59" i="30"/>
  <c r="AG42" i="30"/>
  <c r="AD42" i="30"/>
  <c r="AE45" i="30"/>
  <c r="AN30" i="30"/>
  <c r="AK30" i="30"/>
  <c r="BF50" i="30"/>
  <c r="BI50" i="30"/>
  <c r="P55" i="30"/>
  <c r="S55" i="30"/>
  <c r="AS57" i="30"/>
  <c r="BP55" i="30"/>
  <c r="BM55" i="30"/>
  <c r="E5" i="23"/>
  <c r="E7" i="23" s="1"/>
  <c r="E16" i="23"/>
  <c r="N43" i="24" s="1"/>
  <c r="R75" i="28"/>
  <c r="K50" i="28"/>
  <c r="I29" i="28"/>
  <c r="BN29" i="28" s="1"/>
  <c r="BP29" i="28" s="1"/>
  <c r="K35" i="28"/>
  <c r="K30" i="28"/>
  <c r="AS38" i="28"/>
  <c r="J38" i="28"/>
  <c r="BN38" i="28"/>
  <c r="K20" i="28"/>
  <c r="BT16" i="28"/>
  <c r="G30" i="28"/>
  <c r="H39" i="28"/>
  <c r="I39" i="28" s="1"/>
  <c r="E31" i="24"/>
  <c r="F31" i="24" s="1"/>
  <c r="E32" i="24"/>
  <c r="F32" i="24" s="1"/>
  <c r="E33" i="24"/>
  <c r="F33" i="24" s="1"/>
  <c r="K15" i="28"/>
  <c r="K45" i="28"/>
  <c r="G35" i="28"/>
  <c r="BT11" i="28"/>
  <c r="BT47" i="28"/>
  <c r="H16" i="28"/>
  <c r="I16" i="28" s="1"/>
  <c r="W42" i="28"/>
  <c r="Z42" i="28"/>
  <c r="H11" i="28"/>
  <c r="BN32" i="28"/>
  <c r="AZ32" i="28"/>
  <c r="J32" i="28"/>
  <c r="AS32" i="28"/>
  <c r="BG32" i="28"/>
  <c r="AL32" i="28"/>
  <c r="L32" i="28"/>
  <c r="AE32" i="28"/>
  <c r="X32" i="28"/>
  <c r="Q32" i="28"/>
  <c r="U35" i="24" s="1"/>
  <c r="H24" i="28"/>
  <c r="I24" i="28" s="1"/>
  <c r="AS33" i="28"/>
  <c r="Q33" i="28"/>
  <c r="BN33" i="28"/>
  <c r="BG33" i="28"/>
  <c r="L33" i="28"/>
  <c r="AZ33" i="28"/>
  <c r="X33" i="28"/>
  <c r="AL33" i="28"/>
  <c r="AE33" i="28"/>
  <c r="G12" i="28"/>
  <c r="G14" i="28"/>
  <c r="G18" i="28"/>
  <c r="G19" i="28"/>
  <c r="I28" i="28"/>
  <c r="H34" i="28"/>
  <c r="I34" i="28" s="1"/>
  <c r="H43" i="28"/>
  <c r="I43" i="28" s="1"/>
  <c r="G21" i="28"/>
  <c r="K25" i="28"/>
  <c r="H27" i="28"/>
  <c r="I27" i="28" s="1"/>
  <c r="H31" i="28"/>
  <c r="H35" i="28" s="1"/>
  <c r="G13" i="28"/>
  <c r="BT34" i="28"/>
  <c r="BT37" i="28"/>
  <c r="I41" i="28"/>
  <c r="AE44" i="28"/>
  <c r="X44" i="28"/>
  <c r="Q44" i="28"/>
  <c r="L44" i="28"/>
  <c r="BN44" i="28"/>
  <c r="BP44" i="28" s="1"/>
  <c r="BG44" i="28"/>
  <c r="AZ44" i="28"/>
  <c r="AS44" i="28"/>
  <c r="AL44" i="28"/>
  <c r="G40" i="28"/>
  <c r="J44" i="28"/>
  <c r="G22" i="28"/>
  <c r="BT23" i="28"/>
  <c r="H36" i="28"/>
  <c r="H37" i="28"/>
  <c r="I37" i="28" s="1"/>
  <c r="G23" i="28"/>
  <c r="H26" i="28"/>
  <c r="K40" i="28"/>
  <c r="AL38" i="28"/>
  <c r="AL48" i="28"/>
  <c r="AE48" i="28"/>
  <c r="BN48" i="28"/>
  <c r="BP48" i="28" s="1"/>
  <c r="X48" i="28"/>
  <c r="BG48" i="28"/>
  <c r="Q48" i="28"/>
  <c r="AZ48" i="28"/>
  <c r="L48" i="28"/>
  <c r="AS48" i="28"/>
  <c r="J48" i="28"/>
  <c r="G17" i="28"/>
  <c r="BT29" i="28"/>
  <c r="J33" i="28"/>
  <c r="BN49" i="28"/>
  <c r="BP49" i="28" s="1"/>
  <c r="BG49" i="28"/>
  <c r="AZ49" i="28"/>
  <c r="AS49" i="28"/>
  <c r="AL49" i="28"/>
  <c r="AE49" i="28"/>
  <c r="X49" i="28"/>
  <c r="Q49" i="28"/>
  <c r="L49" i="28"/>
  <c r="J49" i="28"/>
  <c r="BG42" i="28"/>
  <c r="Q42" i="28"/>
  <c r="AZ42" i="28"/>
  <c r="L42" i="28"/>
  <c r="AS42" i="28"/>
  <c r="J42" i="28"/>
  <c r="AL42" i="28"/>
  <c r="AE42" i="28"/>
  <c r="BN42" i="28"/>
  <c r="D71" i="28"/>
  <c r="H46" i="28"/>
  <c r="BT43" i="28"/>
  <c r="BT44" i="28"/>
  <c r="G45" i="28"/>
  <c r="H47" i="28"/>
  <c r="I47" i="28" s="1"/>
  <c r="E19" i="23"/>
  <c r="H36" i="24"/>
  <c r="E49" i="23"/>
  <c r="E13" i="23"/>
  <c r="N30" i="24" s="1"/>
  <c r="E52" i="23"/>
  <c r="E40" i="23"/>
  <c r="E25" i="23"/>
  <c r="N64" i="24" s="1"/>
  <c r="E46" i="23"/>
  <c r="E22" i="23"/>
  <c r="N54" i="24" s="1"/>
  <c r="D29" i="23"/>
  <c r="E8" i="23"/>
  <c r="E10" i="23" s="1"/>
  <c r="E43" i="23"/>
  <c r="E53" i="23"/>
  <c r="E55" i="23" s="1"/>
  <c r="D53" i="23"/>
  <c r="BA60" i="12"/>
  <c r="BO60" i="12"/>
  <c r="BH60" i="12"/>
  <c r="AF60" i="12"/>
  <c r="AT60" i="12"/>
  <c r="Y60" i="12"/>
  <c r="AM60" i="12"/>
  <c r="AZ38" i="28" l="1"/>
  <c r="Q38" i="28"/>
  <c r="W35" i="24"/>
  <c r="Y35" i="24"/>
  <c r="L38" i="28"/>
  <c r="BG38" i="28"/>
  <c r="X38" i="28"/>
  <c r="BB38" i="28"/>
  <c r="N19" i="24"/>
  <c r="N19" i="34"/>
  <c r="N18" i="34" s="1"/>
  <c r="N32" i="34"/>
  <c r="N31" i="34" s="1"/>
  <c r="BG29" i="28"/>
  <c r="Q29" i="28"/>
  <c r="AE29" i="28"/>
  <c r="AS29" i="28"/>
  <c r="X29" i="28"/>
  <c r="J29" i="28"/>
  <c r="L29" i="28"/>
  <c r="G20" i="28"/>
  <c r="AZ29" i="28"/>
  <c r="AL29" i="28"/>
  <c r="S59" i="30"/>
  <c r="P59" i="30"/>
  <c r="AS56" i="30"/>
  <c r="AS15" i="30"/>
  <c r="AR11" i="30"/>
  <c r="AU11" i="30"/>
  <c r="X56" i="30"/>
  <c r="X15" i="30"/>
  <c r="Z11" i="30"/>
  <c r="BP45" i="30"/>
  <c r="BM45" i="30"/>
  <c r="S45" i="30"/>
  <c r="P45" i="30"/>
  <c r="BM11" i="30"/>
  <c r="BP11" i="30"/>
  <c r="BN56" i="30"/>
  <c r="BN15" i="30"/>
  <c r="AU57" i="30"/>
  <c r="AR57" i="30"/>
  <c r="AE15" i="30"/>
  <c r="AG11" i="30"/>
  <c r="AE56" i="30"/>
  <c r="AD11" i="30"/>
  <c r="AZ56" i="30"/>
  <c r="AZ15" i="30"/>
  <c r="AY11" i="30"/>
  <c r="BB11" i="30"/>
  <c r="AN45" i="30"/>
  <c r="AK45" i="30"/>
  <c r="BF11" i="30"/>
  <c r="BI11" i="30"/>
  <c r="BG56" i="30"/>
  <c r="BG15" i="30"/>
  <c r="BF45" i="30"/>
  <c r="BI45" i="30"/>
  <c r="I60" i="30"/>
  <c r="J60" i="30" s="1"/>
  <c r="L56" i="30"/>
  <c r="L60" i="30" s="1"/>
  <c r="J56" i="30"/>
  <c r="AK11" i="30"/>
  <c r="AL56" i="30"/>
  <c r="AL15" i="30"/>
  <c r="AN11" i="30"/>
  <c r="Q20" i="30"/>
  <c r="S16" i="30"/>
  <c r="BS16" i="30"/>
  <c r="BB45" i="30"/>
  <c r="AY45" i="30"/>
  <c r="BU57" i="30"/>
  <c r="Z45" i="30"/>
  <c r="W45" i="30"/>
  <c r="Q56" i="30"/>
  <c r="Q15" i="30"/>
  <c r="S11" i="30"/>
  <c r="BS11" i="30"/>
  <c r="AD45" i="30"/>
  <c r="AG45" i="30"/>
  <c r="AU45" i="30"/>
  <c r="AR45" i="30"/>
  <c r="H5" i="29"/>
  <c r="G32" i="29"/>
  <c r="H73" i="28"/>
  <c r="I73" i="28" s="1"/>
  <c r="E42" i="24"/>
  <c r="H50" i="28"/>
  <c r="AZ39" i="28"/>
  <c r="AZ74" i="28" s="1"/>
  <c r="Q39" i="28"/>
  <c r="Q74" i="28" s="1"/>
  <c r="AL39" i="28"/>
  <c r="AL74" i="28" s="1"/>
  <c r="X39" i="28"/>
  <c r="X74" i="28" s="1"/>
  <c r="J39" i="28"/>
  <c r="AE39" i="28"/>
  <c r="AE74" i="28" s="1"/>
  <c r="L39" i="28"/>
  <c r="BG39" i="28"/>
  <c r="BG74" i="28" s="1"/>
  <c r="AS39" i="28"/>
  <c r="AS74" i="28" s="1"/>
  <c r="BN39" i="28"/>
  <c r="BN74" i="28" s="1"/>
  <c r="BP38" i="28"/>
  <c r="BM38" i="28"/>
  <c r="AU38" i="28"/>
  <c r="AR38" i="28"/>
  <c r="AY38" i="28"/>
  <c r="H40" i="28"/>
  <c r="BN16" i="28"/>
  <c r="BG16" i="28"/>
  <c r="Y32" i="32" s="1"/>
  <c r="AE16" i="28"/>
  <c r="J16" i="28"/>
  <c r="AL16" i="28"/>
  <c r="AZ16" i="28"/>
  <c r="X16" i="28"/>
  <c r="Q16" i="28"/>
  <c r="AS16" i="28"/>
  <c r="L16" i="28"/>
  <c r="AS47" i="28"/>
  <c r="J47" i="28"/>
  <c r="AL47" i="28"/>
  <c r="AE47" i="28"/>
  <c r="W38" i="24" s="1"/>
  <c r="BN47" i="28"/>
  <c r="Y38" i="24" s="1"/>
  <c r="X47" i="28"/>
  <c r="BG47" i="28"/>
  <c r="Q47" i="28"/>
  <c r="AZ47" i="28"/>
  <c r="L47" i="28"/>
  <c r="AE27" i="28"/>
  <c r="Y34" i="24" s="1"/>
  <c r="BN27" i="28"/>
  <c r="X27" i="28"/>
  <c r="BG27" i="28"/>
  <c r="AL27" i="28"/>
  <c r="Q27" i="28"/>
  <c r="AZ27" i="28"/>
  <c r="L27" i="28"/>
  <c r="AS27" i="28"/>
  <c r="J27" i="28"/>
  <c r="Q24" i="28"/>
  <c r="L24" i="28"/>
  <c r="BN24" i="28"/>
  <c r="BG24" i="28"/>
  <c r="BF24" i="28" s="1"/>
  <c r="AZ24" i="28"/>
  <c r="AY24" i="28" s="1"/>
  <c r="AS24" i="28"/>
  <c r="AR24" i="28" s="1"/>
  <c r="AL24" i="28"/>
  <c r="AK24" i="28" s="1"/>
  <c r="AE24" i="28"/>
  <c r="AD24" i="28" s="1"/>
  <c r="X24" i="28"/>
  <c r="W24" i="28" s="1"/>
  <c r="J24" i="28"/>
  <c r="X37" i="28"/>
  <c r="BG37" i="28"/>
  <c r="AZ37" i="28"/>
  <c r="L37" i="28"/>
  <c r="AS37" i="28"/>
  <c r="AL37" i="28"/>
  <c r="AE37" i="28"/>
  <c r="Q37" i="28"/>
  <c r="BN37" i="28"/>
  <c r="J37" i="28"/>
  <c r="Q43" i="28"/>
  <c r="M45" i="28" s="1"/>
  <c r="AZ43" i="28"/>
  <c r="L43" i="28"/>
  <c r="AS43" i="28"/>
  <c r="AL43" i="28"/>
  <c r="AE43" i="28"/>
  <c r="BN43" i="28"/>
  <c r="Y37" i="24" s="1"/>
  <c r="X43" i="28"/>
  <c r="W37" i="24" s="1"/>
  <c r="BG43" i="28"/>
  <c r="J43" i="28"/>
  <c r="BN34" i="28"/>
  <c r="BP34" i="28" s="1"/>
  <c r="AZ34" i="28"/>
  <c r="AS34" i="28"/>
  <c r="X34" i="28"/>
  <c r="BG34" i="28"/>
  <c r="AL34" i="28"/>
  <c r="AE34" i="28"/>
  <c r="Q34" i="28"/>
  <c r="L34" i="28"/>
  <c r="J34" i="28"/>
  <c r="BB32" i="28"/>
  <c r="AY32" i="28"/>
  <c r="H30" i="28"/>
  <c r="I26" i="28"/>
  <c r="BP32" i="28"/>
  <c r="BM32" i="28"/>
  <c r="S38" i="28"/>
  <c r="P38" i="28"/>
  <c r="S42" i="28"/>
  <c r="P42" i="28"/>
  <c r="BS42" i="28"/>
  <c r="BF32" i="28"/>
  <c r="BU32" i="28"/>
  <c r="BI32" i="28"/>
  <c r="BB48" i="28"/>
  <c r="AY48" i="28"/>
  <c r="BS48" i="28"/>
  <c r="S48" i="28"/>
  <c r="P48" i="28"/>
  <c r="AD32" i="28"/>
  <c r="AG32" i="28"/>
  <c r="BT71" i="28"/>
  <c r="K75" i="28"/>
  <c r="H23" i="28"/>
  <c r="I23" i="28" s="1"/>
  <c r="BS29" i="28"/>
  <c r="BM33" i="28"/>
  <c r="BP33" i="28"/>
  <c r="BI48" i="28"/>
  <c r="BF48" i="28"/>
  <c r="G25" i="28"/>
  <c r="H21" i="28"/>
  <c r="AE28" i="28"/>
  <c r="AL28" i="28"/>
  <c r="BN28" i="28"/>
  <c r="X28" i="28"/>
  <c r="AS28" i="28"/>
  <c r="BG28" i="28"/>
  <c r="Q28" i="28"/>
  <c r="L28" i="28"/>
  <c r="AZ28" i="28"/>
  <c r="J28" i="28"/>
  <c r="S33" i="28"/>
  <c r="P33" i="28"/>
  <c r="BS33" i="28"/>
  <c r="AG33" i="28"/>
  <c r="AD33" i="28"/>
  <c r="BF42" i="28"/>
  <c r="BI42" i="28"/>
  <c r="H45" i="28"/>
  <c r="BI33" i="28"/>
  <c r="BF33" i="28"/>
  <c r="BS49" i="28"/>
  <c r="Z48" i="28"/>
  <c r="W48" i="28"/>
  <c r="H19" i="28"/>
  <c r="I19" i="28" s="1"/>
  <c r="AU33" i="28"/>
  <c r="AR33" i="28"/>
  <c r="AN33" i="28"/>
  <c r="AK33" i="28"/>
  <c r="Q41" i="28"/>
  <c r="L41" i="28"/>
  <c r="AZ41" i="28"/>
  <c r="J41" i="28"/>
  <c r="AS41" i="28"/>
  <c r="I45" i="28"/>
  <c r="J45" i="28" s="1"/>
  <c r="AE41" i="28"/>
  <c r="BN41" i="28"/>
  <c r="X41" i="28"/>
  <c r="BG41" i="28"/>
  <c r="AL41" i="28"/>
  <c r="BM48" i="28"/>
  <c r="BB42" i="28"/>
  <c r="AY42" i="28"/>
  <c r="H22" i="28"/>
  <c r="I22" i="28" s="1"/>
  <c r="AG42" i="28"/>
  <c r="AD42" i="28"/>
  <c r="AG48" i="28"/>
  <c r="AD48" i="28"/>
  <c r="BT72" i="28"/>
  <c r="H14" i="28"/>
  <c r="I14" i="28" s="1"/>
  <c r="H17" i="28"/>
  <c r="I17" i="28" s="1"/>
  <c r="AK42" i="28"/>
  <c r="AN42" i="28"/>
  <c r="AN48" i="28"/>
  <c r="AK48" i="28"/>
  <c r="I31" i="28"/>
  <c r="H12" i="28"/>
  <c r="I12" i="28" s="1"/>
  <c r="H13" i="28"/>
  <c r="I13" i="28" s="1"/>
  <c r="AN32" i="28"/>
  <c r="AK32" i="28"/>
  <c r="H71" i="28"/>
  <c r="BP42" i="28"/>
  <c r="BM42" i="28"/>
  <c r="I46" i="28"/>
  <c r="AN38" i="28"/>
  <c r="AK38" i="28"/>
  <c r="S32" i="28"/>
  <c r="M35" i="28"/>
  <c r="P32" i="28"/>
  <c r="BS32" i="28"/>
  <c r="BI38" i="28"/>
  <c r="BF38" i="28"/>
  <c r="H74" i="28"/>
  <c r="I74" i="28" s="1"/>
  <c r="L74" i="28" s="1"/>
  <c r="H18" i="28"/>
  <c r="I18" i="28" s="1"/>
  <c r="AU42" i="28"/>
  <c r="AR42" i="28"/>
  <c r="Z32" i="28"/>
  <c r="W32" i="28"/>
  <c r="AD38" i="28"/>
  <c r="AG38" i="28"/>
  <c r="I36" i="28"/>
  <c r="Z33" i="28"/>
  <c r="W33" i="28"/>
  <c r="AU32" i="28"/>
  <c r="AR32" i="28"/>
  <c r="G15" i="28"/>
  <c r="BS44" i="28"/>
  <c r="AR48" i="28"/>
  <c r="AU48" i="28"/>
  <c r="BB33" i="28"/>
  <c r="AY33" i="28"/>
  <c r="I11" i="28"/>
  <c r="E29" i="23"/>
  <c r="E31" i="23" s="1"/>
  <c r="Q27" i="34" l="1"/>
  <c r="Q38" i="24"/>
  <c r="O38" i="24" s="1"/>
  <c r="Z38" i="28"/>
  <c r="BS38" i="28"/>
  <c r="U34" i="24"/>
  <c r="U38" i="24"/>
  <c r="S38" i="24" s="1"/>
  <c r="W38" i="28"/>
  <c r="W34" i="24"/>
  <c r="U37" i="24"/>
  <c r="U36" i="24"/>
  <c r="Y36" i="24"/>
  <c r="Q25" i="34"/>
  <c r="Q36" i="24"/>
  <c r="Q43" i="24" s="1"/>
  <c r="W36" i="24"/>
  <c r="BP39" i="28"/>
  <c r="I32" i="32"/>
  <c r="AB32" i="32"/>
  <c r="AA32" i="32"/>
  <c r="Y37" i="32"/>
  <c r="BM24" i="28"/>
  <c r="BP24" i="28"/>
  <c r="N42" i="24"/>
  <c r="BI56" i="30"/>
  <c r="BF56" i="30"/>
  <c r="BG60" i="30"/>
  <c r="P20" i="30"/>
  <c r="S20" i="30"/>
  <c r="BB15" i="30"/>
  <c r="AY15" i="30"/>
  <c r="Z15" i="30"/>
  <c r="W15" i="30"/>
  <c r="X60" i="30"/>
  <c r="Z56" i="30"/>
  <c r="W56" i="30"/>
  <c r="AL60" i="30"/>
  <c r="AN56" i="30"/>
  <c r="AK56" i="30"/>
  <c r="P15" i="30"/>
  <c r="S15" i="30"/>
  <c r="AR15" i="30"/>
  <c r="AU15" i="30"/>
  <c r="BN60" i="30"/>
  <c r="BP56" i="30"/>
  <c r="BM56" i="30"/>
  <c r="AN15" i="30"/>
  <c r="AK15" i="30"/>
  <c r="AZ60" i="30"/>
  <c r="BB56" i="30"/>
  <c r="AY56" i="30"/>
  <c r="AG56" i="30"/>
  <c r="AD56" i="30"/>
  <c r="AE60" i="30"/>
  <c r="AG15" i="30"/>
  <c r="AD15" i="30"/>
  <c r="S56" i="30"/>
  <c r="P56" i="30"/>
  <c r="Q60" i="30"/>
  <c r="AU56" i="30"/>
  <c r="AR56" i="30"/>
  <c r="AS60" i="30"/>
  <c r="BI15" i="30"/>
  <c r="BF15" i="30"/>
  <c r="BP15" i="30"/>
  <c r="BM15" i="30"/>
  <c r="H7" i="29"/>
  <c r="H32" i="29"/>
  <c r="H34" i="29" s="1"/>
  <c r="L45" i="28"/>
  <c r="H25" i="28"/>
  <c r="BS34" i="28"/>
  <c r="BS39" i="28"/>
  <c r="BN17" i="28"/>
  <c r="X17" i="28"/>
  <c r="BG17" i="28"/>
  <c r="Q17" i="28"/>
  <c r="U32" i="24" s="1"/>
  <c r="AZ17" i="28"/>
  <c r="L17" i="28"/>
  <c r="AS17" i="28"/>
  <c r="AE17" i="28"/>
  <c r="AL17" i="28"/>
  <c r="J17" i="28"/>
  <c r="I20" i="28"/>
  <c r="J20" i="28" s="1"/>
  <c r="AE13" i="28"/>
  <c r="X13" i="28"/>
  <c r="BG13" i="28"/>
  <c r="Q13" i="28"/>
  <c r="AZ13" i="28"/>
  <c r="L13" i="28"/>
  <c r="AS13" i="28"/>
  <c r="BN13" i="28"/>
  <c r="AL13" i="28"/>
  <c r="J13" i="28"/>
  <c r="L73" i="28"/>
  <c r="J73" i="28"/>
  <c r="AE12" i="28"/>
  <c r="X12" i="28"/>
  <c r="BG12" i="28"/>
  <c r="Q12" i="28"/>
  <c r="U31" i="24" s="1"/>
  <c r="AZ12" i="28"/>
  <c r="BN12" i="28"/>
  <c r="L12" i="28"/>
  <c r="AS12" i="28"/>
  <c r="AL12" i="28"/>
  <c r="J12" i="28"/>
  <c r="AZ14" i="28"/>
  <c r="AS14" i="28"/>
  <c r="AL14" i="28"/>
  <c r="AE14" i="28"/>
  <c r="X14" i="28"/>
  <c r="BG14" i="28"/>
  <c r="Q14" i="28"/>
  <c r="L14" i="28"/>
  <c r="BN14" i="28"/>
  <c r="BP14" i="28" s="1"/>
  <c r="J14" i="28"/>
  <c r="H72" i="28"/>
  <c r="I72" i="28" s="1"/>
  <c r="Z27" i="28"/>
  <c r="W27" i="28"/>
  <c r="AR28" i="28"/>
  <c r="AU28" i="28"/>
  <c r="AG27" i="28"/>
  <c r="AD27" i="28"/>
  <c r="BN31" i="28"/>
  <c r="L31" i="28"/>
  <c r="L35" i="28" s="1"/>
  <c r="AL31" i="28"/>
  <c r="I35" i="28"/>
  <c r="J35" i="28" s="1"/>
  <c r="AE31" i="28"/>
  <c r="X31" i="28"/>
  <c r="AS31" i="28"/>
  <c r="Q31" i="28"/>
  <c r="BG31" i="28"/>
  <c r="Y35" i="32" s="1"/>
  <c r="J31" i="28"/>
  <c r="AZ31" i="28"/>
  <c r="X45" i="28"/>
  <c r="Z41" i="28"/>
  <c r="BF43" i="28"/>
  <c r="BI43" i="28"/>
  <c r="AY37" i="28"/>
  <c r="BB37" i="28"/>
  <c r="BP47" i="28"/>
  <c r="BM47" i="28"/>
  <c r="BN45" i="28"/>
  <c r="BP41" i="28"/>
  <c r="Z43" i="28"/>
  <c r="W43" i="28"/>
  <c r="BI37" i="28"/>
  <c r="BF37" i="28"/>
  <c r="AG47" i="28"/>
  <c r="AD47" i="28"/>
  <c r="H20" i="28"/>
  <c r="H15" i="28"/>
  <c r="AE45" i="28"/>
  <c r="AG41" i="28"/>
  <c r="Q23" i="28"/>
  <c r="L23" i="28"/>
  <c r="AS23" i="28"/>
  <c r="BG23" i="28"/>
  <c r="AZ23" i="28"/>
  <c r="AL23" i="28"/>
  <c r="AE23" i="28"/>
  <c r="BN23" i="28"/>
  <c r="X23" i="28"/>
  <c r="J23" i="28"/>
  <c r="BP43" i="28"/>
  <c r="BM43" i="28"/>
  <c r="Z37" i="28"/>
  <c r="W37" i="28"/>
  <c r="AU27" i="28"/>
  <c r="AR27" i="28"/>
  <c r="AN47" i="28"/>
  <c r="AK47" i="28"/>
  <c r="AL11" i="28"/>
  <c r="BG11" i="28"/>
  <c r="AE11" i="28"/>
  <c r="AZ11" i="28"/>
  <c r="X11" i="28"/>
  <c r="I15" i="28"/>
  <c r="J15" i="28" s="1"/>
  <c r="Q11" i="28"/>
  <c r="L11" i="28"/>
  <c r="AS11" i="28"/>
  <c r="BN11" i="28"/>
  <c r="J11" i="28"/>
  <c r="G75" i="28"/>
  <c r="AG43" i="28"/>
  <c r="AD43" i="28"/>
  <c r="BS28" i="28"/>
  <c r="S28" i="28"/>
  <c r="P28" i="28"/>
  <c r="BB16" i="28"/>
  <c r="AY16" i="28"/>
  <c r="I50" i="28"/>
  <c r="J50" i="28" s="1"/>
  <c r="AL46" i="28"/>
  <c r="AE46" i="28"/>
  <c r="W38" i="32" s="1"/>
  <c r="BN46" i="28"/>
  <c r="X46" i="28"/>
  <c r="BG46" i="28"/>
  <c r="Y38" i="32" s="1"/>
  <c r="Q46" i="28"/>
  <c r="L46" i="28"/>
  <c r="L50" i="28" s="1"/>
  <c r="AZ46" i="28"/>
  <c r="J46" i="28"/>
  <c r="AS46" i="28"/>
  <c r="Z28" i="28"/>
  <c r="W28" i="28"/>
  <c r="AN28" i="28"/>
  <c r="AK28" i="28"/>
  <c r="BI16" i="28"/>
  <c r="BF16" i="28"/>
  <c r="AE19" i="28"/>
  <c r="AD19" i="28" s="1"/>
  <c r="X19" i="28"/>
  <c r="W19" i="28" s="1"/>
  <c r="AS19" i="28"/>
  <c r="AR19" i="28" s="1"/>
  <c r="AL19" i="28"/>
  <c r="AK19" i="28" s="1"/>
  <c r="Q19" i="28"/>
  <c r="L19" i="28"/>
  <c r="BN19" i="28"/>
  <c r="BG19" i="28"/>
  <c r="BF19" i="28" s="1"/>
  <c r="AZ19" i="28"/>
  <c r="AY19" i="28" s="1"/>
  <c r="J19" i="28"/>
  <c r="BB27" i="28"/>
  <c r="AY27" i="28"/>
  <c r="Z16" i="28"/>
  <c r="W16" i="28"/>
  <c r="AN16" i="28"/>
  <c r="AK16" i="28"/>
  <c r="AE36" i="28"/>
  <c r="BG36" i="28"/>
  <c r="L36" i="28"/>
  <c r="L40" i="28" s="1"/>
  <c r="AL36" i="28"/>
  <c r="I40" i="28"/>
  <c r="J40" i="28" s="1"/>
  <c r="X36" i="28"/>
  <c r="Q36" i="28"/>
  <c r="AS36" i="28"/>
  <c r="BN36" i="28"/>
  <c r="AZ36" i="28"/>
  <c r="J36" i="28"/>
  <c r="AE18" i="28"/>
  <c r="X18" i="28"/>
  <c r="BG18" i="28"/>
  <c r="BN18" i="28"/>
  <c r="Q18" i="28"/>
  <c r="AZ18" i="28"/>
  <c r="L18" i="28"/>
  <c r="AS18" i="28"/>
  <c r="AL18" i="28"/>
  <c r="J18" i="28"/>
  <c r="Q22" i="28"/>
  <c r="AZ22" i="28"/>
  <c r="L22" i="28"/>
  <c r="AS22" i="28"/>
  <c r="J22" i="28"/>
  <c r="BG22" i="28"/>
  <c r="AL22" i="28"/>
  <c r="X22" i="28"/>
  <c r="W33" i="24" s="1"/>
  <c r="AE22" i="28"/>
  <c r="BN22" i="28"/>
  <c r="AS45" i="28"/>
  <c r="AU41" i="28"/>
  <c r="AE26" i="28"/>
  <c r="BN26" i="28"/>
  <c r="X26" i="28"/>
  <c r="BG26" i="28"/>
  <c r="Q26" i="28"/>
  <c r="I30" i="28"/>
  <c r="J30" i="28" s="1"/>
  <c r="L26" i="28"/>
  <c r="L30" i="28" s="1"/>
  <c r="AZ26" i="28"/>
  <c r="J26" i="28"/>
  <c r="AS26" i="28"/>
  <c r="AL26" i="28"/>
  <c r="AN43" i="28"/>
  <c r="AK43" i="28"/>
  <c r="AR47" i="28"/>
  <c r="AU47" i="28"/>
  <c r="I71" i="28"/>
  <c r="BB28" i="28"/>
  <c r="AY28" i="28"/>
  <c r="AU43" i="28"/>
  <c r="AR43" i="28"/>
  <c r="BS27" i="28"/>
  <c r="S27" i="28"/>
  <c r="M30" i="28"/>
  <c r="P27" i="28"/>
  <c r="BP28" i="28"/>
  <c r="BM28" i="28"/>
  <c r="BB47" i="28"/>
  <c r="AY47" i="28"/>
  <c r="BB41" i="28"/>
  <c r="AZ45" i="28"/>
  <c r="BS24" i="28"/>
  <c r="AN27" i="28"/>
  <c r="AK27" i="28"/>
  <c r="AU16" i="28"/>
  <c r="AR16" i="28"/>
  <c r="BB43" i="28"/>
  <c r="AY43" i="28"/>
  <c r="BI27" i="28"/>
  <c r="BU27" i="28"/>
  <c r="BF27" i="28"/>
  <c r="BS16" i="28"/>
  <c r="S16" i="28"/>
  <c r="Q45" i="28"/>
  <c r="BS41" i="28"/>
  <c r="S41" i="28"/>
  <c r="BS37" i="28"/>
  <c r="S37" i="28"/>
  <c r="P37" i="28"/>
  <c r="M40" i="28"/>
  <c r="AG16" i="28"/>
  <c r="AD16" i="28"/>
  <c r="AN37" i="28"/>
  <c r="AK37" i="28"/>
  <c r="AL45" i="28"/>
  <c r="AN41" i="28"/>
  <c r="AR37" i="28"/>
  <c r="AU37" i="28"/>
  <c r="BI47" i="28"/>
  <c r="BF47" i="28"/>
  <c r="BI28" i="28"/>
  <c r="BF28" i="28"/>
  <c r="S43" i="28"/>
  <c r="P43" i="28"/>
  <c r="BS43" i="28"/>
  <c r="BM27" i="28"/>
  <c r="BP27" i="28"/>
  <c r="BM37" i="28"/>
  <c r="BP37" i="28"/>
  <c r="AG37" i="28"/>
  <c r="AD37" i="28"/>
  <c r="AG28" i="28"/>
  <c r="AD28" i="28"/>
  <c r="BS47" i="28"/>
  <c r="S47" i="28"/>
  <c r="M50" i="28"/>
  <c r="P47" i="28"/>
  <c r="BG45" i="28"/>
  <c r="BI41" i="28"/>
  <c r="I21" i="28"/>
  <c r="Z47" i="28"/>
  <c r="W47" i="28"/>
  <c r="BP16" i="28"/>
  <c r="BM16" i="28"/>
  <c r="G34" i="24"/>
  <c r="S37" i="24" l="1"/>
  <c r="H75" i="28"/>
  <c r="W32" i="24"/>
  <c r="U33" i="24"/>
  <c r="U43" i="24" s="1"/>
  <c r="Y34" i="32"/>
  <c r="AG73" i="28"/>
  <c r="O27" i="34"/>
  <c r="G27" i="34"/>
  <c r="W31" i="24"/>
  <c r="W43" i="24" s="1"/>
  <c r="Y32" i="24"/>
  <c r="Y31" i="24"/>
  <c r="Y33" i="24"/>
  <c r="W36" i="32"/>
  <c r="W43" i="32" s="1"/>
  <c r="W42" i="32" s="1"/>
  <c r="O25" i="34"/>
  <c r="O32" i="34" s="1"/>
  <c r="O31" i="34" s="1"/>
  <c r="G25" i="34"/>
  <c r="Q32" i="34"/>
  <c r="Q31" i="34" s="1"/>
  <c r="O36" i="24"/>
  <c r="S36" i="24"/>
  <c r="I38" i="32"/>
  <c r="AA38" i="32"/>
  <c r="AB38" i="32"/>
  <c r="I34" i="32"/>
  <c r="AB34" i="32"/>
  <c r="AA34" i="32"/>
  <c r="Y36" i="32"/>
  <c r="Y31" i="32"/>
  <c r="I35" i="32"/>
  <c r="AB35" i="32"/>
  <c r="AA35" i="32"/>
  <c r="I37" i="32"/>
  <c r="AA37" i="32"/>
  <c r="AB37" i="32"/>
  <c r="BM19" i="28"/>
  <c r="BP19" i="28"/>
  <c r="S31" i="24"/>
  <c r="AA37" i="24"/>
  <c r="Z74" i="28"/>
  <c r="AR74" i="28"/>
  <c r="P74" i="28"/>
  <c r="AN60" i="30"/>
  <c r="AK60" i="30"/>
  <c r="Z60" i="30"/>
  <c r="W60" i="30"/>
  <c r="BB60" i="30"/>
  <c r="AY60" i="30"/>
  <c r="AU60" i="30"/>
  <c r="AR60" i="30"/>
  <c r="AG60" i="30"/>
  <c r="AD60" i="30"/>
  <c r="BP60" i="30"/>
  <c r="BM60" i="30"/>
  <c r="S60" i="30"/>
  <c r="P60" i="30"/>
  <c r="BI60" i="30"/>
  <c r="BF60" i="30"/>
  <c r="W72" i="28"/>
  <c r="BB74" i="28"/>
  <c r="AR73" i="28"/>
  <c r="AN72" i="28"/>
  <c r="AR72" i="28"/>
  <c r="S73" i="28"/>
  <c r="BM72" i="28"/>
  <c r="Z73" i="28"/>
  <c r="BB72" i="28"/>
  <c r="P72" i="28"/>
  <c r="L20" i="28"/>
  <c r="BM14" i="28"/>
  <c r="X20" i="28"/>
  <c r="W20" i="28" s="1"/>
  <c r="AL20" i="28"/>
  <c r="AK20" i="28" s="1"/>
  <c r="Q20" i="28"/>
  <c r="BS14" i="28"/>
  <c r="AZ20" i="28"/>
  <c r="BB20" i="28" s="1"/>
  <c r="AK74" i="28"/>
  <c r="AS20" i="28"/>
  <c r="AU20" i="28" s="1"/>
  <c r="BG20" i="28"/>
  <c r="BI20" i="28" s="1"/>
  <c r="BN20" i="28"/>
  <c r="BP20" i="28" s="1"/>
  <c r="AN74" i="28"/>
  <c r="AG45" i="28"/>
  <c r="AD45" i="28"/>
  <c r="BS26" i="28"/>
  <c r="S26" i="28"/>
  <c r="Q30" i="28"/>
  <c r="S34" i="24" s="1"/>
  <c r="AA34" i="24" s="1"/>
  <c r="AY22" i="28"/>
  <c r="BB22" i="28"/>
  <c r="S18" i="28"/>
  <c r="P18" i="28"/>
  <c r="BS18" i="28"/>
  <c r="Z31" i="28"/>
  <c r="X35" i="28"/>
  <c r="S12" i="28"/>
  <c r="M15" i="28"/>
  <c r="P12" i="28"/>
  <c r="BS12" i="28"/>
  <c r="S13" i="28"/>
  <c r="P13" i="28"/>
  <c r="BS13" i="28"/>
  <c r="BI26" i="28"/>
  <c r="BG30" i="28"/>
  <c r="S22" i="28"/>
  <c r="P22" i="28"/>
  <c r="M25" i="28"/>
  <c r="BS22" i="28"/>
  <c r="BP18" i="28"/>
  <c r="BM18" i="28"/>
  <c r="AE40" i="28"/>
  <c r="AG36" i="28"/>
  <c r="AG31" i="28"/>
  <c r="AE35" i="28"/>
  <c r="BI12" i="28"/>
  <c r="BF12" i="28"/>
  <c r="BI13" i="28"/>
  <c r="BF13" i="28"/>
  <c r="P45" i="28"/>
  <c r="S45" i="28"/>
  <c r="X30" i="28"/>
  <c r="Z26" i="28"/>
  <c r="BI18" i="28"/>
  <c r="BF18" i="28"/>
  <c r="BP11" i="28"/>
  <c r="BM11" i="28"/>
  <c r="BN15" i="28"/>
  <c r="Z12" i="28"/>
  <c r="W12" i="28"/>
  <c r="Z13" i="28"/>
  <c r="W13" i="28"/>
  <c r="AN31" i="28"/>
  <c r="AL35" i="28"/>
  <c r="AD12" i="28"/>
  <c r="AG12" i="28"/>
  <c r="AD13" i="28"/>
  <c r="AG13" i="28"/>
  <c r="W73" i="28"/>
  <c r="AU18" i="28"/>
  <c r="AR18" i="28"/>
  <c r="BB26" i="28"/>
  <c r="AZ30" i="28"/>
  <c r="L71" i="28"/>
  <c r="I75" i="28"/>
  <c r="J75" i="28" s="1"/>
  <c r="J71" i="28"/>
  <c r="BP26" i="28"/>
  <c r="BN30" i="28"/>
  <c r="Z18" i="28"/>
  <c r="W18" i="28"/>
  <c r="AS15" i="28"/>
  <c r="AU11" i="28"/>
  <c r="AR11" i="28"/>
  <c r="AE30" i="28"/>
  <c r="AG26" i="28"/>
  <c r="AD18" i="28"/>
  <c r="AG18" i="28"/>
  <c r="L15" i="28"/>
  <c r="AN45" i="28"/>
  <c r="AK45" i="28"/>
  <c r="AS50" i="28"/>
  <c r="AU46" i="28"/>
  <c r="Q15" i="28"/>
  <c r="S11" i="28"/>
  <c r="BS11" i="28"/>
  <c r="Z23" i="28"/>
  <c r="W23" i="28"/>
  <c r="BP31" i="28"/>
  <c r="BN35" i="28"/>
  <c r="BI45" i="28"/>
  <c r="BF45" i="28"/>
  <c r="BB45" i="28"/>
  <c r="AY45" i="28"/>
  <c r="BP23" i="28"/>
  <c r="BM23" i="28"/>
  <c r="AN17" i="28"/>
  <c r="AK17" i="28"/>
  <c r="AR45" i="28"/>
  <c r="AU45" i="28"/>
  <c r="AZ50" i="28"/>
  <c r="BB46" i="28"/>
  <c r="X15" i="28"/>
  <c r="Z11" i="28"/>
  <c r="AG23" i="28"/>
  <c r="AD23" i="28"/>
  <c r="AG17" i="28"/>
  <c r="AD17" i="28"/>
  <c r="AE20" i="28"/>
  <c r="BP22" i="28"/>
  <c r="BM22" i="28"/>
  <c r="AZ40" i="28"/>
  <c r="BB36" i="28"/>
  <c r="AZ15" i="28"/>
  <c r="BB11" i="28"/>
  <c r="AY11" i="28"/>
  <c r="AN23" i="28"/>
  <c r="AK23" i="28"/>
  <c r="AU17" i="28"/>
  <c r="AR17" i="28"/>
  <c r="AZ21" i="28"/>
  <c r="X21" i="28"/>
  <c r="AE21" i="28"/>
  <c r="Q21" i="28"/>
  <c r="I25" i="28"/>
  <c r="J25" i="28" s="1"/>
  <c r="BG21" i="28"/>
  <c r="AS21" i="28"/>
  <c r="L21" i="28"/>
  <c r="L25" i="28" s="1"/>
  <c r="J21" i="28"/>
  <c r="AL21" i="28"/>
  <c r="BN21" i="28"/>
  <c r="AG22" i="28"/>
  <c r="AD22" i="28"/>
  <c r="BN40" i="28"/>
  <c r="BP36" i="28"/>
  <c r="BS19" i="28"/>
  <c r="BS46" i="28"/>
  <c r="S46" i="28"/>
  <c r="Q50" i="28"/>
  <c r="AG11" i="28"/>
  <c r="AD11" i="28"/>
  <c r="AE15" i="28"/>
  <c r="BB23" i="28"/>
  <c r="AY23" i="28"/>
  <c r="AN26" i="28"/>
  <c r="AL30" i="28"/>
  <c r="Z22" i="28"/>
  <c r="W22" i="28"/>
  <c r="AS40" i="28"/>
  <c r="AU36" i="28"/>
  <c r="BG50" i="28"/>
  <c r="BI46" i="28"/>
  <c r="BI11" i="28"/>
  <c r="BF11" i="28"/>
  <c r="BG15" i="28"/>
  <c r="BF23" i="28"/>
  <c r="BI23" i="28"/>
  <c r="Z45" i="28"/>
  <c r="W45" i="28"/>
  <c r="BB17" i="28"/>
  <c r="AY17" i="28"/>
  <c r="AU26" i="28"/>
  <c r="AS30" i="28"/>
  <c r="AN22" i="28"/>
  <c r="AK22" i="28"/>
  <c r="BS36" i="28"/>
  <c r="S36" i="28"/>
  <c r="Q40" i="28"/>
  <c r="Q79" i="28" s="1"/>
  <c r="X50" i="28"/>
  <c r="Z46" i="28"/>
  <c r="AK11" i="28"/>
  <c r="AN11" i="28"/>
  <c r="AL15" i="28"/>
  <c r="AU23" i="28"/>
  <c r="AR23" i="28"/>
  <c r="BB31" i="28"/>
  <c r="AZ35" i="28"/>
  <c r="L72" i="28"/>
  <c r="J72" i="28"/>
  <c r="AN12" i="28"/>
  <c r="AK12" i="28"/>
  <c r="AK13" i="28"/>
  <c r="AN13" i="28"/>
  <c r="M20" i="28"/>
  <c r="BS17" i="28"/>
  <c r="S17" i="28"/>
  <c r="P17" i="28"/>
  <c r="BF22" i="28"/>
  <c r="BI22" i="28"/>
  <c r="BU22" i="28"/>
  <c r="AK18" i="28"/>
  <c r="AN18" i="28"/>
  <c r="X40" i="28"/>
  <c r="Z36" i="28"/>
  <c r="BP46" i="28"/>
  <c r="BN50" i="28"/>
  <c r="AU12" i="28"/>
  <c r="AR12" i="28"/>
  <c r="BP13" i="28"/>
  <c r="BM13" i="28"/>
  <c r="BI17" i="28"/>
  <c r="BU17" i="28"/>
  <c r="BF17" i="28"/>
  <c r="AE50" i="28"/>
  <c r="AG46" i="28"/>
  <c r="BS23" i="28"/>
  <c r="P23" i="28"/>
  <c r="S23" i="28"/>
  <c r="BI74" i="28"/>
  <c r="BF74" i="28"/>
  <c r="BG35" i="28"/>
  <c r="BI31" i="28"/>
  <c r="AU13" i="28"/>
  <c r="AR13" i="28"/>
  <c r="Z17" i="28"/>
  <c r="W17" i="28"/>
  <c r="W74" i="28"/>
  <c r="AU22" i="28"/>
  <c r="AR22" i="28"/>
  <c r="AL40" i="28"/>
  <c r="AN36" i="28"/>
  <c r="AN46" i="28"/>
  <c r="AL50" i="28"/>
  <c r="BS31" i="28"/>
  <c r="Q35" i="28"/>
  <c r="S35" i="24" s="1"/>
  <c r="AA35" i="24" s="1"/>
  <c r="S31" i="28"/>
  <c r="BP12" i="28"/>
  <c r="BM12" i="28"/>
  <c r="BM17" i="28"/>
  <c r="BP17" i="28"/>
  <c r="BB18" i="28"/>
  <c r="AY18" i="28"/>
  <c r="BP45" i="28"/>
  <c r="BM45" i="28"/>
  <c r="AS35" i="28"/>
  <c r="AU31" i="28"/>
  <c r="BB12" i="28"/>
  <c r="AY12" i="28"/>
  <c r="BB13" i="28"/>
  <c r="AY13" i="28"/>
  <c r="BG40" i="28"/>
  <c r="BI36" i="28"/>
  <c r="Y43" i="24" l="1"/>
  <c r="Y33" i="32"/>
  <c r="O43" i="24"/>
  <c r="AA36" i="24"/>
  <c r="I36" i="32"/>
  <c r="AB36" i="32"/>
  <c r="AA36" i="32"/>
  <c r="I33" i="32"/>
  <c r="AB33" i="32"/>
  <c r="AA33" i="32"/>
  <c r="Y43" i="32"/>
  <c r="Y42" i="32" s="1"/>
  <c r="I31" i="32"/>
  <c r="AB31" i="32"/>
  <c r="AA31" i="32"/>
  <c r="AN20" i="28"/>
  <c r="AB34" i="24"/>
  <c r="Z72" i="28"/>
  <c r="BM20" i="28"/>
  <c r="S72" i="28"/>
  <c r="I34" i="24"/>
  <c r="AU73" i="28"/>
  <c r="P20" i="28"/>
  <c r="S32" i="24"/>
  <c r="BP72" i="28"/>
  <c r="S20" i="28"/>
  <c r="P73" i="28"/>
  <c r="AK72" i="28"/>
  <c r="Z20" i="28"/>
  <c r="AY74" i="28"/>
  <c r="AY72" i="28"/>
  <c r="AY20" i="28"/>
  <c r="AD73" i="28"/>
  <c r="BS74" i="28"/>
  <c r="BF20" i="28"/>
  <c r="BS73" i="28"/>
  <c r="AU72" i="28"/>
  <c r="AU74" i="28"/>
  <c r="AR20" i="28"/>
  <c r="S74" i="28"/>
  <c r="AU71" i="28"/>
  <c r="AS75" i="28"/>
  <c r="AR71" i="28"/>
  <c r="BB50" i="28"/>
  <c r="AY50" i="28"/>
  <c r="BM30" i="28"/>
  <c r="BP30" i="28"/>
  <c r="AK35" i="28"/>
  <c r="AN35" i="28"/>
  <c r="AU40" i="28"/>
  <c r="AR40" i="28"/>
  <c r="AN50" i="28"/>
  <c r="AK50" i="28"/>
  <c r="BI15" i="28"/>
  <c r="BF15" i="28"/>
  <c r="BB30" i="28"/>
  <c r="AY30" i="28"/>
  <c r="BP74" i="28"/>
  <c r="BM74" i="28"/>
  <c r="BF40" i="28"/>
  <c r="BI40" i="28"/>
  <c r="AG15" i="28"/>
  <c r="AD15" i="28"/>
  <c r="S15" i="28"/>
  <c r="P15" i="28"/>
  <c r="BI72" i="28"/>
  <c r="BF72" i="28"/>
  <c r="BU72" i="28"/>
  <c r="W35" i="28"/>
  <c r="Z35" i="28"/>
  <c r="AN71" i="28"/>
  <c r="AL75" i="28"/>
  <c r="AK71" i="28"/>
  <c r="BB40" i="28"/>
  <c r="AY40" i="28"/>
  <c r="AD71" i="28"/>
  <c r="AG71" i="28"/>
  <c r="AE75" i="28"/>
  <c r="Z71" i="28"/>
  <c r="X75" i="28"/>
  <c r="W71" i="28"/>
  <c r="L75" i="28"/>
  <c r="AG74" i="28"/>
  <c r="AD74" i="28"/>
  <c r="S40" i="28"/>
  <c r="P40" i="28"/>
  <c r="BP73" i="28"/>
  <c r="BM73" i="28"/>
  <c r="BF35" i="28"/>
  <c r="BI35" i="28"/>
  <c r="BP21" i="28"/>
  <c r="BN25" i="28"/>
  <c r="BM21" i="28"/>
  <c r="BP15" i="28"/>
  <c r="BM15" i="28"/>
  <c r="BI50" i="28"/>
  <c r="BF50" i="28"/>
  <c r="AN21" i="28"/>
  <c r="AL25" i="28"/>
  <c r="AK21" i="28"/>
  <c r="AU50" i="28"/>
  <c r="AR50" i="28"/>
  <c r="AU15" i="28"/>
  <c r="AR15" i="28"/>
  <c r="AG40" i="28"/>
  <c r="AD40" i="28"/>
  <c r="AN15" i="28"/>
  <c r="AK15" i="28"/>
  <c r="AU35" i="28"/>
  <c r="AR35" i="28"/>
  <c r="Z50" i="28"/>
  <c r="W50" i="28"/>
  <c r="AK40" i="28"/>
  <c r="AN40" i="28"/>
  <c r="BP50" i="28"/>
  <c r="BM50" i="28"/>
  <c r="AY35" i="28"/>
  <c r="BB35" i="28"/>
  <c r="S50" i="28"/>
  <c r="P50" i="28"/>
  <c r="W15" i="28"/>
  <c r="Z15" i="28"/>
  <c r="AG30" i="28"/>
  <c r="AD30" i="28"/>
  <c r="AU30" i="28"/>
  <c r="AR30" i="28"/>
  <c r="AY15" i="28"/>
  <c r="BB15" i="28"/>
  <c r="AU21" i="28"/>
  <c r="AS25" i="28"/>
  <c r="AR21" i="28"/>
  <c r="BG25" i="28"/>
  <c r="BF21" i="28"/>
  <c r="BI21" i="28"/>
  <c r="BB73" i="28"/>
  <c r="AY73" i="28"/>
  <c r="Z30" i="28"/>
  <c r="W30" i="28"/>
  <c r="BM40" i="28"/>
  <c r="BP40" i="28"/>
  <c r="S21" i="28"/>
  <c r="Q25" i="28"/>
  <c r="S33" i="24" s="1"/>
  <c r="BS21" i="28"/>
  <c r="AG50" i="28"/>
  <c r="AD50" i="28"/>
  <c r="AK30" i="28"/>
  <c r="AN30" i="28"/>
  <c r="AE25" i="28"/>
  <c r="AD21" i="28"/>
  <c r="AG21" i="28"/>
  <c r="BI73" i="28"/>
  <c r="BF73" i="28"/>
  <c r="BI30" i="28"/>
  <c r="BF30" i="28"/>
  <c r="P30" i="28"/>
  <c r="S30" i="28"/>
  <c r="Z40" i="28"/>
  <c r="W40" i="28"/>
  <c r="Z21" i="28"/>
  <c r="X25" i="28"/>
  <c r="W21" i="28"/>
  <c r="AG20" i="28"/>
  <c r="AD20" i="28"/>
  <c r="BM35" i="28"/>
  <c r="BP35" i="28"/>
  <c r="AD35" i="28"/>
  <c r="AG35" i="28"/>
  <c r="AG72" i="28"/>
  <c r="AD72" i="28"/>
  <c r="BB21" i="28"/>
  <c r="AZ25" i="28"/>
  <c r="AY21" i="28"/>
  <c r="AN73" i="28"/>
  <c r="AK73" i="28"/>
  <c r="S35" i="28"/>
  <c r="P35" i="28"/>
  <c r="BS72" i="28"/>
  <c r="AA38" i="24"/>
  <c r="I38" i="24"/>
  <c r="G38" i="24"/>
  <c r="AB38" i="24"/>
  <c r="G37" i="24"/>
  <c r="AB37" i="24"/>
  <c r="I37" i="24"/>
  <c r="S43" i="24" l="1"/>
  <c r="AU75" i="28"/>
  <c r="AR75" i="28"/>
  <c r="AU25" i="28"/>
  <c r="AR25" i="28"/>
  <c r="AN75" i="28"/>
  <c r="AK75" i="28"/>
  <c r="AD25" i="28"/>
  <c r="AG25" i="28"/>
  <c r="BB71" i="28"/>
  <c r="AZ75" i="28"/>
  <c r="AY71" i="28"/>
  <c r="BP71" i="28"/>
  <c r="BN75" i="28"/>
  <c r="BM71" i="28"/>
  <c r="BB25" i="28"/>
  <c r="AY25" i="28"/>
  <c r="Z25" i="28"/>
  <c r="W25" i="28"/>
  <c r="BP25" i="28"/>
  <c r="BM25" i="28"/>
  <c r="Z75" i="28"/>
  <c r="W75" i="28"/>
  <c r="AD75" i="28"/>
  <c r="AG75" i="28"/>
  <c r="BF71" i="28"/>
  <c r="BI71" i="28"/>
  <c r="BG75" i="28"/>
  <c r="S71" i="28"/>
  <c r="Q75" i="28"/>
  <c r="BS71" i="28"/>
  <c r="P71" i="28"/>
  <c r="AN25" i="28"/>
  <c r="AK25" i="28"/>
  <c r="S25" i="28"/>
  <c r="P25" i="28"/>
  <c r="BI25" i="28"/>
  <c r="BF25" i="28"/>
  <c r="G36" i="24"/>
  <c r="I36" i="24"/>
  <c r="AB36" i="24"/>
  <c r="G35" i="24"/>
  <c r="AB35" i="24"/>
  <c r="I35" i="24"/>
  <c r="G21" i="10"/>
  <c r="G41" i="10"/>
  <c r="G46" i="10"/>
  <c r="G51" i="10"/>
  <c r="G56" i="10"/>
  <c r="G61" i="10"/>
  <c r="G62" i="10"/>
  <c r="G71" i="10"/>
  <c r="G76" i="10"/>
  <c r="BO59" i="11"/>
  <c r="BO58" i="11"/>
  <c r="BO57" i="11"/>
  <c r="BO56" i="11"/>
  <c r="BH59" i="11"/>
  <c r="BH58" i="11"/>
  <c r="BH57" i="11"/>
  <c r="BH56" i="11"/>
  <c r="BA59" i="11"/>
  <c r="BA58" i="11"/>
  <c r="BA57" i="11"/>
  <c r="BA56" i="11"/>
  <c r="AT59" i="11"/>
  <c r="AT58" i="11"/>
  <c r="AT57" i="11"/>
  <c r="AT56" i="11"/>
  <c r="AM59" i="11"/>
  <c r="AM58" i="11"/>
  <c r="AM57" i="11"/>
  <c r="AM56" i="11"/>
  <c r="AF59" i="11"/>
  <c r="AF56" i="11"/>
  <c r="Y59" i="11"/>
  <c r="Y58" i="11"/>
  <c r="Y57" i="11"/>
  <c r="Y56" i="11"/>
  <c r="R59" i="11"/>
  <c r="R58" i="11"/>
  <c r="R57" i="11"/>
  <c r="R56" i="11"/>
  <c r="AF55" i="11"/>
  <c r="Y55" i="11"/>
  <c r="G53" i="11"/>
  <c r="G52" i="11"/>
  <c r="G51" i="11"/>
  <c r="G46" i="11"/>
  <c r="G41" i="11"/>
  <c r="G42" i="11"/>
  <c r="G28" i="11"/>
  <c r="G27" i="11"/>
  <c r="G26" i="11"/>
  <c r="G23" i="11"/>
  <c r="G22" i="11"/>
  <c r="G21" i="11"/>
  <c r="G18" i="11"/>
  <c r="G17" i="11"/>
  <c r="G16" i="11"/>
  <c r="G13" i="11"/>
  <c r="G12" i="11"/>
  <c r="BO54" i="13"/>
  <c r="BO53" i="13"/>
  <c r="BO52" i="13"/>
  <c r="BO51" i="13"/>
  <c r="BH54" i="13"/>
  <c r="BH53" i="13"/>
  <c r="BH52" i="13"/>
  <c r="BH51" i="13"/>
  <c r="BA54" i="13"/>
  <c r="BA53" i="13"/>
  <c r="BA52" i="13"/>
  <c r="BA51" i="13"/>
  <c r="AT54" i="13"/>
  <c r="AT53" i="13"/>
  <c r="AT52" i="13"/>
  <c r="AT51" i="13"/>
  <c r="AM54" i="13"/>
  <c r="AM55" i="13" s="1"/>
  <c r="AM53" i="13"/>
  <c r="AM52" i="13"/>
  <c r="AM51" i="13"/>
  <c r="AF54" i="13"/>
  <c r="AF53" i="13"/>
  <c r="AF52" i="13"/>
  <c r="AF51" i="13"/>
  <c r="Y54" i="13"/>
  <c r="Y53" i="13"/>
  <c r="Y52" i="13"/>
  <c r="Y51" i="13"/>
  <c r="Y55" i="13" s="1"/>
  <c r="R54" i="13"/>
  <c r="R51" i="13"/>
  <c r="BO35" i="13"/>
  <c r="BH35" i="13"/>
  <c r="BA35" i="13"/>
  <c r="AT35" i="13"/>
  <c r="AM35" i="13"/>
  <c r="AF35" i="13"/>
  <c r="M59" i="24" s="1"/>
  <c r="G33" i="13"/>
  <c r="G32" i="13"/>
  <c r="G31" i="13"/>
  <c r="G38" i="13"/>
  <c r="G37" i="13"/>
  <c r="G36" i="13"/>
  <c r="G43" i="13"/>
  <c r="G42" i="13"/>
  <c r="G41" i="13"/>
  <c r="G48" i="13"/>
  <c r="G47" i="13"/>
  <c r="G46" i="13"/>
  <c r="R35" i="13"/>
  <c r="BO50" i="13"/>
  <c r="BO45" i="13"/>
  <c r="BO40" i="13"/>
  <c r="BH50" i="13"/>
  <c r="BH45" i="13"/>
  <c r="BH40" i="13"/>
  <c r="BA50" i="13"/>
  <c r="BA45" i="13"/>
  <c r="BA40" i="13"/>
  <c r="AT50" i="13"/>
  <c r="AT45" i="13"/>
  <c r="AT40" i="13"/>
  <c r="AM50" i="13"/>
  <c r="AM45" i="13"/>
  <c r="AM40" i="13"/>
  <c r="BO15" i="12"/>
  <c r="BH15" i="12"/>
  <c r="BA15" i="12"/>
  <c r="AT15" i="12"/>
  <c r="AM15" i="12"/>
  <c r="AF15" i="12"/>
  <c r="Y15" i="12"/>
  <c r="R15" i="12"/>
  <c r="K14" i="12"/>
  <c r="N13" i="12"/>
  <c r="K13" i="12"/>
  <c r="N12" i="12"/>
  <c r="K12" i="12"/>
  <c r="K11" i="12"/>
  <c r="AF50" i="13"/>
  <c r="AT60" i="11" l="1"/>
  <c r="BB75" i="28"/>
  <c r="AY75" i="28"/>
  <c r="S75" i="28"/>
  <c r="P75" i="28"/>
  <c r="BP75" i="28"/>
  <c r="BM75" i="28"/>
  <c r="BF75" i="28"/>
  <c r="BI75" i="28"/>
  <c r="BT11" i="12"/>
  <c r="BT12" i="12"/>
  <c r="BT14" i="12"/>
  <c r="Y60" i="11"/>
  <c r="AF55" i="13"/>
  <c r="BA55" i="13"/>
  <c r="R60" i="11"/>
  <c r="BO55" i="13"/>
  <c r="BA60" i="11"/>
  <c r="H31" i="13"/>
  <c r="AT55" i="13"/>
  <c r="BH55" i="13"/>
  <c r="AM60" i="11"/>
  <c r="BO60" i="11"/>
  <c r="G11" i="12"/>
  <c r="G12" i="12"/>
  <c r="G13" i="12"/>
  <c r="R60" i="12"/>
  <c r="BH60" i="11"/>
  <c r="K15" i="12"/>
  <c r="BT13" i="12"/>
  <c r="H12" i="12" l="1"/>
  <c r="I12" i="12" s="1"/>
  <c r="BN12" i="12" s="1"/>
  <c r="AE12" i="12"/>
  <c r="AS12" i="12"/>
  <c r="H11" i="12"/>
  <c r="Q12" i="12"/>
  <c r="L12" i="12"/>
  <c r="J12" i="12"/>
  <c r="H13" i="12"/>
  <c r="I13" i="12" s="1"/>
  <c r="BG12" i="12" l="1"/>
  <c r="X12" i="12"/>
  <c r="AZ12" i="12"/>
  <c r="BB12" i="12" s="1"/>
  <c r="AL12" i="12"/>
  <c r="AK12" i="12" s="1"/>
  <c r="BG13" i="12"/>
  <c r="AE13" i="12"/>
  <c r="AZ13" i="12"/>
  <c r="X13" i="12"/>
  <c r="AL13" i="12"/>
  <c r="AS13" i="12"/>
  <c r="BN13" i="12"/>
  <c r="Q13" i="12"/>
  <c r="L13" i="12"/>
  <c r="J13" i="12"/>
  <c r="Z12" i="12"/>
  <c r="W12" i="12"/>
  <c r="P12" i="12"/>
  <c r="S12" i="12"/>
  <c r="BS12" i="12"/>
  <c r="BI12" i="12"/>
  <c r="I11" i="12"/>
  <c r="AG12" i="12"/>
  <c r="AD12" i="12"/>
  <c r="BM12" i="12"/>
  <c r="BP12" i="12"/>
  <c r="AN12" i="12" l="1"/>
  <c r="BB13" i="12"/>
  <c r="BI13" i="12"/>
  <c r="BN11" i="12"/>
  <c r="AL11" i="12"/>
  <c r="BG11" i="12"/>
  <c r="Y44" i="32" s="1"/>
  <c r="AE11" i="12"/>
  <c r="AS11" i="12"/>
  <c r="AZ11" i="12"/>
  <c r="X11" i="12"/>
  <c r="BU12" i="12"/>
  <c r="Q11" i="12"/>
  <c r="L11" i="12"/>
  <c r="J11" i="12"/>
  <c r="AN13" i="12"/>
  <c r="AK13" i="12"/>
  <c r="AG13" i="12"/>
  <c r="AD13" i="12"/>
  <c r="S13" i="12"/>
  <c r="P13" i="12"/>
  <c r="BS13" i="12"/>
  <c r="BP13" i="12"/>
  <c r="BM13" i="12"/>
  <c r="W13" i="12"/>
  <c r="Z13" i="12"/>
  <c r="I44" i="32" l="1"/>
  <c r="I54" i="32" s="1"/>
  <c r="AB44" i="32"/>
  <c r="AA44" i="32"/>
  <c r="Z11" i="12"/>
  <c r="BF11" i="12"/>
  <c r="BI11" i="12"/>
  <c r="BB11" i="12"/>
  <c r="AY11" i="12"/>
  <c r="S11" i="12"/>
  <c r="BS11" i="12"/>
  <c r="AG11" i="12"/>
  <c r="AD11" i="12"/>
  <c r="BP11" i="12"/>
  <c r="BM11" i="12"/>
  <c r="AU11" i="12"/>
  <c r="AR11" i="12"/>
  <c r="AK11" i="12"/>
  <c r="AN11" i="12"/>
  <c r="K49" i="13" l="1"/>
  <c r="K47" i="13"/>
  <c r="K46" i="13"/>
  <c r="K44" i="13"/>
  <c r="BT44" i="13" s="1"/>
  <c r="K41" i="13"/>
  <c r="BT41" i="13" s="1"/>
  <c r="K39" i="13"/>
  <c r="BT39" i="13" s="1"/>
  <c r="K36" i="13"/>
  <c r="BT36" i="13" s="1"/>
  <c r="K34" i="13"/>
  <c r="BT34" i="13" s="1"/>
  <c r="K32" i="13"/>
  <c r="BT32" i="13" s="1"/>
  <c r="K31" i="13"/>
  <c r="BT31" i="13" s="1"/>
  <c r="Y50" i="13"/>
  <c r="S49" i="13"/>
  <c r="K48" i="13"/>
  <c r="BT48" i="13" s="1"/>
  <c r="O48" i="13"/>
  <c r="N48" i="13"/>
  <c r="N47" i="13"/>
  <c r="BD46" i="13"/>
  <c r="AW46" i="13" s="1"/>
  <c r="AI46" i="13" s="1"/>
  <c r="S46" i="13"/>
  <c r="AF45" i="13"/>
  <c r="Y45" i="13"/>
  <c r="O43" i="13"/>
  <c r="N43" i="13" s="1"/>
  <c r="N42" i="13"/>
  <c r="BD41" i="13"/>
  <c r="AW41" i="13" s="1"/>
  <c r="AP41" i="13" s="1"/>
  <c r="AI41" i="13" s="1"/>
  <c r="AF40" i="13"/>
  <c r="Y40" i="13"/>
  <c r="O38" i="13"/>
  <c r="N38" i="13" s="1"/>
  <c r="N37" i="13"/>
  <c r="BD36" i="13"/>
  <c r="AW36" i="13" s="1"/>
  <c r="AP36" i="13" s="1"/>
  <c r="AI36" i="13" s="1"/>
  <c r="Y35" i="13"/>
  <c r="O33" i="13"/>
  <c r="N33" i="13"/>
  <c r="N32" i="13"/>
  <c r="BD31" i="13"/>
  <c r="AW31" i="13" s="1"/>
  <c r="AP31" i="13" s="1"/>
  <c r="AI31" i="13" s="1"/>
  <c r="K42" i="13" l="1"/>
  <c r="BT42" i="13" s="1"/>
  <c r="BT46" i="13"/>
  <c r="BT47" i="13"/>
  <c r="K38" i="13"/>
  <c r="BT38" i="13" s="1"/>
  <c r="BT49" i="13"/>
  <c r="R40" i="13"/>
  <c r="M60" i="24" s="1"/>
  <c r="R45" i="13"/>
  <c r="M61" i="24" s="1"/>
  <c r="K33" i="13"/>
  <c r="BT33" i="13" s="1"/>
  <c r="K37" i="13"/>
  <c r="BT37" i="13" s="1"/>
  <c r="R50" i="13"/>
  <c r="K43" i="13"/>
  <c r="BT43" i="13" s="1"/>
  <c r="K50" i="13"/>
  <c r="K40" i="13" l="1"/>
  <c r="K35" i="13"/>
  <c r="K45" i="13"/>
  <c r="G21" i="13" l="1"/>
  <c r="G16" i="13"/>
  <c r="G51" i="12"/>
  <c r="G46" i="12"/>
  <c r="G41" i="12"/>
  <c r="H41" i="12" s="1"/>
  <c r="G36" i="12"/>
  <c r="G31" i="12"/>
  <c r="H31" i="12" s="1"/>
  <c r="G26" i="12"/>
  <c r="H26" i="12" s="1"/>
  <c r="H51" i="11"/>
  <c r="G36" i="11"/>
  <c r="G31" i="11"/>
  <c r="G56" i="11" s="1"/>
  <c r="H32" i="13"/>
  <c r="I32" i="13" s="1"/>
  <c r="H33" i="13"/>
  <c r="I33" i="13" s="1"/>
  <c r="H36" i="13"/>
  <c r="I36" i="13" s="1"/>
  <c r="H38" i="13"/>
  <c r="I38" i="13" s="1"/>
  <c r="H41" i="13"/>
  <c r="I41" i="13" s="1"/>
  <c r="H42" i="13"/>
  <c r="I42" i="13" s="1"/>
  <c r="H43" i="13"/>
  <c r="H46" i="13"/>
  <c r="I46" i="13" s="1"/>
  <c r="H48" i="13"/>
  <c r="B16" i="12"/>
  <c r="B21" i="12" s="1"/>
  <c r="B16" i="13"/>
  <c r="B21" i="13" s="1"/>
  <c r="B26" i="13" s="1"/>
  <c r="B31" i="13" s="1"/>
  <c r="B36" i="13" s="1"/>
  <c r="B41" i="13" s="1"/>
  <c r="B46" i="13" s="1"/>
  <c r="BO55" i="12"/>
  <c r="BH55" i="12"/>
  <c r="BA55" i="12"/>
  <c r="AT55" i="12"/>
  <c r="AM55" i="12"/>
  <c r="AF55" i="12"/>
  <c r="Y55" i="12"/>
  <c r="R55" i="12"/>
  <c r="K54" i="12"/>
  <c r="BT54" i="12" s="1"/>
  <c r="K53" i="12"/>
  <c r="BT53" i="12" s="1"/>
  <c r="G53" i="12"/>
  <c r="K52" i="12"/>
  <c r="BT52" i="12" s="1"/>
  <c r="G52" i="12"/>
  <c r="H52" i="12" s="1"/>
  <c r="K51" i="12"/>
  <c r="BO50" i="12"/>
  <c r="BH50" i="12"/>
  <c r="BA50" i="12"/>
  <c r="AT50" i="12"/>
  <c r="AM50" i="12"/>
  <c r="AF50" i="12"/>
  <c r="Y50" i="12"/>
  <c r="R50" i="12"/>
  <c r="K49" i="12"/>
  <c r="BT49" i="12" s="1"/>
  <c r="K48" i="12"/>
  <c r="BT48" i="12" s="1"/>
  <c r="G48" i="12"/>
  <c r="H48" i="12" s="1"/>
  <c r="I48" i="12" s="1"/>
  <c r="K47" i="12"/>
  <c r="BT47" i="12" s="1"/>
  <c r="G47" i="12"/>
  <c r="K46" i="12"/>
  <c r="K26" i="12"/>
  <c r="BT26" i="12" s="1"/>
  <c r="S26" i="12"/>
  <c r="Z26" i="12"/>
  <c r="G27" i="12"/>
  <c r="H27" i="12" s="1"/>
  <c r="I27" i="12" s="1"/>
  <c r="K27" i="12"/>
  <c r="BT27" i="12" s="1"/>
  <c r="G28" i="12"/>
  <c r="H28" i="12" s="1"/>
  <c r="I28" i="12" s="1"/>
  <c r="K28" i="12"/>
  <c r="K29" i="12"/>
  <c r="BT29" i="12" s="1"/>
  <c r="S29" i="12"/>
  <c r="Z29" i="12"/>
  <c r="R30" i="12"/>
  <c r="Y30" i="12"/>
  <c r="AF30" i="12"/>
  <c r="AM30" i="12"/>
  <c r="AT30" i="12"/>
  <c r="BA30" i="12"/>
  <c r="BH30" i="12"/>
  <c r="BO30" i="12"/>
  <c r="K31" i="12"/>
  <c r="G32" i="12"/>
  <c r="H32" i="12" s="1"/>
  <c r="K32" i="12"/>
  <c r="G33" i="12"/>
  <c r="H33" i="12" s="1"/>
  <c r="I33" i="12" s="1"/>
  <c r="AZ33" i="12" s="1"/>
  <c r="BB33" i="12" s="1"/>
  <c r="K33" i="12"/>
  <c r="K34" i="12"/>
  <c r="BT34" i="12" s="1"/>
  <c r="R35" i="12"/>
  <c r="Y35" i="12"/>
  <c r="AF35" i="12"/>
  <c r="AM35" i="12"/>
  <c r="AT35" i="12"/>
  <c r="BA35" i="12"/>
  <c r="BH35" i="12"/>
  <c r="BO35" i="12"/>
  <c r="K36" i="12"/>
  <c r="G37" i="12"/>
  <c r="H37" i="12" s="1"/>
  <c r="K37" i="12"/>
  <c r="G38" i="12"/>
  <c r="H38" i="12" s="1"/>
  <c r="I38" i="12" s="1"/>
  <c r="K38" i="12"/>
  <c r="BT38" i="12" s="1"/>
  <c r="K39" i="12"/>
  <c r="BT39" i="12" s="1"/>
  <c r="R40" i="12"/>
  <c r="Y40" i="12"/>
  <c r="AF40" i="12"/>
  <c r="AM40" i="12"/>
  <c r="AT40" i="12"/>
  <c r="BA40" i="12"/>
  <c r="BH40" i="12"/>
  <c r="BO40" i="12"/>
  <c r="K41" i="12"/>
  <c r="G42" i="12"/>
  <c r="H42" i="12" s="1"/>
  <c r="I42" i="12" s="1"/>
  <c r="K42" i="12"/>
  <c r="G43" i="12"/>
  <c r="H43" i="12" s="1"/>
  <c r="K43" i="12"/>
  <c r="BT43" i="12" s="1"/>
  <c r="K44" i="12"/>
  <c r="BT44" i="12" s="1"/>
  <c r="R45" i="12"/>
  <c r="Y45" i="12"/>
  <c r="AF45" i="12"/>
  <c r="AM45" i="12"/>
  <c r="AT45" i="12"/>
  <c r="BA45" i="12"/>
  <c r="BH45" i="12"/>
  <c r="BO45" i="12"/>
  <c r="K51" i="11"/>
  <c r="K52" i="11"/>
  <c r="K53" i="11"/>
  <c r="K54" i="11"/>
  <c r="R55" i="11"/>
  <c r="AM55" i="11"/>
  <c r="AT55" i="11"/>
  <c r="BA55" i="11"/>
  <c r="BH55" i="11"/>
  <c r="BO55" i="11"/>
  <c r="H53" i="11"/>
  <c r="I53" i="11" s="1"/>
  <c r="K16" i="12"/>
  <c r="K17" i="12"/>
  <c r="N17" i="12"/>
  <c r="K18" i="12"/>
  <c r="N18" i="12"/>
  <c r="K19" i="12"/>
  <c r="R20" i="12"/>
  <c r="M45" i="24" s="1"/>
  <c r="K21" i="12"/>
  <c r="K22" i="12"/>
  <c r="BT22" i="12" s="1"/>
  <c r="N22" i="12"/>
  <c r="K23" i="12"/>
  <c r="BT23" i="12" s="1"/>
  <c r="N23" i="12"/>
  <c r="K24" i="12"/>
  <c r="BS19" i="26" s="1"/>
  <c r="R25" i="12"/>
  <c r="M46" i="24" s="1"/>
  <c r="E46" i="24"/>
  <c r="F46" i="24" s="1"/>
  <c r="BU48" i="26"/>
  <c r="BT48" i="26"/>
  <c r="BS48" i="26"/>
  <c r="BU47" i="26"/>
  <c r="BT47" i="26"/>
  <c r="BS47" i="26"/>
  <c r="BU46" i="26"/>
  <c r="BT46" i="26"/>
  <c r="BS46" i="26"/>
  <c r="B16" i="26"/>
  <c r="B21" i="26" s="1"/>
  <c r="B26" i="26" s="1"/>
  <c r="B31" i="26" s="1"/>
  <c r="B36" i="26" s="1"/>
  <c r="B41" i="26" s="1"/>
  <c r="BE31" i="14"/>
  <c r="F31" i="14"/>
  <c r="BE30" i="14"/>
  <c r="BE29" i="14"/>
  <c r="BE28" i="14"/>
  <c r="BP49" i="25"/>
  <c r="BP48" i="25"/>
  <c r="BP47" i="25"/>
  <c r="BP46" i="25"/>
  <c r="BI49" i="25"/>
  <c r="BI48" i="25"/>
  <c r="BI47" i="25"/>
  <c r="BI46" i="25"/>
  <c r="BB49" i="25"/>
  <c r="BB48" i="25"/>
  <c r="BB47" i="25"/>
  <c r="BB46" i="25"/>
  <c r="AU49" i="25"/>
  <c r="AU48" i="25"/>
  <c r="AU47" i="25"/>
  <c r="AU46" i="25"/>
  <c r="AN49" i="25"/>
  <c r="AN48" i="25"/>
  <c r="AN47" i="25"/>
  <c r="AN46" i="25"/>
  <c r="AG49" i="25"/>
  <c r="AG48" i="25"/>
  <c r="AG47" i="25"/>
  <c r="AG46" i="25"/>
  <c r="Z49" i="25"/>
  <c r="Z48" i="25"/>
  <c r="Z47" i="25"/>
  <c r="Z46" i="25"/>
  <c r="S49" i="25"/>
  <c r="S46" i="25"/>
  <c r="I44" i="25"/>
  <c r="I43" i="25"/>
  <c r="I42" i="25"/>
  <c r="I41" i="25"/>
  <c r="I39" i="25"/>
  <c r="I38" i="25"/>
  <c r="I37" i="25"/>
  <c r="I36" i="25"/>
  <c r="I34" i="25"/>
  <c r="I33" i="25"/>
  <c r="I32" i="25"/>
  <c r="I31" i="25"/>
  <c r="I29" i="25"/>
  <c r="I28" i="25"/>
  <c r="I27" i="25"/>
  <c r="I26" i="25"/>
  <c r="K58" i="12" l="1"/>
  <c r="BT46" i="12"/>
  <c r="K56" i="12"/>
  <c r="BT32" i="12"/>
  <c r="K57" i="12"/>
  <c r="H46" i="24"/>
  <c r="E45" i="24"/>
  <c r="F45" i="24" s="1"/>
  <c r="D56" i="12"/>
  <c r="BT51" i="11"/>
  <c r="BT59" i="12"/>
  <c r="BT58" i="12"/>
  <c r="BT56" i="12"/>
  <c r="X53" i="11"/>
  <c r="W53" i="11" s="1"/>
  <c r="Q53" i="11"/>
  <c r="S53" i="11" s="1"/>
  <c r="AZ33" i="13"/>
  <c r="Q33" i="13"/>
  <c r="BN33" i="13"/>
  <c r="AL33" i="13"/>
  <c r="BG33" i="13"/>
  <c r="AE33" i="13"/>
  <c r="AG33" i="13" s="1"/>
  <c r="AS33" i="13"/>
  <c r="X33" i="13"/>
  <c r="Q32" i="13"/>
  <c r="AZ32" i="13"/>
  <c r="BN32" i="13"/>
  <c r="AA59" i="24" s="1"/>
  <c r="AL32" i="13"/>
  <c r="BG32" i="13"/>
  <c r="AE32" i="13"/>
  <c r="AG32" i="13" s="1"/>
  <c r="X32" i="13"/>
  <c r="AS32" i="13"/>
  <c r="G21" i="12"/>
  <c r="H21" i="12" s="1"/>
  <c r="I21" i="12" s="1"/>
  <c r="G23" i="12"/>
  <c r="H23" i="12" s="1"/>
  <c r="G22" i="12"/>
  <c r="H22" i="12" s="1"/>
  <c r="G17" i="12"/>
  <c r="G57" i="12" s="1"/>
  <c r="G16" i="12"/>
  <c r="G18" i="12"/>
  <c r="G58" i="12" s="1"/>
  <c r="BT16" i="12"/>
  <c r="BT19" i="12"/>
  <c r="BT17" i="12"/>
  <c r="BT18" i="12"/>
  <c r="BT53" i="11"/>
  <c r="X38" i="13"/>
  <c r="W38" i="13" s="1"/>
  <c r="AL38" i="13"/>
  <c r="BG38" i="13"/>
  <c r="BN38" i="13"/>
  <c r="AZ38" i="13"/>
  <c r="AE38" i="13"/>
  <c r="AS38" i="13"/>
  <c r="Q38" i="13"/>
  <c r="X36" i="13"/>
  <c r="W36" i="13" s="1"/>
  <c r="Q36" i="13"/>
  <c r="BN36" i="13"/>
  <c r="AZ36" i="13"/>
  <c r="AL36" i="13"/>
  <c r="AS36" i="13"/>
  <c r="BG36" i="13"/>
  <c r="Y60" i="32" s="1"/>
  <c r="AE36" i="13"/>
  <c r="Q42" i="13"/>
  <c r="AL42" i="13"/>
  <c r="BN42" i="13"/>
  <c r="BG42" i="13"/>
  <c r="AZ42" i="13"/>
  <c r="AS42" i="13"/>
  <c r="AE42" i="13"/>
  <c r="X42" i="13"/>
  <c r="W42" i="13" s="1"/>
  <c r="AZ41" i="13"/>
  <c r="AL41" i="13"/>
  <c r="AE41" i="13"/>
  <c r="BN41" i="13"/>
  <c r="AS41" i="13"/>
  <c r="BG41" i="13"/>
  <c r="Y61" i="32" s="1"/>
  <c r="Q41" i="13"/>
  <c r="X41" i="13"/>
  <c r="W41" i="13" s="1"/>
  <c r="BG46" i="13"/>
  <c r="AZ46" i="13"/>
  <c r="BN46" i="13"/>
  <c r="AS46" i="13"/>
  <c r="AL46" i="13"/>
  <c r="L36" i="13"/>
  <c r="J36" i="13"/>
  <c r="L41" i="13"/>
  <c r="J41" i="13"/>
  <c r="X46" i="13"/>
  <c r="AE46" i="13"/>
  <c r="P46" i="13"/>
  <c r="L46" i="13"/>
  <c r="J46" i="13"/>
  <c r="J32" i="13"/>
  <c r="L32" i="13"/>
  <c r="L38" i="13"/>
  <c r="J38" i="13"/>
  <c r="L33" i="13"/>
  <c r="J33" i="13"/>
  <c r="L42" i="13"/>
  <c r="J42" i="13"/>
  <c r="I43" i="13"/>
  <c r="I48" i="13"/>
  <c r="H47" i="13"/>
  <c r="H37" i="13"/>
  <c r="I37" i="13" s="1"/>
  <c r="I31" i="13"/>
  <c r="X33" i="12"/>
  <c r="W33" i="12" s="1"/>
  <c r="Q33" i="12"/>
  <c r="P33" i="12" s="1"/>
  <c r="K40" i="12"/>
  <c r="L33" i="12"/>
  <c r="K50" i="12"/>
  <c r="I52" i="12"/>
  <c r="BN52" i="12" s="1"/>
  <c r="J33" i="12"/>
  <c r="K35" i="12"/>
  <c r="K55" i="12"/>
  <c r="BS18" i="26"/>
  <c r="AL28" i="12"/>
  <c r="AZ28" i="12"/>
  <c r="AS28" i="12"/>
  <c r="Q28" i="12"/>
  <c r="AZ42" i="12"/>
  <c r="BB42" i="12" s="1"/>
  <c r="X42" i="12"/>
  <c r="L42" i="12"/>
  <c r="Q42" i="12"/>
  <c r="X48" i="12"/>
  <c r="BN48" i="12"/>
  <c r="Q48" i="12"/>
  <c r="BG48" i="12"/>
  <c r="BI48" i="12" s="1"/>
  <c r="L48" i="12"/>
  <c r="AZ48" i="12"/>
  <c r="BB48" i="12" s="1"/>
  <c r="J48" i="12"/>
  <c r="AS48" i="12"/>
  <c r="AU48" i="12" s="1"/>
  <c r="AL48" i="12"/>
  <c r="AE48" i="12"/>
  <c r="I26" i="12"/>
  <c r="BG26" i="12" s="1"/>
  <c r="H51" i="12"/>
  <c r="I51" i="12" s="1"/>
  <c r="J42" i="12"/>
  <c r="J28" i="12"/>
  <c r="H46" i="12"/>
  <c r="BT51" i="12"/>
  <c r="H53" i="12"/>
  <c r="I53" i="12" s="1"/>
  <c r="L53" i="11"/>
  <c r="J53" i="11"/>
  <c r="H47" i="12"/>
  <c r="I47" i="12" s="1"/>
  <c r="BT31" i="12"/>
  <c r="K45" i="12"/>
  <c r="I37" i="12"/>
  <c r="AS37" i="12" s="1"/>
  <c r="AU37" i="12" s="1"/>
  <c r="AZ38" i="12"/>
  <c r="BB38" i="12" s="1"/>
  <c r="BG38" i="12"/>
  <c r="BI38" i="12" s="1"/>
  <c r="L38" i="12"/>
  <c r="Q38" i="12"/>
  <c r="BN38" i="12"/>
  <c r="X38" i="12"/>
  <c r="AE38" i="12"/>
  <c r="AL38" i="12"/>
  <c r="AS38" i="12"/>
  <c r="AU38" i="12" s="1"/>
  <c r="J38" i="12"/>
  <c r="AL27" i="12"/>
  <c r="BG27" i="12"/>
  <c r="J27" i="12"/>
  <c r="AZ27" i="12"/>
  <c r="L27" i="12"/>
  <c r="Q27" i="12"/>
  <c r="BN27" i="12"/>
  <c r="X27" i="12"/>
  <c r="AE27" i="12"/>
  <c r="AS27" i="12"/>
  <c r="I31" i="12"/>
  <c r="Z53" i="11"/>
  <c r="AS42" i="12"/>
  <c r="AU42" i="12" s="1"/>
  <c r="AS33" i="12"/>
  <c r="AU33" i="12" s="1"/>
  <c r="BT24" i="12"/>
  <c r="I43" i="12"/>
  <c r="J43" i="12" s="1"/>
  <c r="AL42" i="12"/>
  <c r="BT36" i="12"/>
  <c r="AL33" i="12"/>
  <c r="AE28" i="12"/>
  <c r="BT41" i="12"/>
  <c r="I41" i="12"/>
  <c r="H36" i="12"/>
  <c r="BT28" i="12"/>
  <c r="AE42" i="12"/>
  <c r="BT37" i="12"/>
  <c r="AE33" i="12"/>
  <c r="X28" i="12"/>
  <c r="H52" i="11"/>
  <c r="I52" i="11" s="1"/>
  <c r="BT42" i="12"/>
  <c r="BT33" i="12"/>
  <c r="K30" i="12"/>
  <c r="BN28" i="12"/>
  <c r="BN42" i="12"/>
  <c r="BN33" i="12"/>
  <c r="BG28" i="12"/>
  <c r="L28" i="12"/>
  <c r="BG42" i="12"/>
  <c r="BG33" i="12"/>
  <c r="BI33" i="12" s="1"/>
  <c r="I32" i="12"/>
  <c r="BS11" i="26"/>
  <c r="BT21" i="12"/>
  <c r="K20" i="12"/>
  <c r="K55" i="11"/>
  <c r="M28" i="24" s="1"/>
  <c r="BT54" i="11"/>
  <c r="BT52" i="11"/>
  <c r="I51" i="11"/>
  <c r="BS16" i="26"/>
  <c r="K25" i="12"/>
  <c r="D55" i="26"/>
  <c r="BS17" i="26"/>
  <c r="E46" i="26"/>
  <c r="L48" i="26"/>
  <c r="BS13" i="26"/>
  <c r="D56" i="26"/>
  <c r="BS12" i="26"/>
  <c r="L47" i="26"/>
  <c r="BS14" i="26"/>
  <c r="L49" i="26"/>
  <c r="L46" i="26"/>
  <c r="BD11" i="13"/>
  <c r="AX26" i="25"/>
  <c r="AQ26" i="25" s="1"/>
  <c r="AJ26" i="25" s="1"/>
  <c r="AC26" i="25" s="1"/>
  <c r="BE26" i="25"/>
  <c r="Z30" i="25"/>
  <c r="AG30" i="25"/>
  <c r="AN30" i="25"/>
  <c r="AU30" i="25"/>
  <c r="BB30" i="25"/>
  <c r="BI30" i="25"/>
  <c r="BP30" i="25"/>
  <c r="BE31" i="25"/>
  <c r="AX31" i="25" s="1"/>
  <c r="AQ31" i="25" s="1"/>
  <c r="AJ31" i="25" s="1"/>
  <c r="AC31" i="25" s="1"/>
  <c r="Z33" i="25"/>
  <c r="Z35" i="25"/>
  <c r="AG35" i="25"/>
  <c r="AN35" i="25"/>
  <c r="AU35" i="25"/>
  <c r="BB35" i="25"/>
  <c r="BI35" i="25"/>
  <c r="BP35" i="25"/>
  <c r="AX36" i="25"/>
  <c r="AQ36" i="25" s="1"/>
  <c r="AJ36" i="25" s="1"/>
  <c r="AC36" i="25" s="1"/>
  <c r="BE36" i="25"/>
  <c r="Z40" i="25"/>
  <c r="AG40" i="25"/>
  <c r="AN40" i="25"/>
  <c r="AU40" i="25"/>
  <c r="BB40" i="25"/>
  <c r="BI40" i="25"/>
  <c r="BP40" i="25"/>
  <c r="BE41" i="25"/>
  <c r="AX41" i="25" s="1"/>
  <c r="AQ41" i="25" s="1"/>
  <c r="AJ41" i="25" s="1"/>
  <c r="AC41" i="25" s="1"/>
  <c r="Z45" i="25"/>
  <c r="AG45" i="25"/>
  <c r="AN45" i="25"/>
  <c r="AU45" i="25"/>
  <c r="BB45" i="25"/>
  <c r="BI45" i="25"/>
  <c r="BP45" i="25"/>
  <c r="O27" i="25"/>
  <c r="O28" i="25"/>
  <c r="P28" i="25"/>
  <c r="O32" i="25"/>
  <c r="O33" i="25"/>
  <c r="P33" i="25"/>
  <c r="T36" i="25"/>
  <c r="O37" i="25"/>
  <c r="O38" i="25"/>
  <c r="P38" i="25"/>
  <c r="T39" i="25"/>
  <c r="T41" i="25"/>
  <c r="O42" i="25"/>
  <c r="P43" i="25"/>
  <c r="O43" i="25" s="1"/>
  <c r="T44" i="25"/>
  <c r="J26" i="25"/>
  <c r="K26" i="25" s="1"/>
  <c r="M26" i="25"/>
  <c r="BU26" i="25" s="1"/>
  <c r="M27" i="25"/>
  <c r="BU27" i="25" s="1"/>
  <c r="J28" i="25"/>
  <c r="K28" i="25" s="1"/>
  <c r="AM28" i="25" s="1"/>
  <c r="J29" i="25"/>
  <c r="M29" i="25"/>
  <c r="BU29" i="25" s="1"/>
  <c r="J31" i="25"/>
  <c r="K31" i="25" s="1"/>
  <c r="BO31" i="25" s="1"/>
  <c r="M31" i="25"/>
  <c r="BU31" i="25" s="1"/>
  <c r="J32" i="25"/>
  <c r="J33" i="25"/>
  <c r="K33" i="25" s="1"/>
  <c r="BA33" i="25" s="1"/>
  <c r="BC33" i="25" s="1"/>
  <c r="J34" i="25"/>
  <c r="M34" i="25"/>
  <c r="BU34" i="25" s="1"/>
  <c r="J36" i="25"/>
  <c r="M36" i="25"/>
  <c r="BU36" i="25" s="1"/>
  <c r="J37" i="25"/>
  <c r="J38" i="25"/>
  <c r="J39" i="25"/>
  <c r="K39" i="25" s="1"/>
  <c r="N39" i="25" s="1"/>
  <c r="M39" i="25"/>
  <c r="BU39" i="25" s="1"/>
  <c r="J41" i="25"/>
  <c r="M41" i="25"/>
  <c r="BU41" i="25" s="1"/>
  <c r="J42" i="25"/>
  <c r="K42" i="25" s="1"/>
  <c r="BA42" i="25" s="1"/>
  <c r="BC42" i="25" s="1"/>
  <c r="J43" i="25"/>
  <c r="K43" i="25" s="1"/>
  <c r="AT43" i="25" s="1"/>
  <c r="AV43" i="25" s="1"/>
  <c r="J44" i="25"/>
  <c r="K44" i="25" s="1"/>
  <c r="BO44" i="25" s="1"/>
  <c r="M44" i="25"/>
  <c r="BU44" i="25" s="1"/>
  <c r="G78" i="10"/>
  <c r="G77" i="10"/>
  <c r="H77" i="10" s="1"/>
  <c r="G79" i="10"/>
  <c r="H79" i="10" s="1"/>
  <c r="I79" i="10" s="1"/>
  <c r="M33" i="24"/>
  <c r="AA33" i="24" s="1"/>
  <c r="M32" i="24"/>
  <c r="AA32" i="24" s="1"/>
  <c r="E17" i="24"/>
  <c r="F17" i="24" s="1"/>
  <c r="E16" i="24"/>
  <c r="F16" i="24" s="1"/>
  <c r="C17" i="24"/>
  <c r="C16" i="24"/>
  <c r="G73" i="10"/>
  <c r="G72" i="10"/>
  <c r="BO80" i="10"/>
  <c r="BH80" i="10"/>
  <c r="BA80" i="10"/>
  <c r="AT80" i="10"/>
  <c r="AM80" i="10"/>
  <c r="AF80" i="10"/>
  <c r="Y80" i="10"/>
  <c r="R80" i="10"/>
  <c r="K79" i="10"/>
  <c r="BT79" i="10" s="1"/>
  <c r="K78" i="10"/>
  <c r="BT78" i="10" s="1"/>
  <c r="K77" i="10"/>
  <c r="M17" i="34" s="1"/>
  <c r="BD76" i="10"/>
  <c r="K76" i="10"/>
  <c r="BO75" i="10"/>
  <c r="BH75" i="10"/>
  <c r="BA75" i="10"/>
  <c r="AT75" i="10"/>
  <c r="AM75" i="10"/>
  <c r="AF75" i="10"/>
  <c r="Y75" i="10"/>
  <c r="K74" i="10"/>
  <c r="BT74" i="10" s="1"/>
  <c r="BD71" i="10"/>
  <c r="K71" i="10"/>
  <c r="BT71" i="10" s="1"/>
  <c r="Y62" i="32" l="1"/>
  <c r="AB62" i="32"/>
  <c r="AA62" i="32"/>
  <c r="AA60" i="32"/>
  <c r="AB60" i="32"/>
  <c r="AB61" i="32"/>
  <c r="AA61" i="32"/>
  <c r="BT77" i="10"/>
  <c r="M17" i="24"/>
  <c r="H17" i="24"/>
  <c r="AW71" i="10"/>
  <c r="AP71" i="10" s="1"/>
  <c r="AI71" i="10" s="1"/>
  <c r="AB71" i="10" s="1"/>
  <c r="T16" i="32" s="1"/>
  <c r="AW76" i="10"/>
  <c r="AP76" i="10" s="1"/>
  <c r="AI76" i="10" s="1"/>
  <c r="AB76" i="10" s="1"/>
  <c r="T17" i="32" s="1"/>
  <c r="AD32" i="13"/>
  <c r="AB59" i="24"/>
  <c r="G56" i="12"/>
  <c r="BI28" i="12"/>
  <c r="AU28" i="12"/>
  <c r="BB28" i="12"/>
  <c r="BB27" i="12"/>
  <c r="AK28" i="12"/>
  <c r="AU27" i="12"/>
  <c r="H45" i="24"/>
  <c r="H18" i="12"/>
  <c r="I18" i="12" s="1"/>
  <c r="H16" i="12"/>
  <c r="I16" i="12" s="1"/>
  <c r="J16" i="12" s="1"/>
  <c r="H17" i="12"/>
  <c r="I17" i="12" s="1"/>
  <c r="AD33" i="13"/>
  <c r="W33" i="13"/>
  <c r="Z33" i="13"/>
  <c r="AU33" i="13"/>
  <c r="AR33" i="13"/>
  <c r="BI33" i="13"/>
  <c r="BF33" i="13"/>
  <c r="AN33" i="13"/>
  <c r="AK33" i="13"/>
  <c r="BG31" i="13"/>
  <c r="X31" i="13"/>
  <c r="Y46" i="26" s="1"/>
  <c r="Q31" i="13"/>
  <c r="R46" i="26" s="1"/>
  <c r="AZ31" i="13"/>
  <c r="BA46" i="26" s="1"/>
  <c r="BN31" i="13"/>
  <c r="BO46" i="26" s="1"/>
  <c r="AL31" i="13"/>
  <c r="AM46" i="26" s="1"/>
  <c r="AE31" i="13"/>
  <c r="AF46" i="26" s="1"/>
  <c r="AS31" i="13"/>
  <c r="AT46" i="26" s="1"/>
  <c r="BP33" i="13"/>
  <c r="BM33" i="13"/>
  <c r="BB33" i="13"/>
  <c r="AY33" i="13"/>
  <c r="AU32" i="13"/>
  <c r="AR32" i="13"/>
  <c r="W32" i="13"/>
  <c r="Z32" i="13"/>
  <c r="BI32" i="13"/>
  <c r="BF32" i="13"/>
  <c r="X52" i="11"/>
  <c r="Q52" i="11"/>
  <c r="AN32" i="13"/>
  <c r="AK32" i="13"/>
  <c r="BP32" i="13"/>
  <c r="BM32" i="13"/>
  <c r="J51" i="11"/>
  <c r="X51" i="11"/>
  <c r="Q51" i="11"/>
  <c r="BB32" i="13"/>
  <c r="AY32" i="13"/>
  <c r="S33" i="12"/>
  <c r="L21" i="12"/>
  <c r="Q21" i="12"/>
  <c r="M30" i="12"/>
  <c r="I23" i="12"/>
  <c r="L23" i="12" s="1"/>
  <c r="K80" i="10"/>
  <c r="BT57" i="12"/>
  <c r="K60" i="12"/>
  <c r="S32" i="13"/>
  <c r="P32" i="13"/>
  <c r="BU32" i="13"/>
  <c r="BS32" i="13"/>
  <c r="S33" i="13"/>
  <c r="P33" i="13"/>
  <c r="BS33" i="13"/>
  <c r="AR36" i="13"/>
  <c r="AU36" i="13"/>
  <c r="AK36" i="13"/>
  <c r="AN36" i="13"/>
  <c r="AY36" i="13"/>
  <c r="BB36" i="13"/>
  <c r="BM36" i="13"/>
  <c r="BP36" i="13"/>
  <c r="P36" i="13"/>
  <c r="S36" i="13"/>
  <c r="Z36" i="13"/>
  <c r="BN37" i="13"/>
  <c r="Q37" i="13"/>
  <c r="AL37" i="13"/>
  <c r="AZ37" i="13"/>
  <c r="X37" i="13"/>
  <c r="W37" i="13" s="1"/>
  <c r="BG37" i="13"/>
  <c r="AE37" i="13"/>
  <c r="AS37" i="13"/>
  <c r="P38" i="13"/>
  <c r="S38" i="13"/>
  <c r="AR38" i="13"/>
  <c r="AU38" i="13"/>
  <c r="BS36" i="13"/>
  <c r="AD38" i="13"/>
  <c r="AG38" i="13"/>
  <c r="BB38" i="13"/>
  <c r="AY38" i="13"/>
  <c r="BM38" i="13"/>
  <c r="BP38" i="13"/>
  <c r="BI38" i="13"/>
  <c r="BF38" i="13"/>
  <c r="AK38" i="13"/>
  <c r="AN38" i="13"/>
  <c r="Z38" i="13"/>
  <c r="BF36" i="13"/>
  <c r="BI36" i="13"/>
  <c r="AD36" i="13"/>
  <c r="AG36" i="13"/>
  <c r="BS38" i="13"/>
  <c r="AU42" i="13"/>
  <c r="AR42" i="13"/>
  <c r="BB42" i="13"/>
  <c r="AY42" i="13"/>
  <c r="BF42" i="13"/>
  <c r="BI42" i="13"/>
  <c r="BM42" i="13"/>
  <c r="BP42" i="13"/>
  <c r="AN42" i="13"/>
  <c r="AK42" i="13"/>
  <c r="P42" i="13"/>
  <c r="S42" i="13"/>
  <c r="BS42" i="13"/>
  <c r="AZ43" i="13"/>
  <c r="BN43" i="13"/>
  <c r="BG43" i="13"/>
  <c r="Q43" i="13"/>
  <c r="AE43" i="13"/>
  <c r="X43" i="13"/>
  <c r="W43" i="13" s="1"/>
  <c r="AS43" i="13"/>
  <c r="AL43" i="13"/>
  <c r="Z42" i="13"/>
  <c r="AD42" i="13"/>
  <c r="AG42" i="13"/>
  <c r="BS41" i="13"/>
  <c r="Z41" i="13"/>
  <c r="P41" i="13"/>
  <c r="S41" i="13"/>
  <c r="BF41" i="13"/>
  <c r="BI41" i="13"/>
  <c r="AR41" i="13"/>
  <c r="AU41" i="13"/>
  <c r="BM41" i="13"/>
  <c r="BP41" i="13"/>
  <c r="AD41" i="13"/>
  <c r="AG41" i="13"/>
  <c r="AK41" i="13"/>
  <c r="AN41" i="13"/>
  <c r="AY41" i="13"/>
  <c r="BB41" i="13"/>
  <c r="BN48" i="13"/>
  <c r="AL48" i="13"/>
  <c r="AS48" i="13"/>
  <c r="AZ48" i="13"/>
  <c r="BG48" i="13"/>
  <c r="AK46" i="13"/>
  <c r="AN46" i="13"/>
  <c r="AR46" i="13"/>
  <c r="AU46" i="13"/>
  <c r="BM46" i="13"/>
  <c r="BP46" i="13"/>
  <c r="AY46" i="13"/>
  <c r="BB46" i="13"/>
  <c r="BF46" i="13"/>
  <c r="BI46" i="13"/>
  <c r="X48" i="13"/>
  <c r="AE48" i="13"/>
  <c r="Q48" i="13"/>
  <c r="J48" i="13"/>
  <c r="L48" i="13"/>
  <c r="L31" i="13"/>
  <c r="J31" i="13"/>
  <c r="AD46" i="13"/>
  <c r="AG46" i="13"/>
  <c r="Z46" i="13"/>
  <c r="W46" i="13"/>
  <c r="BS46" i="13"/>
  <c r="AN28" i="12"/>
  <c r="AL52" i="12"/>
  <c r="AN52" i="12" s="1"/>
  <c r="AS52" i="12"/>
  <c r="AU52" i="12" s="1"/>
  <c r="L52" i="12"/>
  <c r="BG52" i="12"/>
  <c r="BI52" i="12" s="1"/>
  <c r="X52" i="12"/>
  <c r="J52" i="12"/>
  <c r="L37" i="13"/>
  <c r="J37" i="13"/>
  <c r="L43" i="13"/>
  <c r="J43" i="13"/>
  <c r="I47" i="13"/>
  <c r="AL26" i="12"/>
  <c r="L26" i="12"/>
  <c r="AE26" i="12"/>
  <c r="AZ26" i="12"/>
  <c r="BT76" i="10"/>
  <c r="AE52" i="12"/>
  <c r="AS26" i="12"/>
  <c r="J37" i="12"/>
  <c r="X37" i="12"/>
  <c r="AZ52" i="12"/>
  <c r="BB52" i="12" s="1"/>
  <c r="Z33" i="12"/>
  <c r="Q52" i="12"/>
  <c r="BN47" i="12"/>
  <c r="Q47" i="12"/>
  <c r="M50" i="12" s="1"/>
  <c r="BG47" i="12"/>
  <c r="L47" i="12"/>
  <c r="AZ47" i="12"/>
  <c r="BB47" i="12" s="1"/>
  <c r="AS47" i="12"/>
  <c r="AU47" i="12" s="1"/>
  <c r="AL47" i="12"/>
  <c r="AE47" i="12"/>
  <c r="X47" i="12"/>
  <c r="J47" i="12"/>
  <c r="X53" i="12"/>
  <c r="BN53" i="12"/>
  <c r="Q53" i="12"/>
  <c r="BG53" i="12"/>
  <c r="BI53" i="12" s="1"/>
  <c r="L53" i="12"/>
  <c r="AZ53" i="12"/>
  <c r="BB53" i="12" s="1"/>
  <c r="J53" i="12"/>
  <c r="AS53" i="12"/>
  <c r="AU53" i="12" s="1"/>
  <c r="AL53" i="12"/>
  <c r="AE53" i="12"/>
  <c r="P53" i="11"/>
  <c r="BP48" i="12"/>
  <c r="BM48" i="12"/>
  <c r="Z48" i="12"/>
  <c r="W48" i="12"/>
  <c r="BG51" i="12"/>
  <c r="Y52" i="32" s="1"/>
  <c r="AE51" i="12"/>
  <c r="AZ51" i="12"/>
  <c r="X51" i="12"/>
  <c r="Q51" i="12"/>
  <c r="L51" i="12"/>
  <c r="AS51" i="12"/>
  <c r="BN51" i="12"/>
  <c r="AL51" i="12"/>
  <c r="P42" i="12"/>
  <c r="S42" i="12"/>
  <c r="W42" i="12"/>
  <c r="Z42" i="12"/>
  <c r="BS53" i="11"/>
  <c r="BP52" i="12"/>
  <c r="BM52" i="12"/>
  <c r="BG37" i="12"/>
  <c r="BI37" i="12" s="1"/>
  <c r="P28" i="12"/>
  <c r="S28" i="12"/>
  <c r="AL37" i="12"/>
  <c r="AK37" i="12" s="1"/>
  <c r="AD48" i="12"/>
  <c r="AG48" i="12"/>
  <c r="AE37" i="12"/>
  <c r="AN48" i="12"/>
  <c r="AK48" i="12"/>
  <c r="BN37" i="12"/>
  <c r="J51" i="12"/>
  <c r="Q37" i="12"/>
  <c r="I46" i="12"/>
  <c r="J26" i="12"/>
  <c r="L37" i="12"/>
  <c r="BN26" i="12"/>
  <c r="Y47" i="32" s="1"/>
  <c r="AZ37" i="12"/>
  <c r="BB37" i="12" s="1"/>
  <c r="BS48" i="12"/>
  <c r="S48" i="12"/>
  <c r="P48" i="12"/>
  <c r="J52" i="11"/>
  <c r="L52" i="11"/>
  <c r="I22" i="12"/>
  <c r="BP38" i="12"/>
  <c r="BM38" i="12"/>
  <c r="W28" i="12"/>
  <c r="Z28" i="12"/>
  <c r="AD28" i="12"/>
  <c r="AG28" i="12"/>
  <c r="P38" i="12"/>
  <c r="BS38" i="12"/>
  <c r="S38" i="12"/>
  <c r="BI42" i="12"/>
  <c r="AK33" i="12"/>
  <c r="AN33" i="12"/>
  <c r="AG27" i="12"/>
  <c r="AD27" i="12"/>
  <c r="Q41" i="12"/>
  <c r="AE41" i="12"/>
  <c r="BG41" i="12"/>
  <c r="Y50" i="32" s="1"/>
  <c r="BN41" i="12"/>
  <c r="AL41" i="12"/>
  <c r="AZ41" i="12"/>
  <c r="AS41" i="12"/>
  <c r="X41" i="12"/>
  <c r="L41" i="12"/>
  <c r="BS33" i="12"/>
  <c r="AD33" i="12"/>
  <c r="AG33" i="12"/>
  <c r="X30" i="12"/>
  <c r="W27" i="12"/>
  <c r="Z27" i="12"/>
  <c r="AD38" i="12"/>
  <c r="AG38" i="12"/>
  <c r="J32" i="12"/>
  <c r="AS32" i="12"/>
  <c r="AU32" i="12" s="1"/>
  <c r="AZ32" i="12"/>
  <c r="BB32" i="12" s="1"/>
  <c r="BG32" i="12"/>
  <c r="BG57" i="12" s="1"/>
  <c r="Q32" i="12"/>
  <c r="M35" i="12" s="1"/>
  <c r="BN32" i="12"/>
  <c r="BN57" i="12" s="1"/>
  <c r="X32" i="12"/>
  <c r="X57" i="12" s="1"/>
  <c r="AE32" i="12"/>
  <c r="AL32" i="12"/>
  <c r="L32" i="12"/>
  <c r="W38" i="12"/>
  <c r="Z38" i="12"/>
  <c r="H48" i="26"/>
  <c r="I48" i="26" s="1"/>
  <c r="J48" i="26" s="1"/>
  <c r="K48" i="26" s="1"/>
  <c r="I36" i="12"/>
  <c r="BM27" i="12"/>
  <c r="BP27" i="12"/>
  <c r="P27" i="12"/>
  <c r="S27" i="12"/>
  <c r="Q30" i="12"/>
  <c r="BS27" i="12"/>
  <c r="J41" i="12"/>
  <c r="AD42" i="12"/>
  <c r="AG42" i="12"/>
  <c r="BS42" i="12"/>
  <c r="AS31" i="12"/>
  <c r="Q31" i="12"/>
  <c r="L31" i="12"/>
  <c r="AE31" i="12"/>
  <c r="BG31" i="12"/>
  <c r="AZ31" i="12"/>
  <c r="BN31" i="12"/>
  <c r="AL31" i="12"/>
  <c r="J31" i="12"/>
  <c r="X31" i="12"/>
  <c r="AK42" i="12"/>
  <c r="AN42" i="12"/>
  <c r="BM33" i="12"/>
  <c r="BP33" i="12"/>
  <c r="L43" i="12"/>
  <c r="Q43" i="12"/>
  <c r="M45" i="12" s="1"/>
  <c r="BG43" i="12"/>
  <c r="BI43" i="12" s="1"/>
  <c r="X43" i="12"/>
  <c r="BN43" i="12"/>
  <c r="AL43" i="12"/>
  <c r="AE43" i="12"/>
  <c r="AS43" i="12"/>
  <c r="AU43" i="12" s="1"/>
  <c r="AZ43" i="12"/>
  <c r="BB43" i="12" s="1"/>
  <c r="BF26" i="12"/>
  <c r="BI26" i="12"/>
  <c r="AK27" i="12"/>
  <c r="AN27" i="12"/>
  <c r="BM28" i="12"/>
  <c r="BP28" i="12"/>
  <c r="BS28" i="12"/>
  <c r="BM42" i="12"/>
  <c r="BP42" i="12"/>
  <c r="BI27" i="12"/>
  <c r="BU27" i="12"/>
  <c r="L51" i="11"/>
  <c r="AK38" i="12"/>
  <c r="AN38" i="12"/>
  <c r="J21" i="12"/>
  <c r="H46" i="26"/>
  <c r="H47" i="26"/>
  <c r="L50" i="26"/>
  <c r="X79" i="10"/>
  <c r="AS79" i="10"/>
  <c r="Q79" i="10"/>
  <c r="BG79" i="10"/>
  <c r="AE79" i="10"/>
  <c r="AZ79" i="10"/>
  <c r="BN79" i="10"/>
  <c r="AL79" i="10"/>
  <c r="H16" i="24"/>
  <c r="BH44" i="25"/>
  <c r="BJ44" i="25" s="1"/>
  <c r="BH43" i="25"/>
  <c r="BJ43" i="25" s="1"/>
  <c r="AM43" i="25"/>
  <c r="AF28" i="25"/>
  <c r="AH28" i="25" s="1"/>
  <c r="Y28" i="25"/>
  <c r="X28" i="25" s="1"/>
  <c r="AM42" i="25"/>
  <c r="AL42" i="25" s="1"/>
  <c r="Y42" i="25"/>
  <c r="X42" i="25" s="1"/>
  <c r="K38" i="25"/>
  <c r="AT38" i="25" s="1"/>
  <c r="AV38" i="25" s="1"/>
  <c r="S43" i="25"/>
  <c r="AF43" i="25"/>
  <c r="R43" i="25"/>
  <c r="Y26" i="25"/>
  <c r="BA26" i="25"/>
  <c r="AF26" i="25"/>
  <c r="BH26" i="25"/>
  <c r="BO26" i="25"/>
  <c r="AM26" i="25"/>
  <c r="AT26" i="25"/>
  <c r="BN44" i="25"/>
  <c r="BQ44" i="25"/>
  <c r="BQ31" i="25"/>
  <c r="BN31" i="25"/>
  <c r="AL28" i="25"/>
  <c r="AO28" i="25"/>
  <c r="AM44" i="25"/>
  <c r="AT42" i="25"/>
  <c r="AV42" i="25" s="1"/>
  <c r="BO39" i="25"/>
  <c r="AT33" i="25"/>
  <c r="AV33" i="25" s="1"/>
  <c r="BH31" i="25"/>
  <c r="AF31" i="25"/>
  <c r="AM33" i="25"/>
  <c r="AF44" i="25"/>
  <c r="AH44" i="25" s="1"/>
  <c r="BH39" i="25"/>
  <c r="BJ39" i="25" s="1"/>
  <c r="BO28" i="25"/>
  <c r="Y44" i="25"/>
  <c r="AF42" i="25"/>
  <c r="BA39" i="25"/>
  <c r="BC39" i="25" s="1"/>
  <c r="AF33" i="25"/>
  <c r="BA31" i="25"/>
  <c r="Y31" i="25"/>
  <c r="Y43" i="25"/>
  <c r="BH28" i="25"/>
  <c r="BJ28" i="25" s="1"/>
  <c r="BO43" i="25"/>
  <c r="AT39" i="25"/>
  <c r="AV39" i="25" s="1"/>
  <c r="BA28" i="25"/>
  <c r="BC28" i="25" s="1"/>
  <c r="BO42" i="25"/>
  <c r="AM39" i="25"/>
  <c r="BO33" i="25"/>
  <c r="Y33" i="25"/>
  <c r="AT31" i="25"/>
  <c r="AT28" i="25"/>
  <c r="AV28" i="25" s="1"/>
  <c r="N44" i="25"/>
  <c r="BA44" i="25"/>
  <c r="BC44" i="25" s="1"/>
  <c r="BA43" i="25"/>
  <c r="BC43" i="25" s="1"/>
  <c r="BH42" i="25"/>
  <c r="AF39" i="25"/>
  <c r="AH39" i="25" s="1"/>
  <c r="BH33" i="25"/>
  <c r="BJ33" i="25" s="1"/>
  <c r="AM31" i="25"/>
  <c r="AT44" i="25"/>
  <c r="AV44" i="25" s="1"/>
  <c r="Y39" i="25"/>
  <c r="R42" i="25"/>
  <c r="S42" i="25"/>
  <c r="R33" i="25"/>
  <c r="S33" i="25"/>
  <c r="R31" i="25"/>
  <c r="N31" i="25"/>
  <c r="R28" i="25"/>
  <c r="S28" i="25"/>
  <c r="R26" i="25"/>
  <c r="N26" i="25"/>
  <c r="I30" i="25"/>
  <c r="L26" i="25"/>
  <c r="J35" i="25"/>
  <c r="K32" i="25"/>
  <c r="J45" i="25"/>
  <c r="K41" i="25"/>
  <c r="L41" i="25" s="1"/>
  <c r="J40" i="25"/>
  <c r="I45" i="25"/>
  <c r="L44" i="25"/>
  <c r="L31" i="25"/>
  <c r="I35" i="25"/>
  <c r="K34" i="25"/>
  <c r="K37" i="25"/>
  <c r="I40" i="25"/>
  <c r="J27" i="25"/>
  <c r="J30" i="25" s="1"/>
  <c r="L39" i="25"/>
  <c r="K36" i="25"/>
  <c r="K29" i="25"/>
  <c r="I77" i="10"/>
  <c r="J79" i="10"/>
  <c r="L79" i="10"/>
  <c r="G80" i="10"/>
  <c r="H76" i="10"/>
  <c r="H78" i="10"/>
  <c r="I78" i="10" s="1"/>
  <c r="H73" i="10"/>
  <c r="I73" i="10" s="1"/>
  <c r="H72" i="10"/>
  <c r="I72" i="10" s="1"/>
  <c r="H71" i="10"/>
  <c r="I47" i="32" l="1"/>
  <c r="AB47" i="32"/>
  <c r="AA47" i="32"/>
  <c r="Y48" i="32"/>
  <c r="I52" i="32"/>
  <c r="AB52" i="32"/>
  <c r="AA52" i="32"/>
  <c r="BH46" i="26"/>
  <c r="Y59" i="32"/>
  <c r="I50" i="32"/>
  <c r="AB50" i="32"/>
  <c r="AA50" i="32"/>
  <c r="I48" i="32"/>
  <c r="AB48" i="32"/>
  <c r="AA48" i="32"/>
  <c r="AA61" i="24"/>
  <c r="AB61" i="24"/>
  <c r="AB60" i="24"/>
  <c r="AD31" i="13"/>
  <c r="BN58" i="12"/>
  <c r="X58" i="12"/>
  <c r="AL58" i="12"/>
  <c r="AE58" i="12"/>
  <c r="AS58" i="12"/>
  <c r="BG58" i="12"/>
  <c r="AE57" i="12"/>
  <c r="AS57" i="12"/>
  <c r="AL57" i="12"/>
  <c r="L16" i="12"/>
  <c r="AZ57" i="12"/>
  <c r="AZ58" i="12"/>
  <c r="AR26" i="12"/>
  <c r="AD26" i="12"/>
  <c r="AN26" i="12"/>
  <c r="BB26" i="12"/>
  <c r="Q16" i="12"/>
  <c r="AD37" i="12"/>
  <c r="W37" i="12"/>
  <c r="W52" i="12"/>
  <c r="AG52" i="12"/>
  <c r="BS31" i="13"/>
  <c r="AN31" i="13"/>
  <c r="AK31" i="13"/>
  <c r="BP31" i="13"/>
  <c r="BM31" i="13"/>
  <c r="M45" i="13"/>
  <c r="BB31" i="13"/>
  <c r="AY31" i="13"/>
  <c r="W31" i="13"/>
  <c r="Z31" i="13"/>
  <c r="BI31" i="13"/>
  <c r="BF31" i="13"/>
  <c r="W52" i="11"/>
  <c r="AR31" i="13"/>
  <c r="AU31" i="13"/>
  <c r="AG31" i="13"/>
  <c r="B46" i="12"/>
  <c r="B51" i="12" s="1"/>
  <c r="AK52" i="12"/>
  <c r="AU26" i="12"/>
  <c r="J17" i="12"/>
  <c r="Q17" i="12"/>
  <c r="J23" i="12"/>
  <c r="Q23" i="12"/>
  <c r="S23" i="12" s="1"/>
  <c r="AN37" i="12"/>
  <c r="J18" i="12"/>
  <c r="Q18" i="12"/>
  <c r="M55" i="12"/>
  <c r="J22" i="12"/>
  <c r="S46" i="24"/>
  <c r="Q22" i="12"/>
  <c r="S22" i="12" s="1"/>
  <c r="P31" i="13"/>
  <c r="S31" i="13"/>
  <c r="BB37" i="13"/>
  <c r="AY37" i="13"/>
  <c r="AN37" i="13"/>
  <c r="AK37" i="13"/>
  <c r="P37" i="13"/>
  <c r="S37" i="13"/>
  <c r="BM37" i="13"/>
  <c r="BP37" i="13"/>
  <c r="Z37" i="13"/>
  <c r="BS37" i="13"/>
  <c r="AR37" i="13"/>
  <c r="AU37" i="13"/>
  <c r="AD37" i="13"/>
  <c r="M40" i="13"/>
  <c r="AG37" i="13"/>
  <c r="BI37" i="13"/>
  <c r="BF37" i="13"/>
  <c r="BU37" i="13"/>
  <c r="AK43" i="13"/>
  <c r="AN43" i="13"/>
  <c r="AR43" i="13"/>
  <c r="AU43" i="13"/>
  <c r="Z43" i="13"/>
  <c r="BU42" i="13"/>
  <c r="AD43" i="13"/>
  <c r="AG43" i="13"/>
  <c r="P43" i="13"/>
  <c r="S43" i="13"/>
  <c r="BF43" i="13"/>
  <c r="BI43" i="13"/>
  <c r="BM43" i="13"/>
  <c r="BP43" i="13"/>
  <c r="BB43" i="13"/>
  <c r="AY43" i="13"/>
  <c r="BS43" i="13"/>
  <c r="AZ47" i="13"/>
  <c r="BN47" i="13"/>
  <c r="AL47" i="13"/>
  <c r="BG47" i="13"/>
  <c r="AS47" i="13"/>
  <c r="BI48" i="13"/>
  <c r="BF48" i="13"/>
  <c r="BB48" i="13"/>
  <c r="AY48" i="13"/>
  <c r="AU48" i="13"/>
  <c r="AR48" i="13"/>
  <c r="AK48" i="13"/>
  <c r="AN48" i="13"/>
  <c r="BM48" i="13"/>
  <c r="BP48" i="13"/>
  <c r="S37" i="12"/>
  <c r="M40" i="12"/>
  <c r="AD52" i="12"/>
  <c r="AG26" i="12"/>
  <c r="AK26" i="12"/>
  <c r="BS48" i="13"/>
  <c r="P48" i="13"/>
  <c r="S48" i="13"/>
  <c r="AT48" i="26"/>
  <c r="BO48" i="26"/>
  <c r="AM48" i="26"/>
  <c r="AD48" i="13"/>
  <c r="AG48" i="13"/>
  <c r="AF48" i="26"/>
  <c r="BA48" i="26"/>
  <c r="W48" i="13"/>
  <c r="Z48" i="13"/>
  <c r="Y48" i="26"/>
  <c r="BH48" i="26"/>
  <c r="X47" i="13"/>
  <c r="AE47" i="13"/>
  <c r="Q47" i="13"/>
  <c r="R47" i="26" s="1"/>
  <c r="J47" i="13"/>
  <c r="L47" i="13"/>
  <c r="BS52" i="12"/>
  <c r="P37" i="12"/>
  <c r="Z52" i="12"/>
  <c r="L17" i="12"/>
  <c r="M28" i="25"/>
  <c r="L28" i="25" s="1"/>
  <c r="BS26" i="12"/>
  <c r="AY26" i="12"/>
  <c r="L22" i="12"/>
  <c r="P52" i="12"/>
  <c r="S52" i="12"/>
  <c r="Z37" i="12"/>
  <c r="L18" i="12"/>
  <c r="BM26" i="12"/>
  <c r="AG37" i="12"/>
  <c r="BS37" i="12"/>
  <c r="AD53" i="12"/>
  <c r="AG53" i="12"/>
  <c r="AN51" i="12"/>
  <c r="AK51" i="12"/>
  <c r="BI47" i="12"/>
  <c r="BU47" i="12"/>
  <c r="BP37" i="12"/>
  <c r="AN53" i="12"/>
  <c r="AK53" i="12"/>
  <c r="BM37" i="12"/>
  <c r="BM51" i="12"/>
  <c r="BP51" i="12"/>
  <c r="S47" i="12"/>
  <c r="P47" i="12"/>
  <c r="BS47" i="12"/>
  <c r="BG46" i="12"/>
  <c r="AE46" i="12"/>
  <c r="AZ46" i="12"/>
  <c r="X46" i="12"/>
  <c r="Q46" i="12"/>
  <c r="L46" i="12"/>
  <c r="AS46" i="12"/>
  <c r="J46" i="12"/>
  <c r="BN46" i="12"/>
  <c r="AL46" i="12"/>
  <c r="BU37" i="12"/>
  <c r="AU51" i="12"/>
  <c r="AR51" i="12"/>
  <c r="BM47" i="12"/>
  <c r="BP47" i="12"/>
  <c r="S51" i="12"/>
  <c r="BS51" i="12"/>
  <c r="Z51" i="12"/>
  <c r="BB51" i="12"/>
  <c r="AY51" i="12"/>
  <c r="BS53" i="12"/>
  <c r="S53" i="12"/>
  <c r="P53" i="12"/>
  <c r="AG51" i="12"/>
  <c r="AD51" i="12"/>
  <c r="Z53" i="12"/>
  <c r="W53" i="12"/>
  <c r="BP26" i="12"/>
  <c r="BI51" i="12"/>
  <c r="BF51" i="12"/>
  <c r="W47" i="12"/>
  <c r="Z47" i="12"/>
  <c r="BP53" i="12"/>
  <c r="BM53" i="12"/>
  <c r="AD47" i="12"/>
  <c r="AG47" i="12"/>
  <c r="BU52" i="12"/>
  <c r="AN47" i="12"/>
  <c r="AK47" i="12"/>
  <c r="AD32" i="12"/>
  <c r="AG32" i="12"/>
  <c r="P43" i="12"/>
  <c r="S43" i="12"/>
  <c r="BS43" i="12"/>
  <c r="Z32" i="12"/>
  <c r="W32" i="12"/>
  <c r="Z31" i="12"/>
  <c r="S30" i="12"/>
  <c r="BM32" i="12"/>
  <c r="BP32" i="12"/>
  <c r="P32" i="12"/>
  <c r="S32" i="12"/>
  <c r="BS32" i="12"/>
  <c r="Z41" i="12"/>
  <c r="BU42" i="12"/>
  <c r="BM43" i="12"/>
  <c r="BP43" i="12"/>
  <c r="Z43" i="12"/>
  <c r="W43" i="12"/>
  <c r="AN32" i="12"/>
  <c r="AK32" i="12"/>
  <c r="AK31" i="12"/>
  <c r="AN31" i="12"/>
  <c r="BI32" i="12"/>
  <c r="BU32" i="12"/>
  <c r="AR41" i="12"/>
  <c r="AU41" i="12"/>
  <c r="BM31" i="12"/>
  <c r="BP31" i="12"/>
  <c r="AY41" i="12"/>
  <c r="BB41" i="12"/>
  <c r="AY31" i="12"/>
  <c r="BB31" i="12"/>
  <c r="BF31" i="12"/>
  <c r="BI31" i="12"/>
  <c r="AK41" i="12"/>
  <c r="AN41" i="12"/>
  <c r="Z51" i="11"/>
  <c r="AD31" i="12"/>
  <c r="AG31" i="12"/>
  <c r="BP41" i="12"/>
  <c r="BM41" i="12"/>
  <c r="L36" i="12"/>
  <c r="Q36" i="12"/>
  <c r="X36" i="12"/>
  <c r="X56" i="12" s="1"/>
  <c r="AZ36" i="12"/>
  <c r="AZ56" i="12" s="1"/>
  <c r="AE36" i="12"/>
  <c r="AE56" i="12" s="1"/>
  <c r="BG36" i="12"/>
  <c r="AL36" i="12"/>
  <c r="AL56" i="12" s="1"/>
  <c r="AS36" i="12"/>
  <c r="AS56" i="12" s="1"/>
  <c r="BN36" i="12"/>
  <c r="BN56" i="12" s="1"/>
  <c r="J36" i="12"/>
  <c r="BF41" i="12"/>
  <c r="BI41" i="12"/>
  <c r="BS52" i="11"/>
  <c r="S52" i="11"/>
  <c r="P52" i="11"/>
  <c r="AD41" i="12"/>
  <c r="AG41" i="12"/>
  <c r="BU52" i="11"/>
  <c r="AD43" i="12"/>
  <c r="AG43" i="12"/>
  <c r="AU31" i="12"/>
  <c r="AR31" i="12"/>
  <c r="Z30" i="12"/>
  <c r="S51" i="11"/>
  <c r="BS51" i="11"/>
  <c r="S31" i="12"/>
  <c r="BS31" i="12"/>
  <c r="S41" i="12"/>
  <c r="BS41" i="12"/>
  <c r="AK43" i="12"/>
  <c r="AN43" i="12"/>
  <c r="Z52" i="11"/>
  <c r="S21" i="12"/>
  <c r="BS21" i="12"/>
  <c r="BR16" i="26"/>
  <c r="R48" i="26"/>
  <c r="I47" i="26"/>
  <c r="J47" i="26" s="1"/>
  <c r="K47" i="26" s="1"/>
  <c r="I46" i="26"/>
  <c r="J46" i="26" s="1"/>
  <c r="BG77" i="10"/>
  <c r="BI77" i="10" s="1"/>
  <c r="AE77" i="10"/>
  <c r="S17" i="24" s="1"/>
  <c r="AZ77" i="10"/>
  <c r="BB77" i="10" s="1"/>
  <c r="X77" i="10"/>
  <c r="Q77" i="10"/>
  <c r="AS77" i="10"/>
  <c r="AU77" i="10" s="1"/>
  <c r="BN77" i="10"/>
  <c r="BP77" i="10" s="1"/>
  <c r="AL77" i="10"/>
  <c r="AK77" i="10" s="1"/>
  <c r="BG73" i="10"/>
  <c r="BI73" i="10" s="1"/>
  <c r="AE73" i="10"/>
  <c r="AZ73" i="10"/>
  <c r="BB73" i="10" s="1"/>
  <c r="X73" i="10"/>
  <c r="AS73" i="10"/>
  <c r="AU73" i="10" s="1"/>
  <c r="Q73" i="10"/>
  <c r="R73" i="10" s="1"/>
  <c r="K73" i="10" s="1"/>
  <c r="BT73" i="10" s="1"/>
  <c r="BN73" i="10"/>
  <c r="AL73" i="10"/>
  <c r="BG78" i="10"/>
  <c r="BI78" i="10" s="1"/>
  <c r="AE78" i="10"/>
  <c r="AZ78" i="10"/>
  <c r="BB78" i="10" s="1"/>
  <c r="X78" i="10"/>
  <c r="Q78" i="10"/>
  <c r="AS78" i="10"/>
  <c r="AU78" i="10" s="1"/>
  <c r="AL78" i="10"/>
  <c r="BN78" i="10"/>
  <c r="BG72" i="10"/>
  <c r="AE72" i="10"/>
  <c r="S16" i="24" s="1"/>
  <c r="AZ72" i="10"/>
  <c r="BB72" i="10" s="1"/>
  <c r="X72" i="10"/>
  <c r="O16" i="24" s="1"/>
  <c r="AS72" i="10"/>
  <c r="AU72" i="10" s="1"/>
  <c r="Q72" i="10"/>
  <c r="BN72" i="10"/>
  <c r="AL72" i="10"/>
  <c r="AM38" i="25"/>
  <c r="AL38" i="25" s="1"/>
  <c r="AO42" i="25"/>
  <c r="R38" i="25"/>
  <c r="Q38" i="25" s="1"/>
  <c r="AE28" i="25"/>
  <c r="BH38" i="25"/>
  <c r="BJ38" i="25" s="1"/>
  <c r="S38" i="25"/>
  <c r="BT28" i="25"/>
  <c r="BO38" i="25"/>
  <c r="BQ38" i="25" s="1"/>
  <c r="BA38" i="25"/>
  <c r="BC38" i="25" s="1"/>
  <c r="BT43" i="25"/>
  <c r="AA42" i="25"/>
  <c r="AA28" i="25"/>
  <c r="BT31" i="25"/>
  <c r="BT42" i="25"/>
  <c r="AE43" i="25"/>
  <c r="AH43" i="25"/>
  <c r="AA44" i="25"/>
  <c r="BT44" i="25"/>
  <c r="AA39" i="25"/>
  <c r="BT39" i="25"/>
  <c r="BT33" i="25"/>
  <c r="AF38" i="25"/>
  <c r="Y38" i="25"/>
  <c r="S45" i="25"/>
  <c r="Q43" i="25"/>
  <c r="T43" i="25"/>
  <c r="BT26" i="25"/>
  <c r="BJ42" i="25"/>
  <c r="AL43" i="25"/>
  <c r="AO43" i="25"/>
  <c r="M33" i="25"/>
  <c r="L33" i="25" s="1"/>
  <c r="S30" i="25"/>
  <c r="N36" i="25"/>
  <c r="Y36" i="25"/>
  <c r="BA36" i="25"/>
  <c r="AF36" i="25"/>
  <c r="BH36" i="25"/>
  <c r="BO36" i="25"/>
  <c r="AM36" i="25"/>
  <c r="AT36" i="25"/>
  <c r="AL31" i="25"/>
  <c r="AO31" i="25"/>
  <c r="BN43" i="25"/>
  <c r="BQ43" i="25"/>
  <c r="AE31" i="25"/>
  <c r="AH31" i="25"/>
  <c r="AL33" i="25"/>
  <c r="AO33" i="25"/>
  <c r="BG31" i="25"/>
  <c r="BJ31" i="25"/>
  <c r="Y32" i="25"/>
  <c r="BO32" i="25"/>
  <c r="AF32" i="25"/>
  <c r="AM32" i="25"/>
  <c r="AT32" i="25"/>
  <c r="AV32" i="25" s="1"/>
  <c r="BA32" i="25"/>
  <c r="BC32" i="25" s="1"/>
  <c r="BH32" i="25"/>
  <c r="BN42" i="25"/>
  <c r="BQ42" i="25"/>
  <c r="AF37" i="25"/>
  <c r="AM37" i="25"/>
  <c r="AT37" i="25"/>
  <c r="AV37" i="25" s="1"/>
  <c r="BA37" i="25"/>
  <c r="BC37" i="25" s="1"/>
  <c r="BH37" i="25"/>
  <c r="BO37" i="25"/>
  <c r="Y37" i="25"/>
  <c r="BA34" i="25"/>
  <c r="BC34" i="25" s="1"/>
  <c r="BH34" i="25"/>
  <c r="BJ34" i="25" s="1"/>
  <c r="BO34" i="25"/>
  <c r="Y34" i="25"/>
  <c r="AA34" i="25" s="1"/>
  <c r="AM34" i="25"/>
  <c r="AF34" i="25"/>
  <c r="AH34" i="25" s="1"/>
  <c r="AT34" i="25"/>
  <c r="AV34" i="25" s="1"/>
  <c r="X43" i="25"/>
  <c r="AA43" i="25"/>
  <c r="AM29" i="25"/>
  <c r="AT29" i="25"/>
  <c r="AV29" i="25" s="1"/>
  <c r="BA29" i="25"/>
  <c r="BC29" i="25" s="1"/>
  <c r="BH29" i="25"/>
  <c r="BJ29" i="25" s="1"/>
  <c r="BO29" i="25"/>
  <c r="Y29" i="25"/>
  <c r="AA29" i="25" s="1"/>
  <c r="AF29" i="25"/>
  <c r="AH29" i="25" s="1"/>
  <c r="AS26" i="25"/>
  <c r="AV26" i="25"/>
  <c r="AL26" i="25"/>
  <c r="AO26" i="25"/>
  <c r="AL39" i="25"/>
  <c r="AO39" i="25"/>
  <c r="BN28" i="25"/>
  <c r="BQ28" i="25"/>
  <c r="AZ31" i="25"/>
  <c r="BC31" i="25"/>
  <c r="AE33" i="25"/>
  <c r="AH33" i="25"/>
  <c r="AS31" i="25"/>
  <c r="AV31" i="25"/>
  <c r="BG26" i="25"/>
  <c r="BJ26" i="25"/>
  <c r="AF41" i="25"/>
  <c r="BH41" i="25"/>
  <c r="BO41" i="25"/>
  <c r="AM41" i="25"/>
  <c r="AT41" i="25"/>
  <c r="Y41" i="25"/>
  <c r="BA41" i="25"/>
  <c r="BN33" i="25"/>
  <c r="BQ33" i="25"/>
  <c r="AE42" i="25"/>
  <c r="AH42" i="25"/>
  <c r="BC26" i="25"/>
  <c r="AZ26" i="25"/>
  <c r="AA31" i="25"/>
  <c r="BN26" i="25"/>
  <c r="BQ26" i="25"/>
  <c r="X33" i="25"/>
  <c r="AA33" i="25"/>
  <c r="BN39" i="25"/>
  <c r="BQ39" i="25"/>
  <c r="AE26" i="25"/>
  <c r="AH26" i="25"/>
  <c r="AL44" i="25"/>
  <c r="AO44" i="25"/>
  <c r="AA26" i="25"/>
  <c r="L29" i="25"/>
  <c r="N29" i="25"/>
  <c r="R29" i="25"/>
  <c r="Q28" i="25"/>
  <c r="T28" i="25"/>
  <c r="K45" i="25"/>
  <c r="N41" i="25"/>
  <c r="R32" i="25"/>
  <c r="S32" i="25"/>
  <c r="T31" i="25"/>
  <c r="Q33" i="25"/>
  <c r="T33" i="25"/>
  <c r="R37" i="25"/>
  <c r="S37" i="25"/>
  <c r="L34" i="25"/>
  <c r="R34" i="25"/>
  <c r="N34" i="25"/>
  <c r="T26" i="25"/>
  <c r="R45" i="25"/>
  <c r="Q42" i="25"/>
  <c r="T42" i="25"/>
  <c r="K40" i="25"/>
  <c r="L36" i="25"/>
  <c r="K27" i="25"/>
  <c r="K35" i="25"/>
  <c r="L77" i="10"/>
  <c r="J77" i="10"/>
  <c r="H80" i="10"/>
  <c r="J78" i="10"/>
  <c r="L78" i="10"/>
  <c r="BS79" i="10"/>
  <c r="I76" i="10"/>
  <c r="BM79" i="10"/>
  <c r="BP79" i="10"/>
  <c r="I71" i="10"/>
  <c r="Y51" i="32" l="1"/>
  <c r="I51" i="32"/>
  <c r="AB51" i="32"/>
  <c r="AA51" i="32"/>
  <c r="AB59" i="32"/>
  <c r="AA59" i="32"/>
  <c r="BG56" i="12"/>
  <c r="Y49" i="32"/>
  <c r="BU28" i="25"/>
  <c r="O17" i="24"/>
  <c r="L73" i="10"/>
  <c r="R72" i="10"/>
  <c r="T24" i="31" s="1"/>
  <c r="K24" i="31" s="1"/>
  <c r="I24" i="31" s="1"/>
  <c r="H24" i="31" s="1"/>
  <c r="J73" i="10"/>
  <c r="M50" i="13"/>
  <c r="M30" i="25"/>
  <c r="Q57" i="12"/>
  <c r="N28" i="25"/>
  <c r="Q58" i="12"/>
  <c r="S47" i="25"/>
  <c r="S16" i="12"/>
  <c r="Q56" i="12"/>
  <c r="BS16" i="12"/>
  <c r="W42" i="24"/>
  <c r="AG58" i="12"/>
  <c r="AU58" i="12"/>
  <c r="BI58" i="12"/>
  <c r="S45" i="24"/>
  <c r="Z57" i="12"/>
  <c r="AN58" i="12"/>
  <c r="AG57" i="12"/>
  <c r="BB58" i="12"/>
  <c r="AU57" i="12"/>
  <c r="BP58" i="12"/>
  <c r="BI57" i="12"/>
  <c r="Z58" i="12"/>
  <c r="P17" i="12"/>
  <c r="BB57" i="12"/>
  <c r="BP57" i="12"/>
  <c r="AF35" i="25"/>
  <c r="AH35" i="25" s="1"/>
  <c r="P23" i="12"/>
  <c r="R35" i="25"/>
  <c r="Q35" i="25" s="1"/>
  <c r="P22" i="12"/>
  <c r="S17" i="12"/>
  <c r="M80" i="10"/>
  <c r="M75" i="10"/>
  <c r="AS48" i="26"/>
  <c r="AR48" i="26" s="1"/>
  <c r="BR18" i="26"/>
  <c r="BS23" i="12"/>
  <c r="P18" i="12"/>
  <c r="G17" i="24"/>
  <c r="AN77" i="10"/>
  <c r="BS17" i="12"/>
  <c r="AU47" i="13"/>
  <c r="AR47" i="13"/>
  <c r="AS47" i="26" s="1"/>
  <c r="AR47" i="26" s="1"/>
  <c r="BF47" i="13"/>
  <c r="BG47" i="26" s="1"/>
  <c r="BI47" i="13"/>
  <c r="AN47" i="13"/>
  <c r="AK47" i="13"/>
  <c r="AL47" i="26" s="1"/>
  <c r="BM47" i="13"/>
  <c r="BN47" i="26" s="1"/>
  <c r="BP47" i="13"/>
  <c r="BB47" i="13"/>
  <c r="AY47" i="13"/>
  <c r="AZ47" i="26" s="1"/>
  <c r="AL48" i="26"/>
  <c r="AK48" i="26" s="1"/>
  <c r="BN48" i="26"/>
  <c r="BP48" i="26" s="1"/>
  <c r="P47" i="13"/>
  <c r="Q47" i="26" s="1"/>
  <c r="BS47" i="13"/>
  <c r="S47" i="13"/>
  <c r="S50" i="13" s="1"/>
  <c r="Q50" i="13"/>
  <c r="AM47" i="26"/>
  <c r="BO47" i="26"/>
  <c r="AT47" i="26"/>
  <c r="AD47" i="13"/>
  <c r="AE47" i="26" s="1"/>
  <c r="AG47" i="13"/>
  <c r="AF47" i="26"/>
  <c r="BA47" i="26"/>
  <c r="W47" i="13"/>
  <c r="X47" i="26" s="1"/>
  <c r="Z47" i="13"/>
  <c r="Y47" i="26"/>
  <c r="BU47" i="13"/>
  <c r="BH47" i="26"/>
  <c r="T38" i="25"/>
  <c r="AE48" i="26"/>
  <c r="AG48" i="26" s="1"/>
  <c r="X48" i="26"/>
  <c r="Z48" i="26" s="1"/>
  <c r="AZ48" i="26"/>
  <c r="BB48" i="26" s="1"/>
  <c r="BG48" i="26"/>
  <c r="BI48" i="26" s="1"/>
  <c r="BU17" i="12"/>
  <c r="Q48" i="26"/>
  <c r="S48" i="26" s="1"/>
  <c r="S18" i="12"/>
  <c r="S48" i="25"/>
  <c r="AO38" i="25"/>
  <c r="BM77" i="10"/>
  <c r="Z77" i="10"/>
  <c r="W77" i="10"/>
  <c r="BT17" i="26"/>
  <c r="BU22" i="12"/>
  <c r="BR17" i="26"/>
  <c r="BS18" i="12"/>
  <c r="BR13" i="26"/>
  <c r="AK46" i="12"/>
  <c r="AN46" i="12"/>
  <c r="BP46" i="12"/>
  <c r="BM46" i="12"/>
  <c r="AU46" i="12"/>
  <c r="AR46" i="12"/>
  <c r="S46" i="12"/>
  <c r="BS46" i="12"/>
  <c r="AD46" i="12"/>
  <c r="AG46" i="12"/>
  <c r="BF46" i="12"/>
  <c r="BI46" i="12"/>
  <c r="Z46" i="12"/>
  <c r="BB46" i="12"/>
  <c r="AY46" i="12"/>
  <c r="AY36" i="12"/>
  <c r="BB36" i="12"/>
  <c r="Z36" i="12"/>
  <c r="S36" i="12"/>
  <c r="BS36" i="12"/>
  <c r="BS22" i="12"/>
  <c r="BM36" i="12"/>
  <c r="BP36" i="12"/>
  <c r="AU36" i="12"/>
  <c r="AR36" i="12"/>
  <c r="BF36" i="12"/>
  <c r="BI36" i="12"/>
  <c r="AK36" i="12"/>
  <c r="AN36" i="12"/>
  <c r="AD36" i="12"/>
  <c r="AG36" i="12"/>
  <c r="G16" i="24"/>
  <c r="P77" i="10"/>
  <c r="S77" i="10"/>
  <c r="AN56" i="12"/>
  <c r="BS77" i="10"/>
  <c r="K46" i="26"/>
  <c r="X46" i="26"/>
  <c r="AL46" i="26"/>
  <c r="M46" i="26"/>
  <c r="Q46" i="26"/>
  <c r="BR11" i="26"/>
  <c r="AE46" i="26"/>
  <c r="BR12" i="26"/>
  <c r="BG46" i="26"/>
  <c r="BT12" i="26"/>
  <c r="AZ46" i="26"/>
  <c r="BN46" i="26"/>
  <c r="AS46" i="26"/>
  <c r="BG76" i="10"/>
  <c r="AE76" i="10"/>
  <c r="U17" i="32" s="1"/>
  <c r="AZ76" i="10"/>
  <c r="X76" i="10"/>
  <c r="AS76" i="10"/>
  <c r="Q76" i="10"/>
  <c r="BN76" i="10"/>
  <c r="AL76" i="10"/>
  <c r="Y35" i="25"/>
  <c r="X35" i="25" s="1"/>
  <c r="AA17" i="24"/>
  <c r="BG71" i="10"/>
  <c r="AE71" i="10"/>
  <c r="U16" i="32" s="1"/>
  <c r="AZ71" i="10"/>
  <c r="X71" i="10"/>
  <c r="AL71" i="10"/>
  <c r="AS71" i="10"/>
  <c r="Q71" i="10"/>
  <c r="BN71" i="10"/>
  <c r="BN38" i="25"/>
  <c r="BT37" i="25"/>
  <c r="N33" i="25"/>
  <c r="BT36" i="25"/>
  <c r="AA38" i="25"/>
  <c r="X38" i="25"/>
  <c r="AE38" i="25"/>
  <c r="AH38" i="25"/>
  <c r="BT32" i="25"/>
  <c r="BT38" i="25"/>
  <c r="BT41" i="25"/>
  <c r="BJ32" i="25"/>
  <c r="BJ37" i="25"/>
  <c r="S40" i="25"/>
  <c r="T34" i="25"/>
  <c r="BT34" i="25"/>
  <c r="T29" i="25"/>
  <c r="BT29" i="25"/>
  <c r="AM35" i="25"/>
  <c r="AL35" i="25" s="1"/>
  <c r="BU33" i="25"/>
  <c r="AH37" i="25"/>
  <c r="AE37" i="25"/>
  <c r="BN41" i="25"/>
  <c r="BO45" i="25"/>
  <c r="BQ41" i="25"/>
  <c r="AL29" i="25"/>
  <c r="AO29" i="25"/>
  <c r="AL34" i="25"/>
  <c r="AO34" i="25"/>
  <c r="AL32" i="25"/>
  <c r="AO32" i="25"/>
  <c r="BJ41" i="25"/>
  <c r="BG41" i="25"/>
  <c r="BH45" i="25"/>
  <c r="AH41" i="25"/>
  <c r="AE41" i="25"/>
  <c r="AF45" i="25"/>
  <c r="AM27" i="25"/>
  <c r="AT27" i="25"/>
  <c r="BA27" i="25"/>
  <c r="BH27" i="25"/>
  <c r="BO27" i="25"/>
  <c r="Y27" i="25"/>
  <c r="AF27" i="25"/>
  <c r="BN34" i="25"/>
  <c r="BQ34" i="25"/>
  <c r="AE32" i="25"/>
  <c r="AH32" i="25"/>
  <c r="AV36" i="25"/>
  <c r="AT40" i="25"/>
  <c r="AS36" i="25"/>
  <c r="AO36" i="25"/>
  <c r="AM40" i="25"/>
  <c r="AL36" i="25"/>
  <c r="AT35" i="25"/>
  <c r="X32" i="25"/>
  <c r="AA32" i="25"/>
  <c r="BN36" i="25"/>
  <c r="BO40" i="25"/>
  <c r="BQ36" i="25"/>
  <c r="X37" i="25"/>
  <c r="AA37" i="25"/>
  <c r="BH40" i="25"/>
  <c r="BG36" i="25"/>
  <c r="BJ36" i="25"/>
  <c r="AF40" i="25"/>
  <c r="AE36" i="25"/>
  <c r="AH36" i="25"/>
  <c r="AL37" i="25"/>
  <c r="AO37" i="25"/>
  <c r="BN32" i="25"/>
  <c r="BQ32" i="25"/>
  <c r="BO35" i="25"/>
  <c r="BA45" i="25"/>
  <c r="AZ41" i="25"/>
  <c r="BC41" i="25"/>
  <c r="BN37" i="25"/>
  <c r="BQ37" i="25"/>
  <c r="Y45" i="25"/>
  <c r="AA41" i="25"/>
  <c r="BQ29" i="25"/>
  <c r="BN29" i="25"/>
  <c r="BH35" i="25"/>
  <c r="BA40" i="25"/>
  <c r="AZ36" i="25"/>
  <c r="BC36" i="25"/>
  <c r="AT45" i="25"/>
  <c r="AS41" i="25"/>
  <c r="AV41" i="25"/>
  <c r="Y40" i="25"/>
  <c r="AA36" i="25"/>
  <c r="AM45" i="25"/>
  <c r="AL41" i="25"/>
  <c r="AO41" i="25"/>
  <c r="BA35" i="25"/>
  <c r="S35" i="25"/>
  <c r="M32" i="25"/>
  <c r="BU32" i="25" s="1"/>
  <c r="Q32" i="25"/>
  <c r="T32" i="25"/>
  <c r="Q45" i="25"/>
  <c r="T45" i="25"/>
  <c r="R27" i="25"/>
  <c r="N27" i="25"/>
  <c r="N30" i="25" s="1"/>
  <c r="R40" i="25"/>
  <c r="Q37" i="25"/>
  <c r="T37" i="25"/>
  <c r="L27" i="25"/>
  <c r="K30" i="25"/>
  <c r="M43" i="25"/>
  <c r="BU43" i="25" s="1"/>
  <c r="M38" i="25"/>
  <c r="BU38" i="25" s="1"/>
  <c r="M37" i="25"/>
  <c r="N37" i="25" s="1"/>
  <c r="M42" i="25"/>
  <c r="AG77" i="10"/>
  <c r="AD77" i="10"/>
  <c r="Z78" i="10"/>
  <c r="W78" i="10"/>
  <c r="L76" i="10"/>
  <c r="L80" i="10" s="1"/>
  <c r="I80" i="10"/>
  <c r="J80" i="10" s="1"/>
  <c r="J76" i="10"/>
  <c r="BS78" i="10"/>
  <c r="S78" i="10"/>
  <c r="P78" i="10"/>
  <c r="BP78" i="10"/>
  <c r="BM78" i="10"/>
  <c r="AG78" i="10"/>
  <c r="AD78" i="10"/>
  <c r="AN78" i="10"/>
  <c r="AK78" i="10"/>
  <c r="AD73" i="10"/>
  <c r="AG73" i="10"/>
  <c r="W72" i="10"/>
  <c r="Z72" i="10"/>
  <c r="L71" i="10"/>
  <c r="J71" i="10"/>
  <c r="BS73" i="10"/>
  <c r="S73" i="10"/>
  <c r="P73" i="10"/>
  <c r="BP73" i="10"/>
  <c r="BM73" i="10"/>
  <c r="AD72" i="10"/>
  <c r="AG72" i="10"/>
  <c r="BI72" i="10"/>
  <c r="BU72" i="10"/>
  <c r="BS72" i="10"/>
  <c r="P72" i="10"/>
  <c r="BM72" i="10"/>
  <c r="BP72" i="10"/>
  <c r="AN73" i="10"/>
  <c r="AK73" i="10"/>
  <c r="Z73" i="10"/>
  <c r="W73" i="10"/>
  <c r="AK72" i="10"/>
  <c r="AN72" i="10"/>
  <c r="L30" i="25" l="1"/>
  <c r="Y17" i="32"/>
  <c r="I49" i="32"/>
  <c r="AB49" i="32"/>
  <c r="AA49" i="32"/>
  <c r="Y54" i="32"/>
  <c r="Y53" i="32" s="1"/>
  <c r="S17" i="32"/>
  <c r="AA17" i="32" s="1"/>
  <c r="I17" i="32"/>
  <c r="AB17" i="32"/>
  <c r="S16" i="32"/>
  <c r="Y16" i="32"/>
  <c r="AB16" i="32" s="1"/>
  <c r="S72" i="10"/>
  <c r="R75" i="10"/>
  <c r="K72" i="10"/>
  <c r="M16" i="24" s="1"/>
  <c r="AA16" i="24" s="1"/>
  <c r="T35" i="25"/>
  <c r="AA62" i="24"/>
  <c r="AB62" i="24"/>
  <c r="AE35" i="25"/>
  <c r="I45" i="24"/>
  <c r="AN57" i="12"/>
  <c r="BB56" i="12"/>
  <c r="BP56" i="12"/>
  <c r="Z56" i="12"/>
  <c r="AU56" i="12"/>
  <c r="AG56" i="12"/>
  <c r="BI56" i="12"/>
  <c r="I46" i="24"/>
  <c r="AU48" i="26"/>
  <c r="BM48" i="26"/>
  <c r="AN48" i="26"/>
  <c r="BI47" i="26"/>
  <c r="P50" i="13"/>
  <c r="AU47" i="26"/>
  <c r="W48" i="26"/>
  <c r="AY48" i="26"/>
  <c r="AD48" i="26"/>
  <c r="AA35" i="25"/>
  <c r="AO35" i="25"/>
  <c r="P48" i="26"/>
  <c r="D57" i="25"/>
  <c r="M47" i="26"/>
  <c r="AB17" i="24"/>
  <c r="I16" i="24"/>
  <c r="I17" i="24"/>
  <c r="BP47" i="26"/>
  <c r="BM47" i="26"/>
  <c r="Z46" i="26"/>
  <c r="W46" i="26"/>
  <c r="M48" i="26"/>
  <c r="S46" i="26"/>
  <c r="P46" i="26"/>
  <c r="AN46" i="26"/>
  <c r="AK46" i="26"/>
  <c r="AN47" i="26"/>
  <c r="AK47" i="26"/>
  <c r="S47" i="26"/>
  <c r="P47" i="26"/>
  <c r="Z47" i="26"/>
  <c r="W47" i="26"/>
  <c r="AG46" i="26"/>
  <c r="AD46" i="26"/>
  <c r="BB46" i="26"/>
  <c r="AY46" i="26"/>
  <c r="AG47" i="26"/>
  <c r="AD47" i="26"/>
  <c r="AU46" i="26"/>
  <c r="AR46" i="26"/>
  <c r="BP46" i="26"/>
  <c r="BM46" i="26"/>
  <c r="BI46" i="26"/>
  <c r="BB47" i="26"/>
  <c r="AY47" i="26"/>
  <c r="BU37" i="25"/>
  <c r="N42" i="25"/>
  <c r="BU42" i="25"/>
  <c r="BT27" i="25"/>
  <c r="AZ45" i="25"/>
  <c r="BC45" i="25"/>
  <c r="AS45" i="25"/>
  <c r="AV45" i="25"/>
  <c r="AS35" i="25"/>
  <c r="AV35" i="25"/>
  <c r="AE27" i="25"/>
  <c r="AH27" i="25"/>
  <c r="AF30" i="25"/>
  <c r="X27" i="25"/>
  <c r="AA27" i="25"/>
  <c r="Y30" i="25"/>
  <c r="BN27" i="25"/>
  <c r="BQ27" i="25"/>
  <c r="BO30" i="25"/>
  <c r="AZ40" i="25"/>
  <c r="BC40" i="25"/>
  <c r="AL40" i="25"/>
  <c r="AO40" i="25"/>
  <c r="BJ27" i="25"/>
  <c r="BH30" i="25"/>
  <c r="BC27" i="25"/>
  <c r="BA30" i="25"/>
  <c r="AO27" i="25"/>
  <c r="AL27" i="25"/>
  <c r="AM30" i="25"/>
  <c r="BN45" i="25"/>
  <c r="BQ45" i="25"/>
  <c r="AH45" i="25"/>
  <c r="AE45" i="25"/>
  <c r="BG35" i="25"/>
  <c r="BJ35" i="25"/>
  <c r="AE40" i="25"/>
  <c r="AH40" i="25"/>
  <c r="BG40" i="25"/>
  <c r="BJ40" i="25"/>
  <c r="BN40" i="25"/>
  <c r="BQ40" i="25"/>
  <c r="X40" i="25"/>
  <c r="AA40" i="25"/>
  <c r="BQ35" i="25"/>
  <c r="BN35" i="25"/>
  <c r="AV27" i="25"/>
  <c r="AT30" i="25"/>
  <c r="AZ35" i="25"/>
  <c r="BC35" i="25"/>
  <c r="AA45" i="25"/>
  <c r="X45" i="25"/>
  <c r="AV40" i="25"/>
  <c r="AS40" i="25"/>
  <c r="BJ45" i="25"/>
  <c r="BG45" i="25"/>
  <c r="AL45" i="25"/>
  <c r="AO45" i="25"/>
  <c r="Q40" i="25"/>
  <c r="T40" i="25"/>
  <c r="L38" i="25"/>
  <c r="N38" i="25"/>
  <c r="N40" i="25" s="1"/>
  <c r="Q27" i="25"/>
  <c r="T27" i="25"/>
  <c r="R30" i="25"/>
  <c r="L43" i="25"/>
  <c r="N43" i="25"/>
  <c r="L32" i="25"/>
  <c r="M35" i="25"/>
  <c r="L35" i="25" s="1"/>
  <c r="N32" i="25"/>
  <c r="N35" i="25" s="1"/>
  <c r="L42" i="25"/>
  <c r="M45" i="25"/>
  <c r="L45" i="25" s="1"/>
  <c r="L37" i="25"/>
  <c r="M40" i="25"/>
  <c r="L40" i="25" s="1"/>
  <c r="AE80" i="10"/>
  <c r="AD76" i="10"/>
  <c r="AG76" i="10"/>
  <c r="BI76" i="10"/>
  <c r="BG80" i="10"/>
  <c r="BF76" i="10"/>
  <c r="AL80" i="10"/>
  <c r="AK76" i="10"/>
  <c r="AN76" i="10"/>
  <c r="BS76" i="10"/>
  <c r="Q80" i="10"/>
  <c r="S76" i="10"/>
  <c r="X80" i="10"/>
  <c r="Z76" i="10"/>
  <c r="BN80" i="10"/>
  <c r="BM76" i="10"/>
  <c r="BP76" i="10"/>
  <c r="AZ80" i="10"/>
  <c r="BB76" i="10"/>
  <c r="AY76" i="10"/>
  <c r="AU76" i="10"/>
  <c r="AR76" i="10"/>
  <c r="AS80" i="10"/>
  <c r="BM71" i="10"/>
  <c r="BP71" i="10"/>
  <c r="Z71" i="10"/>
  <c r="BB71" i="10"/>
  <c r="AY71" i="10"/>
  <c r="S71" i="10"/>
  <c r="BS71" i="10"/>
  <c r="AD71" i="10"/>
  <c r="AG71" i="10"/>
  <c r="AN71" i="10"/>
  <c r="AK71" i="10"/>
  <c r="AU71" i="10"/>
  <c r="AR71" i="10"/>
  <c r="BF71" i="10"/>
  <c r="BI71" i="10"/>
  <c r="I16" i="32" l="1"/>
  <c r="AA16" i="32"/>
  <c r="AB16" i="24"/>
  <c r="N45" i="25"/>
  <c r="BT72" i="10"/>
  <c r="K75" i="10"/>
  <c r="J72" i="10"/>
  <c r="L72" i="10"/>
  <c r="M50" i="26"/>
  <c r="BN30" i="25"/>
  <c r="BQ30" i="25"/>
  <c r="AS30" i="25"/>
  <c r="AV30" i="25"/>
  <c r="AA30" i="25"/>
  <c r="X30" i="25"/>
  <c r="AL30" i="25"/>
  <c r="AO30" i="25"/>
  <c r="AE30" i="25"/>
  <c r="AH30" i="25"/>
  <c r="BC30" i="25"/>
  <c r="AZ30" i="25"/>
  <c r="BG30" i="25"/>
  <c r="BJ30" i="25"/>
  <c r="T30" i="25"/>
  <c r="Q30" i="25"/>
  <c r="BP80" i="10"/>
  <c r="BM80" i="10"/>
  <c r="S80" i="10"/>
  <c r="P80" i="10"/>
  <c r="AU80" i="10"/>
  <c r="AR80" i="10"/>
  <c r="BI80" i="10"/>
  <c r="BF80" i="10"/>
  <c r="Z80" i="10"/>
  <c r="W80" i="10"/>
  <c r="AN80" i="10"/>
  <c r="AK80" i="10"/>
  <c r="BB80" i="10"/>
  <c r="AY80" i="10"/>
  <c r="AG80" i="10"/>
  <c r="AD80" i="10"/>
  <c r="G68" i="10" l="1"/>
  <c r="G67" i="10"/>
  <c r="G58" i="10" l="1"/>
  <c r="G57" i="10"/>
  <c r="G53" i="10"/>
  <c r="G52" i="10"/>
  <c r="G48" i="10"/>
  <c r="G47" i="10"/>
  <c r="G43" i="10"/>
  <c r="G42" i="10"/>
  <c r="G23" i="10" l="1"/>
  <c r="G22" i="10"/>
  <c r="E15" i="24"/>
  <c r="F15" i="24" s="1"/>
  <c r="C15" i="24"/>
  <c r="H15" i="24" l="1"/>
  <c r="BO70" i="10"/>
  <c r="BH70" i="10"/>
  <c r="BA70" i="10"/>
  <c r="AT70" i="10"/>
  <c r="AM70" i="10"/>
  <c r="AF70" i="10"/>
  <c r="Y70" i="10"/>
  <c r="R70" i="10"/>
  <c r="K69" i="10"/>
  <c r="BT69" i="10" s="1"/>
  <c r="K68" i="10"/>
  <c r="K67" i="10"/>
  <c r="H67" i="10"/>
  <c r="I67" i="10" s="1"/>
  <c r="BD66" i="10"/>
  <c r="K66" i="10"/>
  <c r="BP25" i="25"/>
  <c r="BI25" i="25"/>
  <c r="BB25" i="25"/>
  <c r="AU25" i="25"/>
  <c r="AN25" i="25"/>
  <c r="AG25" i="25"/>
  <c r="Z25" i="25"/>
  <c r="S25" i="25"/>
  <c r="D55" i="25" s="1"/>
  <c r="M24" i="25"/>
  <c r="BU24" i="25" s="1"/>
  <c r="I24" i="25"/>
  <c r="M23" i="25"/>
  <c r="BU23" i="25" s="1"/>
  <c r="I23" i="25"/>
  <c r="J23" i="25" s="1"/>
  <c r="M22" i="25"/>
  <c r="BU22" i="25" s="1"/>
  <c r="I22" i="25"/>
  <c r="BE21" i="25"/>
  <c r="AX21" i="25" s="1"/>
  <c r="AQ21" i="25" s="1"/>
  <c r="AJ21" i="25" s="1"/>
  <c r="AC21" i="25" s="1"/>
  <c r="M21" i="25"/>
  <c r="I21" i="25"/>
  <c r="B16" i="25"/>
  <c r="B21" i="25" s="1"/>
  <c r="B26" i="25" s="1"/>
  <c r="B31" i="25" s="1"/>
  <c r="B36" i="25" s="1"/>
  <c r="B41" i="25" s="1"/>
  <c r="BV48" i="25"/>
  <c r="BU48" i="25"/>
  <c r="BT48" i="25"/>
  <c r="BV47" i="25"/>
  <c r="BU47" i="25"/>
  <c r="BT47" i="25"/>
  <c r="BV46" i="25"/>
  <c r="BU46" i="25"/>
  <c r="BT46" i="25"/>
  <c r="BP20" i="25"/>
  <c r="BI20" i="25"/>
  <c r="BB20" i="25"/>
  <c r="AU20" i="25"/>
  <c r="AN20" i="25"/>
  <c r="AG20" i="25"/>
  <c r="Z20" i="25"/>
  <c r="S20" i="25"/>
  <c r="M19" i="25"/>
  <c r="BU19" i="25" s="1"/>
  <c r="O18" i="25"/>
  <c r="M18" i="25"/>
  <c r="BU18" i="25" s="1"/>
  <c r="O17" i="25"/>
  <c r="M17" i="25"/>
  <c r="BU17" i="25" s="1"/>
  <c r="AJ16" i="25"/>
  <c r="AC16" i="25" s="1"/>
  <c r="M16" i="25"/>
  <c r="BU16" i="25" s="1"/>
  <c r="F16" i="25"/>
  <c r="I18" i="25" s="1"/>
  <c r="BP15" i="25"/>
  <c r="BI15" i="25"/>
  <c r="BB15" i="25"/>
  <c r="AU15" i="25"/>
  <c r="AN15" i="25"/>
  <c r="AG15" i="25"/>
  <c r="Z15" i="25"/>
  <c r="S15" i="25"/>
  <c r="D56" i="25" s="1"/>
  <c r="M14" i="25"/>
  <c r="O13" i="25"/>
  <c r="M13" i="25"/>
  <c r="BU13" i="25" s="1"/>
  <c r="O12" i="25"/>
  <c r="M12" i="25"/>
  <c r="BU12" i="25" s="1"/>
  <c r="AJ11" i="25"/>
  <c r="AC11" i="25" s="1"/>
  <c r="M11" i="25"/>
  <c r="BU11" i="25" s="1"/>
  <c r="F11" i="25"/>
  <c r="M52" i="24"/>
  <c r="M51" i="24"/>
  <c r="M50" i="24"/>
  <c r="M49" i="24"/>
  <c r="M48" i="24"/>
  <c r="M47" i="24"/>
  <c r="M31" i="24"/>
  <c r="M43" i="24" s="1"/>
  <c r="BT67" i="10" l="1"/>
  <c r="M15" i="24"/>
  <c r="AW66" i="10"/>
  <c r="AP66" i="10" s="1"/>
  <c r="AI66" i="10" s="1"/>
  <c r="AB66" i="10" s="1"/>
  <c r="T15" i="32" s="1"/>
  <c r="D58" i="25"/>
  <c r="K70" i="10"/>
  <c r="I12" i="25"/>
  <c r="F46" i="25"/>
  <c r="X67" i="10"/>
  <c r="BN67" i="10"/>
  <c r="AS67" i="10"/>
  <c r="AU67" i="10" s="1"/>
  <c r="AL67" i="10"/>
  <c r="Q67" i="10"/>
  <c r="BG67" i="10"/>
  <c r="L67" i="10"/>
  <c r="AE67" i="10"/>
  <c r="AZ67" i="10"/>
  <c r="BB67" i="10" s="1"/>
  <c r="J67" i="10"/>
  <c r="H68" i="10"/>
  <c r="I68" i="10" s="1"/>
  <c r="BT66" i="10"/>
  <c r="BT68" i="10"/>
  <c r="M49" i="25"/>
  <c r="S50" i="25"/>
  <c r="AG50" i="25"/>
  <c r="BI50" i="25"/>
  <c r="AU50" i="25"/>
  <c r="BP50" i="25"/>
  <c r="I25" i="25"/>
  <c r="Z50" i="25"/>
  <c r="AN50" i="25"/>
  <c r="BB50" i="25"/>
  <c r="M25" i="25"/>
  <c r="M47" i="25"/>
  <c r="M46" i="25"/>
  <c r="M48" i="25"/>
  <c r="BU21" i="25"/>
  <c r="J21" i="25"/>
  <c r="K21" i="25" s="1"/>
  <c r="L21" i="25" s="1"/>
  <c r="J24" i="25"/>
  <c r="K24" i="25" s="1"/>
  <c r="K23" i="25"/>
  <c r="J22" i="25"/>
  <c r="K22" i="25" s="1"/>
  <c r="I17" i="25"/>
  <c r="I19" i="25"/>
  <c r="I14" i="25"/>
  <c r="M15" i="25"/>
  <c r="I13" i="25"/>
  <c r="I48" i="25" s="1"/>
  <c r="I16" i="25"/>
  <c r="J12" i="25"/>
  <c r="K12" i="25" s="1"/>
  <c r="J18" i="25"/>
  <c r="K18" i="25" s="1"/>
  <c r="BU14" i="25"/>
  <c r="M20" i="25"/>
  <c r="I11" i="25"/>
  <c r="F7" i="21"/>
  <c r="F6" i="21"/>
  <c r="E9" i="21"/>
  <c r="F9" i="21" s="1"/>
  <c r="E12" i="21"/>
  <c r="F12" i="21" s="1"/>
  <c r="E24" i="21"/>
  <c r="F24" i="21" s="1"/>
  <c r="E37" i="21"/>
  <c r="F34" i="21"/>
  <c r="F33" i="21"/>
  <c r="F35" i="21" s="1"/>
  <c r="F31" i="21"/>
  <c r="F30" i="21"/>
  <c r="F28" i="21"/>
  <c r="F27" i="21"/>
  <c r="F29" i="21" s="1"/>
  <c r="F25" i="21"/>
  <c r="F22" i="21"/>
  <c r="E21" i="21"/>
  <c r="F21" i="21" s="1"/>
  <c r="F19" i="21"/>
  <c r="F18" i="21"/>
  <c r="F16" i="21"/>
  <c r="F15" i="21"/>
  <c r="F13" i="21"/>
  <c r="F10" i="21"/>
  <c r="K14" i="24"/>
  <c r="E14" i="24"/>
  <c r="C14" i="24"/>
  <c r="F14" i="24" l="1"/>
  <c r="I49" i="25"/>
  <c r="I46" i="25"/>
  <c r="I47" i="25"/>
  <c r="BG68" i="10"/>
  <c r="BI68" i="10" s="1"/>
  <c r="AS68" i="10"/>
  <c r="AU68" i="10" s="1"/>
  <c r="X68" i="10"/>
  <c r="O15" i="24" s="1"/>
  <c r="AZ68" i="10"/>
  <c r="BB68" i="10" s="1"/>
  <c r="AL68" i="10"/>
  <c r="AE68" i="10"/>
  <c r="S15" i="24" s="1"/>
  <c r="BN68" i="10"/>
  <c r="Q68" i="10"/>
  <c r="L68" i="10"/>
  <c r="J68" i="10"/>
  <c r="BM67" i="10"/>
  <c r="BP67" i="10"/>
  <c r="AG67" i="10"/>
  <c r="AD67" i="10"/>
  <c r="Z67" i="10"/>
  <c r="W67" i="10"/>
  <c r="BI67" i="10"/>
  <c r="H66" i="10"/>
  <c r="S67" i="10"/>
  <c r="P67" i="10"/>
  <c r="BS67" i="10"/>
  <c r="AN67" i="10"/>
  <c r="AK67" i="10"/>
  <c r="J14" i="25"/>
  <c r="K14" i="25" s="1"/>
  <c r="N14" i="25" s="1"/>
  <c r="H14" i="24"/>
  <c r="Y22" i="25"/>
  <c r="BO22" i="25"/>
  <c r="R22" i="25"/>
  <c r="BH22" i="25"/>
  <c r="N22" i="25"/>
  <c r="BA22" i="25"/>
  <c r="BC22" i="25" s="1"/>
  <c r="L22" i="25"/>
  <c r="AT22" i="25"/>
  <c r="AV22" i="25" s="1"/>
  <c r="AM22" i="25"/>
  <c r="AF22" i="25"/>
  <c r="AT24" i="25"/>
  <c r="AV24" i="25" s="1"/>
  <c r="BH24" i="25"/>
  <c r="BJ24" i="25" s="1"/>
  <c r="AM24" i="25"/>
  <c r="AF24" i="25"/>
  <c r="AH24" i="25" s="1"/>
  <c r="L24" i="25"/>
  <c r="Y24" i="25"/>
  <c r="AA24" i="25" s="1"/>
  <c r="BO24" i="25"/>
  <c r="R24" i="25"/>
  <c r="N24" i="25"/>
  <c r="BA24" i="25"/>
  <c r="BC24" i="25" s="1"/>
  <c r="Y23" i="25"/>
  <c r="BO23" i="25"/>
  <c r="R23" i="25"/>
  <c r="BH23" i="25"/>
  <c r="BJ23" i="25" s="1"/>
  <c r="N23" i="25"/>
  <c r="AM23" i="25"/>
  <c r="BA23" i="25"/>
  <c r="BC23" i="25" s="1"/>
  <c r="AF23" i="25"/>
  <c r="L23" i="25"/>
  <c r="AT23" i="25"/>
  <c r="AV23" i="25" s="1"/>
  <c r="J25" i="25"/>
  <c r="BH21" i="25"/>
  <c r="AF21" i="25"/>
  <c r="K25" i="25"/>
  <c r="L25" i="25" s="1"/>
  <c r="BA21" i="25"/>
  <c r="Y21" i="25"/>
  <c r="R21" i="25"/>
  <c r="N21" i="25"/>
  <c r="AT21" i="25"/>
  <c r="AM21" i="25"/>
  <c r="BO21" i="25"/>
  <c r="J17" i="25"/>
  <c r="K17" i="25" s="1"/>
  <c r="J19" i="25"/>
  <c r="K19" i="25" s="1"/>
  <c r="J13" i="25"/>
  <c r="K13" i="25" s="1"/>
  <c r="I20" i="25"/>
  <c r="J16" i="25"/>
  <c r="K16" i="25" s="1"/>
  <c r="BH18" i="25"/>
  <c r="BJ18" i="25" s="1"/>
  <c r="N18" i="25"/>
  <c r="BA18" i="25"/>
  <c r="BC18" i="25" s="1"/>
  <c r="AT18" i="25"/>
  <c r="L18" i="25"/>
  <c r="AM18" i="25"/>
  <c r="R18" i="25"/>
  <c r="Y18" i="25"/>
  <c r="BO18" i="25"/>
  <c r="AF18" i="25"/>
  <c r="M50" i="25"/>
  <c r="I15" i="25"/>
  <c r="J11" i="25"/>
  <c r="J47" i="25"/>
  <c r="K47" i="25" s="1"/>
  <c r="BO12" i="25"/>
  <c r="R12" i="25"/>
  <c r="N12" i="25"/>
  <c r="BA12" i="25"/>
  <c r="AT12" i="25"/>
  <c r="L12" i="25"/>
  <c r="AM12" i="25"/>
  <c r="AF12" i="25"/>
  <c r="BH12" i="25"/>
  <c r="Y12" i="25"/>
  <c r="F17" i="21"/>
  <c r="F26" i="21"/>
  <c r="F8" i="21"/>
  <c r="F11" i="21"/>
  <c r="F20" i="21"/>
  <c r="F23" i="21"/>
  <c r="F14" i="21"/>
  <c r="F32" i="21"/>
  <c r="F37" i="21"/>
  <c r="H33" i="24"/>
  <c r="F36" i="21"/>
  <c r="E36" i="21"/>
  <c r="AA15" i="24" l="1"/>
  <c r="N66" i="24"/>
  <c r="M70" i="10"/>
  <c r="G15" i="24"/>
  <c r="I15" i="24"/>
  <c r="AB15" i="24"/>
  <c r="W68" i="10"/>
  <c r="Z68" i="10"/>
  <c r="AG68" i="10"/>
  <c r="AD68" i="10"/>
  <c r="BU67" i="10"/>
  <c r="AN68" i="10"/>
  <c r="AK68" i="10"/>
  <c r="I66" i="10"/>
  <c r="S68" i="10"/>
  <c r="P68" i="10"/>
  <c r="BS68" i="10"/>
  <c r="BM68" i="10"/>
  <c r="BP68" i="10"/>
  <c r="BO14" i="25"/>
  <c r="L14" i="25"/>
  <c r="Y14" i="25"/>
  <c r="BA14" i="25"/>
  <c r="BC12" i="25"/>
  <c r="R14" i="25"/>
  <c r="AF14" i="25"/>
  <c r="AM14" i="25"/>
  <c r="AM49" i="25" s="1"/>
  <c r="AT14" i="25"/>
  <c r="BH14" i="25"/>
  <c r="BH49" i="25" s="1"/>
  <c r="H32" i="24"/>
  <c r="AE23" i="25"/>
  <c r="AH23" i="25"/>
  <c r="BO25" i="25"/>
  <c r="BQ21" i="25"/>
  <c r="BN21" i="25"/>
  <c r="AO24" i="25"/>
  <c r="AL24" i="25"/>
  <c r="AH22" i="25"/>
  <c r="AE22" i="25"/>
  <c r="AM25" i="25"/>
  <c r="AO21" i="25"/>
  <c r="AL21" i="25"/>
  <c r="BT23" i="25"/>
  <c r="T23" i="25"/>
  <c r="Q23" i="25"/>
  <c r="N25" i="25"/>
  <c r="AA21" i="25"/>
  <c r="Y25" i="25"/>
  <c r="BC21" i="25"/>
  <c r="AZ21" i="25"/>
  <c r="BA25" i="25"/>
  <c r="T22" i="25"/>
  <c r="BT22" i="25"/>
  <c r="Q22" i="25"/>
  <c r="AO23" i="25"/>
  <c r="AL23" i="25"/>
  <c r="AO22" i="25"/>
  <c r="AL22" i="25"/>
  <c r="AV21" i="25"/>
  <c r="AS21" i="25"/>
  <c r="AT25" i="25"/>
  <c r="T21" i="25"/>
  <c r="BT21" i="25"/>
  <c r="R25" i="25"/>
  <c r="BT24" i="25"/>
  <c r="T24" i="25"/>
  <c r="BQ22" i="25"/>
  <c r="BN22" i="25"/>
  <c r="BJ21" i="25"/>
  <c r="BG21" i="25"/>
  <c r="BH25" i="25"/>
  <c r="BQ23" i="25"/>
  <c r="BN23" i="25"/>
  <c r="AA23" i="25"/>
  <c r="X23" i="25"/>
  <c r="BJ22" i="25"/>
  <c r="BV22" i="25"/>
  <c r="AH21" i="25"/>
  <c r="AE21" i="25"/>
  <c r="AF25" i="25"/>
  <c r="BQ24" i="25"/>
  <c r="BN24" i="25"/>
  <c r="X22" i="25"/>
  <c r="AA22" i="25"/>
  <c r="J15" i="25"/>
  <c r="J20" i="25"/>
  <c r="N17" i="25"/>
  <c r="N47" i="25" s="1"/>
  <c r="AM17" i="25"/>
  <c r="AO17" i="25" s="1"/>
  <c r="AF17" i="25"/>
  <c r="AF47" i="25" s="1"/>
  <c r="R17" i="25"/>
  <c r="R47" i="25" s="1"/>
  <c r="BH17" i="25"/>
  <c r="BH47" i="25" s="1"/>
  <c r="AT17" i="25"/>
  <c r="AT47" i="25" s="1"/>
  <c r="Y17" i="25"/>
  <c r="Y47" i="25" s="1"/>
  <c r="BA17" i="25"/>
  <c r="BC17" i="25" s="1"/>
  <c r="L17" i="25"/>
  <c r="BO17" i="25"/>
  <c r="BQ17" i="25" s="1"/>
  <c r="R19" i="25"/>
  <c r="T19" i="25" s="1"/>
  <c r="BO19" i="25"/>
  <c r="BQ19" i="25" s="1"/>
  <c r="N19" i="25"/>
  <c r="N49" i="25" s="1"/>
  <c r="BH19" i="25"/>
  <c r="BJ19" i="25" s="1"/>
  <c r="AT19" i="25"/>
  <c r="AM19" i="25"/>
  <c r="AO19" i="25" s="1"/>
  <c r="Y19" i="25"/>
  <c r="AA19" i="25" s="1"/>
  <c r="BA19" i="25"/>
  <c r="BC19" i="25" s="1"/>
  <c r="L19" i="25"/>
  <c r="AF19" i="25"/>
  <c r="AH19" i="25" s="1"/>
  <c r="BO13" i="25"/>
  <c r="BO48" i="25" s="1"/>
  <c r="Y13" i="25"/>
  <c r="Y48" i="25" s="1"/>
  <c r="BH13" i="25"/>
  <c r="BH48" i="25" s="1"/>
  <c r="L13" i="25"/>
  <c r="AM13" i="25"/>
  <c r="AM48" i="25" s="1"/>
  <c r="R13" i="25"/>
  <c r="R48" i="25" s="1"/>
  <c r="AF13" i="25"/>
  <c r="AF48" i="25" s="1"/>
  <c r="N13" i="25"/>
  <c r="N48" i="25" s="1"/>
  <c r="BA13" i="25"/>
  <c r="BA48" i="25" s="1"/>
  <c r="AT13" i="25"/>
  <c r="AT48" i="25" s="1"/>
  <c r="K20" i="25"/>
  <c r="L20" i="25" s="1"/>
  <c r="Y16" i="25"/>
  <c r="R16" i="25"/>
  <c r="AM16" i="25"/>
  <c r="AL16" i="25" s="1"/>
  <c r="BA16" i="25"/>
  <c r="AZ16" i="25" s="1"/>
  <c r="BO16" i="25"/>
  <c r="BQ16" i="25" s="1"/>
  <c r="AF16" i="25"/>
  <c r="AH16" i="25" s="1"/>
  <c r="AT16" i="25"/>
  <c r="AV16" i="25" s="1"/>
  <c r="N16" i="25"/>
  <c r="L16" i="25"/>
  <c r="BH16" i="25"/>
  <c r="BJ16" i="25" s="1"/>
  <c r="L47" i="25"/>
  <c r="BQ18" i="25"/>
  <c r="BN18" i="25"/>
  <c r="BQ12" i="25"/>
  <c r="BN12" i="25"/>
  <c r="AH18" i="25"/>
  <c r="AE18" i="25"/>
  <c r="J48" i="25"/>
  <c r="K48" i="25" s="1"/>
  <c r="AL18" i="25"/>
  <c r="AO18" i="25"/>
  <c r="AA12" i="25"/>
  <c r="X12" i="25"/>
  <c r="T12" i="25"/>
  <c r="BT12" i="25"/>
  <c r="Q12" i="25"/>
  <c r="AA18" i="25"/>
  <c r="X18" i="25"/>
  <c r="Q18" i="25"/>
  <c r="BT18" i="25"/>
  <c r="T18" i="25"/>
  <c r="J49" i="25"/>
  <c r="K49" i="25" s="1"/>
  <c r="BJ12" i="25"/>
  <c r="K11" i="25"/>
  <c r="AE12" i="25"/>
  <c r="AH12" i="25"/>
  <c r="AL12" i="25"/>
  <c r="AO12" i="25"/>
  <c r="I50" i="25"/>
  <c r="J46" i="25"/>
  <c r="F38" i="21"/>
  <c r="H31" i="24"/>
  <c r="F42" i="24" l="1"/>
  <c r="AM47" i="25"/>
  <c r="BQ14" i="25"/>
  <c r="BO49" i="25"/>
  <c r="AT49" i="25"/>
  <c r="AS49" i="25" s="1"/>
  <c r="AF49" i="25"/>
  <c r="R49" i="25"/>
  <c r="BO47" i="25"/>
  <c r="BQ47" i="25" s="1"/>
  <c r="BN14" i="25"/>
  <c r="BA49" i="25"/>
  <c r="AA14" i="25"/>
  <c r="Y49" i="25"/>
  <c r="AA49" i="25" s="1"/>
  <c r="BA47" i="25"/>
  <c r="BC47" i="25" s="1"/>
  <c r="AS66" i="10"/>
  <c r="Q66" i="10"/>
  <c r="J66" i="10"/>
  <c r="AZ66" i="10"/>
  <c r="BN66" i="10"/>
  <c r="X66" i="10"/>
  <c r="BG66" i="10"/>
  <c r="Y15" i="32" s="1"/>
  <c r="AL66" i="10"/>
  <c r="AE66" i="10"/>
  <c r="U15" i="32" s="1"/>
  <c r="L66" i="10"/>
  <c r="BJ13" i="25"/>
  <c r="BJ48" i="25"/>
  <c r="BJ14" i="25"/>
  <c r="BJ49" i="25"/>
  <c r="AH14" i="25"/>
  <c r="BQ13" i="25"/>
  <c r="AO13" i="25"/>
  <c r="BC14" i="25"/>
  <c r="BT14" i="25"/>
  <c r="AL14" i="25"/>
  <c r="BC13" i="25"/>
  <c r="T14" i="25"/>
  <c r="AO14" i="25"/>
  <c r="AA13" i="25"/>
  <c r="AH13" i="25"/>
  <c r="AL47" i="25"/>
  <c r="J50" i="25"/>
  <c r="BT17" i="25"/>
  <c r="X17" i="25"/>
  <c r="AO25" i="25"/>
  <c r="AL25" i="25"/>
  <c r="BJ25" i="25"/>
  <c r="BG25" i="25"/>
  <c r="AS25" i="25"/>
  <c r="AV25" i="25"/>
  <c r="BC25" i="25"/>
  <c r="AZ25" i="25"/>
  <c r="BQ25" i="25"/>
  <c r="BN25" i="25"/>
  <c r="X25" i="25"/>
  <c r="AA25" i="25"/>
  <c r="AH25" i="25"/>
  <c r="AE25" i="25"/>
  <c r="Q25" i="25"/>
  <c r="T25" i="25"/>
  <c r="BV17" i="25"/>
  <c r="Q17" i="25"/>
  <c r="BJ47" i="25"/>
  <c r="AE17" i="25"/>
  <c r="AS16" i="25"/>
  <c r="T17" i="25"/>
  <c r="T47" i="25"/>
  <c r="BJ17" i="25"/>
  <c r="AH17" i="25"/>
  <c r="AA17" i="25"/>
  <c r="AL17" i="25"/>
  <c r="BT13" i="25"/>
  <c r="BN17" i="25"/>
  <c r="AE13" i="25"/>
  <c r="BN19" i="25"/>
  <c r="AE16" i="25"/>
  <c r="X13" i="25"/>
  <c r="N20" i="25"/>
  <c r="R20" i="25"/>
  <c r="Q20" i="25" s="1"/>
  <c r="BT19" i="25"/>
  <c r="BH20" i="25"/>
  <c r="BJ20" i="25" s="1"/>
  <c r="BG16" i="25"/>
  <c r="AF20" i="25"/>
  <c r="AE20" i="25" s="1"/>
  <c r="Y20" i="25"/>
  <c r="AA20" i="25" s="1"/>
  <c r="BN13" i="25"/>
  <c r="BV12" i="25"/>
  <c r="AL19" i="25"/>
  <c r="BC16" i="25"/>
  <c r="AT20" i="25"/>
  <c r="AS20" i="25" s="1"/>
  <c r="BA20" i="25"/>
  <c r="BC20" i="25" s="1"/>
  <c r="BT16" i="25"/>
  <c r="T16" i="25"/>
  <c r="BN16" i="25"/>
  <c r="AA16" i="25"/>
  <c r="BO20" i="25"/>
  <c r="BQ20" i="25" s="1"/>
  <c r="Q13" i="25"/>
  <c r="AO16" i="25"/>
  <c r="AM20" i="25"/>
  <c r="AL20" i="25" s="1"/>
  <c r="AL13" i="25"/>
  <c r="T13" i="25"/>
  <c r="L48" i="25"/>
  <c r="K46" i="25"/>
  <c r="AV48" i="25"/>
  <c r="AS48" i="25"/>
  <c r="AM11" i="25"/>
  <c r="AM46" i="25" s="1"/>
  <c r="BO11" i="25"/>
  <c r="BO46" i="25" s="1"/>
  <c r="AF11" i="25"/>
  <c r="AF46" i="25" s="1"/>
  <c r="BH11" i="25"/>
  <c r="BH46" i="25" s="1"/>
  <c r="Y11" i="25"/>
  <c r="Y46" i="25" s="1"/>
  <c r="N11" i="25"/>
  <c r="AT11" i="25"/>
  <c r="AT46" i="25" s="1"/>
  <c r="L11" i="25"/>
  <c r="BA11" i="25"/>
  <c r="BA46" i="25" s="1"/>
  <c r="R11" i="25"/>
  <c r="R46" i="25" s="1"/>
  <c r="K15" i="25"/>
  <c r="L15" i="25" s="1"/>
  <c r="AA47" i="25"/>
  <c r="X47" i="25"/>
  <c r="AH47" i="25"/>
  <c r="AE47" i="25"/>
  <c r="AV47" i="25"/>
  <c r="AS47" i="25"/>
  <c r="G33" i="24"/>
  <c r="I15" i="32" l="1"/>
  <c r="S15" i="32"/>
  <c r="AA15" i="32" s="1"/>
  <c r="AB15" i="32"/>
  <c r="N15" i="25"/>
  <c r="N46" i="25"/>
  <c r="N50" i="25" s="1"/>
  <c r="AZ47" i="25"/>
  <c r="AV49" i="25"/>
  <c r="AK66" i="10"/>
  <c r="AN66" i="10"/>
  <c r="BI66" i="10"/>
  <c r="BF66" i="10"/>
  <c r="Z66" i="10"/>
  <c r="BP66" i="10"/>
  <c r="BM66" i="10"/>
  <c r="BB66" i="10"/>
  <c r="AY66" i="10"/>
  <c r="S66" i="10"/>
  <c r="BS66" i="10"/>
  <c r="AD66" i="10"/>
  <c r="AG66" i="10"/>
  <c r="AR66" i="10"/>
  <c r="AU66" i="10"/>
  <c r="BN47" i="25"/>
  <c r="AB33" i="24"/>
  <c r="AB32" i="24"/>
  <c r="AO47" i="25"/>
  <c r="AO20" i="25"/>
  <c r="X49" i="25"/>
  <c r="Q47" i="25"/>
  <c r="X20" i="25"/>
  <c r="BG20" i="25"/>
  <c r="AH20" i="25"/>
  <c r="T20" i="25"/>
  <c r="AZ20" i="25"/>
  <c r="AV20" i="25"/>
  <c r="BN20" i="25"/>
  <c r="AZ49" i="25"/>
  <c r="BC49" i="25"/>
  <c r="AH11" i="25"/>
  <c r="AF15" i="25"/>
  <c r="AE11" i="25"/>
  <c r="BQ11" i="25"/>
  <c r="BN11" i="25"/>
  <c r="BO15" i="25"/>
  <c r="AO11" i="25"/>
  <c r="AL11" i="25"/>
  <c r="AM15" i="25"/>
  <c r="BQ49" i="25"/>
  <c r="BN49" i="25"/>
  <c r="BN48" i="25"/>
  <c r="BQ48" i="25"/>
  <c r="K50" i="25"/>
  <c r="L50" i="25" s="1"/>
  <c r="L46" i="25"/>
  <c r="AH48" i="25"/>
  <c r="AE48" i="25"/>
  <c r="BT11" i="25"/>
  <c r="R15" i="25"/>
  <c r="T11" i="25"/>
  <c r="AA11" i="25"/>
  <c r="Y15" i="25"/>
  <c r="AO49" i="25"/>
  <c r="AL49" i="25"/>
  <c r="T48" i="25"/>
  <c r="Q48" i="25"/>
  <c r="BC48" i="25"/>
  <c r="AZ48" i="25"/>
  <c r="AH49" i="25"/>
  <c r="AE49" i="25"/>
  <c r="AO48" i="25"/>
  <c r="AL48" i="25"/>
  <c r="AZ11" i="25"/>
  <c r="BA15" i="25"/>
  <c r="BC11" i="25"/>
  <c r="T49" i="25"/>
  <c r="Q49" i="25"/>
  <c r="AV11" i="25"/>
  <c r="AS11" i="25"/>
  <c r="AT15" i="25"/>
  <c r="AA48" i="25"/>
  <c r="X48" i="25"/>
  <c r="BJ11" i="25"/>
  <c r="BG11" i="25"/>
  <c r="BH15" i="25"/>
  <c r="I33" i="24"/>
  <c r="G32" i="24"/>
  <c r="I32" i="24"/>
  <c r="AA31" i="24" l="1"/>
  <c r="AB31" i="24"/>
  <c r="AH15" i="25"/>
  <c r="AE15" i="25"/>
  <c r="AF50" i="25"/>
  <c r="AH46" i="25"/>
  <c r="AE46" i="25"/>
  <c r="BJ15" i="25"/>
  <c r="BG15" i="25"/>
  <c r="AZ46" i="25"/>
  <c r="BA50" i="25"/>
  <c r="BC46" i="25"/>
  <c r="T15" i="25"/>
  <c r="Q15" i="25"/>
  <c r="BC15" i="25"/>
  <c r="AZ15" i="25"/>
  <c r="AO46" i="25"/>
  <c r="AM50" i="25"/>
  <c r="AL46" i="25"/>
  <c r="T46" i="25"/>
  <c r="Q46" i="25"/>
  <c r="R50" i="25"/>
  <c r="BJ46" i="25"/>
  <c r="BH50" i="25"/>
  <c r="AV15" i="25"/>
  <c r="AS15" i="25"/>
  <c r="AV46" i="25"/>
  <c r="AS46" i="25"/>
  <c r="AT50" i="25"/>
  <c r="BN46" i="25"/>
  <c r="BQ46" i="25"/>
  <c r="BO50" i="25"/>
  <c r="X46" i="25"/>
  <c r="Y50" i="25"/>
  <c r="AA46" i="25"/>
  <c r="BQ15" i="25"/>
  <c r="BN15" i="25"/>
  <c r="X15" i="25"/>
  <c r="AA15" i="25"/>
  <c r="AO15" i="25"/>
  <c r="AL15" i="25"/>
  <c r="I31" i="24"/>
  <c r="G31" i="24"/>
  <c r="T50" i="25" l="1"/>
  <c r="Q50" i="25"/>
  <c r="AO50" i="25"/>
  <c r="AL50" i="25"/>
  <c r="BJ50" i="25"/>
  <c r="BG50" i="25"/>
  <c r="AA50" i="25"/>
  <c r="X50" i="25"/>
  <c r="BC50" i="25"/>
  <c r="AZ50" i="25"/>
  <c r="BQ50" i="25"/>
  <c r="BN50" i="25"/>
  <c r="AV50" i="25"/>
  <c r="AS50" i="25"/>
  <c r="AH50" i="25"/>
  <c r="AE50" i="25"/>
  <c r="L57" i="24"/>
  <c r="K57" i="24"/>
  <c r="N53" i="24"/>
  <c r="L25" i="24"/>
  <c r="K25" i="24"/>
  <c r="L21" i="24"/>
  <c r="J6" i="24"/>
  <c r="K6" i="24"/>
  <c r="N63" i="24"/>
  <c r="C58" i="24"/>
  <c r="C57" i="24"/>
  <c r="E56" i="24"/>
  <c r="F56" i="24" s="1"/>
  <c r="C56" i="24"/>
  <c r="G55" i="24"/>
  <c r="C55" i="24"/>
  <c r="L54" i="24"/>
  <c r="L53" i="24" s="1"/>
  <c r="C44" i="24"/>
  <c r="N29" i="24"/>
  <c r="E52" i="24"/>
  <c r="C52" i="24"/>
  <c r="E51" i="24"/>
  <c r="C51" i="24"/>
  <c r="K27" i="24"/>
  <c r="E27" i="24"/>
  <c r="F27" i="24" s="1"/>
  <c r="C27" i="24"/>
  <c r="E26" i="24"/>
  <c r="C26" i="24"/>
  <c r="E50" i="24"/>
  <c r="C50" i="24"/>
  <c r="E49" i="24"/>
  <c r="C49" i="24"/>
  <c r="E48" i="24"/>
  <c r="C48" i="24"/>
  <c r="E47" i="24"/>
  <c r="F47" i="24" s="1"/>
  <c r="C47" i="24"/>
  <c r="E25" i="24"/>
  <c r="F25" i="24" s="1"/>
  <c r="C25" i="24"/>
  <c r="E24" i="24"/>
  <c r="F24" i="24" s="1"/>
  <c r="C24" i="24"/>
  <c r="G23" i="24"/>
  <c r="E23" i="24"/>
  <c r="F23" i="24" s="1"/>
  <c r="C23" i="24"/>
  <c r="G22" i="24"/>
  <c r="E22" i="24"/>
  <c r="F22" i="24" s="1"/>
  <c r="C22" i="24"/>
  <c r="K21" i="24"/>
  <c r="E21" i="24"/>
  <c r="F21" i="24" s="1"/>
  <c r="C21" i="24"/>
  <c r="E20" i="24"/>
  <c r="C20" i="24"/>
  <c r="N18" i="24"/>
  <c r="E13" i="24"/>
  <c r="F13" i="24" s="1"/>
  <c r="C13" i="24"/>
  <c r="E12" i="24"/>
  <c r="F12" i="24" s="1"/>
  <c r="C12" i="24"/>
  <c r="E11" i="24"/>
  <c r="F11" i="24" s="1"/>
  <c r="C11" i="24"/>
  <c r="E10" i="24"/>
  <c r="F10" i="24" s="1"/>
  <c r="C10" i="24"/>
  <c r="C9" i="24"/>
  <c r="K8" i="24"/>
  <c r="C8" i="24"/>
  <c r="K7" i="24"/>
  <c r="C7" i="24"/>
  <c r="E6" i="24"/>
  <c r="C6" i="24"/>
  <c r="F6" i="24" l="1"/>
  <c r="AA48" i="24"/>
  <c r="F48" i="24"/>
  <c r="H26" i="24"/>
  <c r="F26" i="24"/>
  <c r="AA49" i="24"/>
  <c r="F49" i="24"/>
  <c r="F51" i="24"/>
  <c r="AA50" i="24"/>
  <c r="F50" i="24"/>
  <c r="AA52" i="24"/>
  <c r="F52" i="24"/>
  <c r="F20" i="24"/>
  <c r="I20" i="29"/>
  <c r="I22" i="29" s="1"/>
  <c r="R43" i="24"/>
  <c r="R42" i="24" s="1"/>
  <c r="AB47" i="24"/>
  <c r="AA47" i="24"/>
  <c r="E29" i="24"/>
  <c r="H6" i="24"/>
  <c r="H11" i="24"/>
  <c r="H47" i="24"/>
  <c r="H48" i="24"/>
  <c r="H49" i="24"/>
  <c r="H23" i="24"/>
  <c r="H52" i="24"/>
  <c r="H50" i="24"/>
  <c r="H10" i="24"/>
  <c r="H22" i="24"/>
  <c r="H13" i="24"/>
  <c r="H25" i="24"/>
  <c r="H27" i="24"/>
  <c r="H51" i="24"/>
  <c r="N65" i="24"/>
  <c r="H24" i="24"/>
  <c r="H21" i="24"/>
  <c r="H12" i="24"/>
  <c r="H56" i="24"/>
  <c r="L64" i="24"/>
  <c r="H20" i="24"/>
  <c r="G44" i="24"/>
  <c r="F29" i="24" l="1"/>
  <c r="G54" i="24"/>
  <c r="G53" i="24" s="1"/>
  <c r="G63" i="10" l="1"/>
  <c r="BO65" i="10"/>
  <c r="BH65" i="10"/>
  <c r="BA65" i="10"/>
  <c r="AT65" i="10"/>
  <c r="AM65" i="10"/>
  <c r="AF65" i="10"/>
  <c r="Y65" i="10"/>
  <c r="R65" i="10"/>
  <c r="K64" i="10"/>
  <c r="BT64" i="10" s="1"/>
  <c r="K63" i="10"/>
  <c r="BT63" i="10" s="1"/>
  <c r="K62" i="10"/>
  <c r="BD61" i="10"/>
  <c r="K61" i="10"/>
  <c r="BT61" i="10" s="1"/>
  <c r="BT62" i="10" l="1"/>
  <c r="M14" i="24"/>
  <c r="AA14" i="24" s="1"/>
  <c r="AW61" i="10"/>
  <c r="AP61" i="10" s="1"/>
  <c r="AI61" i="10" s="1"/>
  <c r="AB61" i="10" s="1"/>
  <c r="P14" i="32" s="1"/>
  <c r="K65" i="10"/>
  <c r="H61" i="10"/>
  <c r="I61" i="10" s="1"/>
  <c r="H62" i="10"/>
  <c r="I62" i="10" s="1"/>
  <c r="H63" i="10"/>
  <c r="I63" i="10" s="1"/>
  <c r="AE62" i="10" l="1"/>
  <c r="BN62" i="10"/>
  <c r="AZ62" i="10"/>
  <c r="BG62" i="10"/>
  <c r="AS62" i="10"/>
  <c r="AL62" i="10"/>
  <c r="BG63" i="10"/>
  <c r="BI63" i="10" s="1"/>
  <c r="AZ63" i="10"/>
  <c r="BB63" i="10" s="1"/>
  <c r="BN63" i="10"/>
  <c r="AS63" i="10"/>
  <c r="AU63" i="10" s="1"/>
  <c r="AE63" i="10"/>
  <c r="AL63" i="10"/>
  <c r="AL61" i="10"/>
  <c r="AE61" i="10"/>
  <c r="AZ61" i="10"/>
  <c r="AY61" i="10" s="1"/>
  <c r="BN61" i="10"/>
  <c r="BM61" i="10" s="1"/>
  <c r="BG61" i="10"/>
  <c r="AS61" i="10"/>
  <c r="AU61" i="10" s="1"/>
  <c r="Q63" i="10"/>
  <c r="X63" i="10"/>
  <c r="Q62" i="10"/>
  <c r="L14" i="32" s="1"/>
  <c r="X62" i="10"/>
  <c r="Q61" i="10"/>
  <c r="S61" i="10" s="1"/>
  <c r="X61" i="10"/>
  <c r="Z61" i="10" s="1"/>
  <c r="J61" i="10"/>
  <c r="L61" i="10"/>
  <c r="L63" i="10"/>
  <c r="J63" i="10"/>
  <c r="AU62" i="10"/>
  <c r="J62" i="10"/>
  <c r="BB62" i="10"/>
  <c r="L62" i="10"/>
  <c r="AF23" i="11"/>
  <c r="AG61" i="10" l="1"/>
  <c r="Q14" i="32"/>
  <c r="BF61" i="10"/>
  <c r="Y14" i="32"/>
  <c r="O14" i="24"/>
  <c r="G14" i="32"/>
  <c r="I14" i="32"/>
  <c r="L14" i="24"/>
  <c r="M65" i="10"/>
  <c r="BI61" i="10"/>
  <c r="BB61" i="10"/>
  <c r="BP61" i="10"/>
  <c r="AD61" i="10"/>
  <c r="BS61" i="10"/>
  <c r="AR61" i="10"/>
  <c r="AG62" i="10"/>
  <c r="AD62" i="10"/>
  <c r="BS63" i="10"/>
  <c r="S63" i="10"/>
  <c r="P63" i="10"/>
  <c r="BP63" i="10"/>
  <c r="BM63" i="10"/>
  <c r="BS62" i="10"/>
  <c r="P62" i="10"/>
  <c r="S62" i="10"/>
  <c r="Z63" i="10"/>
  <c r="W63" i="10"/>
  <c r="AG63" i="10"/>
  <c r="AD63" i="10"/>
  <c r="BU62" i="10"/>
  <c r="BI62" i="10"/>
  <c r="BP62" i="10"/>
  <c r="BM62" i="10"/>
  <c r="Z62" i="10"/>
  <c r="W62" i="10"/>
  <c r="R6" i="15"/>
  <c r="R7" i="15"/>
  <c r="R8" i="15"/>
  <c r="R9" i="15"/>
  <c r="Q10" i="15"/>
  <c r="R10" i="15"/>
  <c r="I11" i="15"/>
  <c r="K11" i="15"/>
  <c r="M11" i="15"/>
  <c r="O11" i="15"/>
  <c r="Q11" i="15"/>
  <c r="R11" i="15"/>
  <c r="P16" i="15"/>
  <c r="I21" i="15"/>
  <c r="O14" i="32" l="1"/>
  <c r="AA14" i="32" s="1"/>
  <c r="AB14" i="32"/>
  <c r="G14" i="24"/>
  <c r="AB14" i="24"/>
  <c r="I14" i="24"/>
  <c r="O28" i="10"/>
  <c r="BD21" i="10"/>
  <c r="BD46" i="11"/>
  <c r="BD41" i="11"/>
  <c r="BE35" i="14" l="1"/>
  <c r="BE34" i="14"/>
  <c r="BE33" i="14"/>
  <c r="BE32" i="14"/>
  <c r="Y18" i="13" l="1"/>
  <c r="Y17" i="13"/>
  <c r="R18" i="13"/>
  <c r="R17" i="13"/>
  <c r="D14" i="15" l="1"/>
  <c r="L38" i="16" l="1"/>
  <c r="L27" i="16"/>
  <c r="N26" i="16"/>
  <c r="P4" i="16"/>
  <c r="X7" i="20"/>
  <c r="AA7" i="20"/>
  <c r="V9" i="20"/>
  <c r="S9" i="20"/>
  <c r="P9" i="20"/>
  <c r="O9" i="20"/>
  <c r="Y8" i="20"/>
  <c r="U8" i="20"/>
  <c r="N8" i="20"/>
  <c r="AE7" i="20"/>
  <c r="AB7" i="20"/>
  <c r="Y7" i="20"/>
  <c r="S7" i="20"/>
  <c r="U7" i="20"/>
  <c r="T7" i="20"/>
  <c r="R7" i="20"/>
  <c r="Q7" i="20"/>
  <c r="N7" i="20"/>
  <c r="AB6" i="20"/>
  <c r="Y6" i="20"/>
  <c r="X6" i="20"/>
  <c r="U6" i="20"/>
  <c r="R6" i="20" l="1"/>
  <c r="Q6" i="20"/>
  <c r="N6" i="20"/>
  <c r="J36" i="22" l="1"/>
  <c r="H36" i="22"/>
  <c r="F36" i="22"/>
  <c r="D36" i="22"/>
  <c r="M35" i="22"/>
  <c r="L35" i="22"/>
  <c r="L36" i="22" s="1"/>
  <c r="M34" i="22"/>
  <c r="M33" i="22"/>
  <c r="M32" i="22"/>
  <c r="M31" i="22"/>
  <c r="M36" i="22" s="1"/>
  <c r="D18" i="15"/>
  <c r="D17" i="15"/>
  <c r="D12" i="15"/>
  <c r="D11" i="15"/>
  <c r="D9" i="15"/>
  <c r="D6" i="15"/>
  <c r="D5" i="15"/>
  <c r="D4" i="15"/>
  <c r="E22" i="22"/>
  <c r="F22" i="22" s="1"/>
  <c r="E21" i="22"/>
  <c r="F19" i="22"/>
  <c r="F18" i="22"/>
  <c r="F16" i="22"/>
  <c r="F15" i="22"/>
  <c r="F17" i="22" s="1"/>
  <c r="F13" i="22"/>
  <c r="F12" i="22"/>
  <c r="F10" i="22"/>
  <c r="F9" i="22"/>
  <c r="F7" i="22"/>
  <c r="F6" i="22"/>
  <c r="F20" i="22" l="1"/>
  <c r="F21" i="22"/>
  <c r="F23" i="22" s="1"/>
  <c r="F8" i="22"/>
  <c r="F14" i="22"/>
  <c r="F11" i="22"/>
  <c r="E6" i="15" l="1"/>
  <c r="E5" i="15"/>
  <c r="F8" i="20"/>
  <c r="I6" i="20"/>
  <c r="D8" i="15" l="1"/>
  <c r="E7" i="15"/>
  <c r="D20" i="15"/>
  <c r="D21" i="15"/>
  <c r="D7" i="20"/>
  <c r="D9" i="20"/>
  <c r="D6" i="20"/>
  <c r="K14" i="16" s="1"/>
  <c r="D8" i="20" l="1"/>
  <c r="K36" i="16" s="1"/>
  <c r="K45" i="16"/>
  <c r="D10" i="20" l="1"/>
  <c r="K31" i="16"/>
  <c r="P39" i="16"/>
  <c r="P40" i="16"/>
  <c r="P41" i="16"/>
  <c r="P42" i="16"/>
  <c r="P43" i="16"/>
  <c r="P34" i="16"/>
  <c r="P38" i="16"/>
  <c r="P33" i="16"/>
  <c r="P37" i="16"/>
  <c r="P32" i="16"/>
  <c r="P19" i="16"/>
  <c r="P18" i="16"/>
  <c r="P17" i="16"/>
  <c r="P16" i="16"/>
  <c r="P15" i="16"/>
  <c r="P6" i="16"/>
  <c r="P7" i="16"/>
  <c r="P8" i="16"/>
  <c r="P9" i="16"/>
  <c r="P10" i="16"/>
  <c r="P5" i="16"/>
  <c r="S23" i="16"/>
  <c r="S24" i="16" s="1"/>
  <c r="S25" i="16" s="1"/>
  <c r="S27" i="16" s="1"/>
  <c r="S28" i="16" s="1"/>
  <c r="S29" i="16" s="1"/>
  <c r="Q23" i="16"/>
  <c r="Q24" i="16" s="1"/>
  <c r="Q25" i="16" s="1"/>
  <c r="Q26" i="16" s="1"/>
  <c r="Q27" i="16" s="1"/>
  <c r="Q28" i="16" s="1"/>
  <c r="Q29" i="16" s="1"/>
  <c r="L23" i="16"/>
  <c r="L24" i="16" s="1"/>
  <c r="L25" i="16" s="1"/>
  <c r="L28" i="16" s="1"/>
  <c r="L29" i="16" s="1"/>
  <c r="E29" i="16"/>
  <c r="F29" i="16" s="1"/>
  <c r="E28" i="16"/>
  <c r="H28" i="16" s="1"/>
  <c r="E27" i="16"/>
  <c r="F27" i="16" s="1"/>
  <c r="E26" i="16"/>
  <c r="F26" i="16" s="1"/>
  <c r="E25" i="16"/>
  <c r="F25" i="16" s="1"/>
  <c r="E24" i="16"/>
  <c r="F24" i="16" s="1"/>
  <c r="E23" i="16"/>
  <c r="F23" i="16" s="1"/>
  <c r="C24" i="16"/>
  <c r="C25" i="16"/>
  <c r="C26" i="16"/>
  <c r="C27" i="16"/>
  <c r="C28" i="16"/>
  <c r="C29" i="16"/>
  <c r="C23" i="16"/>
  <c r="G48" i="11"/>
  <c r="G43" i="11"/>
  <c r="H43" i="11" s="1"/>
  <c r="I43" i="11" s="1"/>
  <c r="H42" i="11"/>
  <c r="I42" i="11" s="1"/>
  <c r="BO50" i="11"/>
  <c r="BH50" i="11"/>
  <c r="BA50" i="11"/>
  <c r="AT50" i="11"/>
  <c r="AM50" i="11"/>
  <c r="AF50" i="11"/>
  <c r="Y50" i="11"/>
  <c r="R50" i="11"/>
  <c r="K49" i="11"/>
  <c r="BT49" i="11" s="1"/>
  <c r="K48" i="11"/>
  <c r="BT47" i="11"/>
  <c r="AW46" i="11"/>
  <c r="AP46" i="11" s="1"/>
  <c r="AI46" i="11" s="1"/>
  <c r="AB46" i="11" s="1"/>
  <c r="T27" i="32" s="1"/>
  <c r="K46" i="11"/>
  <c r="BO45" i="11"/>
  <c r="BH45" i="11"/>
  <c r="BA45" i="11"/>
  <c r="AT45" i="11"/>
  <c r="AM45" i="11"/>
  <c r="Y45" i="11"/>
  <c r="R45" i="11"/>
  <c r="K44" i="11"/>
  <c r="BT44" i="11" s="1"/>
  <c r="AW41" i="11"/>
  <c r="AP41" i="11" s="1"/>
  <c r="AI41" i="11" s="1"/>
  <c r="AB41" i="11" s="1"/>
  <c r="T26" i="32" s="1"/>
  <c r="K41" i="11"/>
  <c r="BT41" i="11" s="1"/>
  <c r="N34" i="16"/>
  <c r="N33" i="16"/>
  <c r="N32" i="16"/>
  <c r="L34" i="16"/>
  <c r="L33" i="16"/>
  <c r="L32" i="16"/>
  <c r="AW21" i="10"/>
  <c r="AP21" i="10" s="1"/>
  <c r="N43" i="16"/>
  <c r="N42" i="16"/>
  <c r="L42" i="16"/>
  <c r="N41" i="16"/>
  <c r="N40" i="16"/>
  <c r="G39" i="16"/>
  <c r="E39" i="16"/>
  <c r="H39" i="16" s="1"/>
  <c r="E38" i="16"/>
  <c r="H38" i="16" s="1"/>
  <c r="T45" i="16"/>
  <c r="R45" i="16"/>
  <c r="C41" i="16"/>
  <c r="C40" i="16"/>
  <c r="C39" i="16"/>
  <c r="C38" i="16"/>
  <c r="C37" i="16"/>
  <c r="C34" i="16"/>
  <c r="C33" i="16"/>
  <c r="C32" i="16"/>
  <c r="S22" i="16"/>
  <c r="Q22" i="16"/>
  <c r="L22" i="16"/>
  <c r="Q21" i="16"/>
  <c r="N21" i="16"/>
  <c r="Q20" i="16"/>
  <c r="N20" i="16"/>
  <c r="N19" i="16"/>
  <c r="L19" i="16"/>
  <c r="N16" i="16"/>
  <c r="L16" i="16"/>
  <c r="N15" i="16"/>
  <c r="L15" i="16"/>
  <c r="E22" i="16"/>
  <c r="H22" i="16" s="1"/>
  <c r="E21" i="16"/>
  <c r="H21" i="16" s="1"/>
  <c r="E20" i="16"/>
  <c r="H20" i="16" s="1"/>
  <c r="E19" i="16"/>
  <c r="H19" i="16" s="1"/>
  <c r="E18" i="16"/>
  <c r="H18" i="16" s="1"/>
  <c r="E17" i="16"/>
  <c r="H17" i="16" s="1"/>
  <c r="C22" i="16"/>
  <c r="C21" i="16"/>
  <c r="C20" i="16"/>
  <c r="C19" i="16"/>
  <c r="C18" i="16"/>
  <c r="C17" i="16"/>
  <c r="C16" i="16"/>
  <c r="C15" i="16"/>
  <c r="J26" i="24" l="1"/>
  <c r="J26" i="32"/>
  <c r="K50" i="11"/>
  <c r="M27" i="24" s="1"/>
  <c r="BT46" i="11"/>
  <c r="J26" i="16"/>
  <c r="X42" i="11"/>
  <c r="AZ42" i="11"/>
  <c r="BB42" i="11" s="1"/>
  <c r="AL42" i="11"/>
  <c r="AE42" i="11"/>
  <c r="BG42" i="11"/>
  <c r="BI42" i="11" s="1"/>
  <c r="Q42" i="11"/>
  <c r="AS42" i="11"/>
  <c r="AU42" i="11" s="1"/>
  <c r="X43" i="11"/>
  <c r="AZ43" i="11"/>
  <c r="BB43" i="11" s="1"/>
  <c r="AE43" i="11"/>
  <c r="BG43" i="11"/>
  <c r="BI43" i="11" s="1"/>
  <c r="AL43" i="11"/>
  <c r="Q43" i="11"/>
  <c r="AS43" i="11"/>
  <c r="AU43" i="11" s="1"/>
  <c r="BN42" i="11"/>
  <c r="BN43" i="11"/>
  <c r="P36" i="16"/>
  <c r="P35" i="16" s="1"/>
  <c r="P45" i="16"/>
  <c r="P44" i="16" s="1"/>
  <c r="H27" i="16"/>
  <c r="F28" i="16"/>
  <c r="H25" i="16"/>
  <c r="H26" i="16"/>
  <c r="H29" i="16"/>
  <c r="H23" i="16"/>
  <c r="H24" i="16"/>
  <c r="F38" i="16"/>
  <c r="F39" i="16"/>
  <c r="H47" i="11"/>
  <c r="I47" i="11" s="1"/>
  <c r="H46" i="11"/>
  <c r="BT48" i="11"/>
  <c r="H48" i="11"/>
  <c r="I48" i="11" s="1"/>
  <c r="H41" i="11"/>
  <c r="I41" i="11" s="1"/>
  <c r="F19" i="16"/>
  <c r="F20" i="16"/>
  <c r="F18" i="16"/>
  <c r="F17" i="16"/>
  <c r="F22" i="16"/>
  <c r="F21" i="16"/>
  <c r="G37" i="16"/>
  <c r="Y26" i="24" l="1"/>
  <c r="O26" i="24"/>
  <c r="M45" i="11"/>
  <c r="O26" i="16"/>
  <c r="G26" i="16" s="1"/>
  <c r="R26" i="16"/>
  <c r="P26" i="16" s="1"/>
  <c r="Q48" i="11"/>
  <c r="AS48" i="11"/>
  <c r="AU48" i="11" s="1"/>
  <c r="X48" i="11"/>
  <c r="AZ48" i="11"/>
  <c r="BB48" i="11" s="1"/>
  <c r="AE48" i="11"/>
  <c r="BG48" i="11"/>
  <c r="BI48" i="11" s="1"/>
  <c r="AL48" i="11"/>
  <c r="BN48" i="11"/>
  <c r="Q47" i="11"/>
  <c r="L27" i="32" s="1"/>
  <c r="G27" i="32" s="1"/>
  <c r="AS47" i="11"/>
  <c r="AU47" i="11" s="1"/>
  <c r="AE47" i="11"/>
  <c r="BG47" i="11"/>
  <c r="BI47" i="11" s="1"/>
  <c r="AZ47" i="11"/>
  <c r="BB47" i="11" s="1"/>
  <c r="AL47" i="11"/>
  <c r="AN47" i="11" s="1"/>
  <c r="BN47" i="11"/>
  <c r="V26" i="16"/>
  <c r="M28" i="16"/>
  <c r="R28" i="16"/>
  <c r="T28" i="16"/>
  <c r="V28" i="16"/>
  <c r="M29" i="16"/>
  <c r="R29" i="16"/>
  <c r="T29" i="16"/>
  <c r="V29" i="16"/>
  <c r="R24" i="16"/>
  <c r="T24" i="16"/>
  <c r="V24" i="16"/>
  <c r="M24" i="16"/>
  <c r="Q41" i="11"/>
  <c r="S41" i="11" s="1"/>
  <c r="X41" i="11"/>
  <c r="Z41" i="11" s="1"/>
  <c r="AZ41" i="11"/>
  <c r="AE41" i="11"/>
  <c r="U26" i="32" s="1"/>
  <c r="S26" i="32" s="1"/>
  <c r="BG41" i="11"/>
  <c r="AS41" i="11"/>
  <c r="AL41" i="11"/>
  <c r="BN41" i="11"/>
  <c r="L47" i="11"/>
  <c r="J47" i="11"/>
  <c r="L48" i="11"/>
  <c r="I46" i="11"/>
  <c r="J48" i="11"/>
  <c r="AD43" i="11"/>
  <c r="W43" i="11"/>
  <c r="Z43" i="11"/>
  <c r="BP43" i="11"/>
  <c r="BM43" i="11"/>
  <c r="BS43" i="11"/>
  <c r="S43" i="11"/>
  <c r="P43" i="11"/>
  <c r="BM42" i="11"/>
  <c r="BP42" i="11"/>
  <c r="Z42" i="11"/>
  <c r="AF42" i="11" s="1"/>
  <c r="W42" i="11"/>
  <c r="L41" i="11"/>
  <c r="J41" i="11"/>
  <c r="AK42" i="11"/>
  <c r="AN42" i="11"/>
  <c r="BU42" i="11"/>
  <c r="AD42" i="11"/>
  <c r="AK43" i="11"/>
  <c r="AN43" i="11"/>
  <c r="S42" i="11"/>
  <c r="P42" i="11"/>
  <c r="BS42" i="11"/>
  <c r="BM47" i="11" l="1"/>
  <c r="Y27" i="24"/>
  <c r="Q27" i="24"/>
  <c r="O27" i="24" s="1"/>
  <c r="AA27" i="24" s="1"/>
  <c r="U27" i="24"/>
  <c r="S27" i="24" s="1"/>
  <c r="AF43" i="11"/>
  <c r="T32" i="31"/>
  <c r="K32" i="31" s="1"/>
  <c r="I32" i="31" s="1"/>
  <c r="H32" i="31" s="1"/>
  <c r="AF45" i="11"/>
  <c r="K42" i="11"/>
  <c r="AG42" i="11"/>
  <c r="K43" i="11"/>
  <c r="BT43" i="11"/>
  <c r="AG43" i="11"/>
  <c r="Y26" i="32"/>
  <c r="AB26" i="32"/>
  <c r="I26" i="32"/>
  <c r="AA26" i="32"/>
  <c r="M50" i="11"/>
  <c r="I26" i="16"/>
  <c r="X26" i="16" s="1"/>
  <c r="T27" i="16"/>
  <c r="G26" i="24"/>
  <c r="I26" i="24"/>
  <c r="M27" i="16"/>
  <c r="G27" i="16" s="1"/>
  <c r="L27" i="24"/>
  <c r="R27" i="16"/>
  <c r="S47" i="11"/>
  <c r="Z47" i="11"/>
  <c r="V25" i="16"/>
  <c r="T25" i="16"/>
  <c r="P29" i="16"/>
  <c r="G24" i="16"/>
  <c r="I24" i="16"/>
  <c r="X24" i="16" s="1"/>
  <c r="P28" i="16"/>
  <c r="P24" i="16"/>
  <c r="AL46" i="11"/>
  <c r="Q46" i="11"/>
  <c r="S46" i="11" s="1"/>
  <c r="AS46" i="11"/>
  <c r="AE46" i="11"/>
  <c r="U27" i="32" s="1"/>
  <c r="S27" i="32" s="1"/>
  <c r="X46" i="11"/>
  <c r="Z46" i="11" s="1"/>
  <c r="AZ46" i="11"/>
  <c r="BG46" i="11"/>
  <c r="BN46" i="11"/>
  <c r="M25" i="16"/>
  <c r="AG47" i="11"/>
  <c r="G29" i="16"/>
  <c r="I29" i="16"/>
  <c r="X29" i="16" s="1"/>
  <c r="I28" i="16"/>
  <c r="X28" i="16" s="1"/>
  <c r="G28" i="16"/>
  <c r="V27" i="16"/>
  <c r="R25" i="16"/>
  <c r="T23" i="16"/>
  <c r="M23" i="16"/>
  <c r="R23" i="16"/>
  <c r="V23" i="16"/>
  <c r="AD47" i="11"/>
  <c r="P47" i="11"/>
  <c r="AK47" i="11"/>
  <c r="BP47" i="11"/>
  <c r="BS47" i="11"/>
  <c r="W47" i="11"/>
  <c r="L46" i="11"/>
  <c r="J46" i="11"/>
  <c r="BP48" i="11"/>
  <c r="BM48" i="11"/>
  <c r="P48" i="11"/>
  <c r="BS48" i="11"/>
  <c r="S48" i="11"/>
  <c r="AD48" i="11"/>
  <c r="AG48" i="11"/>
  <c r="BU47" i="11"/>
  <c r="W48" i="11"/>
  <c r="Z48" i="11"/>
  <c r="AK48" i="11"/>
  <c r="AN48" i="11"/>
  <c r="AU41" i="11"/>
  <c r="AR41" i="11"/>
  <c r="AY41" i="11"/>
  <c r="BB41" i="11"/>
  <c r="AN41" i="11"/>
  <c r="AK41" i="11"/>
  <c r="BI41" i="11"/>
  <c r="BF41" i="11"/>
  <c r="BS41" i="11"/>
  <c r="AG41" i="11"/>
  <c r="AD41" i="11"/>
  <c r="BM41" i="11"/>
  <c r="BP41" i="11"/>
  <c r="J43" i="11" l="1"/>
  <c r="L43" i="11"/>
  <c r="BT42" i="11"/>
  <c r="J42" i="11"/>
  <c r="L42" i="11"/>
  <c r="K45" i="11"/>
  <c r="M26" i="24" s="1"/>
  <c r="Y27" i="32"/>
  <c r="AB27" i="32" s="1"/>
  <c r="I27" i="16"/>
  <c r="X27" i="16" s="1"/>
  <c r="P27" i="16"/>
  <c r="P25" i="16"/>
  <c r="G27" i="24"/>
  <c r="G25" i="16"/>
  <c r="I25" i="16"/>
  <c r="X25" i="16" s="1"/>
  <c r="P23" i="16"/>
  <c r="G23" i="16"/>
  <c r="BB46" i="11"/>
  <c r="AY46" i="11"/>
  <c r="AU46" i="11"/>
  <c r="AR46" i="11"/>
  <c r="BI46" i="11"/>
  <c r="BF46" i="11"/>
  <c r="BP46" i="11"/>
  <c r="BM46" i="11"/>
  <c r="BS46" i="11"/>
  <c r="AG46" i="11"/>
  <c r="AD46" i="11"/>
  <c r="AN46" i="11"/>
  <c r="AK46" i="11"/>
  <c r="I27" i="32" l="1"/>
  <c r="AA27" i="32"/>
  <c r="AA26" i="24"/>
  <c r="AB26" i="24"/>
  <c r="AB27" i="24"/>
  <c r="I27" i="24"/>
  <c r="I7" i="20" l="1"/>
  <c r="I10" i="20" s="1"/>
  <c r="R22" i="16" l="1"/>
  <c r="T22" i="16"/>
  <c r="T31" i="16" s="1"/>
  <c r="T30" i="16" s="1"/>
  <c r="V22" i="16"/>
  <c r="M22" i="16"/>
  <c r="H65" i="17"/>
  <c r="D65" i="17"/>
  <c r="E65" i="17" s="1"/>
  <c r="I65" i="17" s="1"/>
  <c r="F64" i="17"/>
  <c r="G64" i="17" s="1"/>
  <c r="D64" i="17"/>
  <c r="H63" i="17"/>
  <c r="F63" i="17"/>
  <c r="G63" i="17" s="1"/>
  <c r="I63" i="17" s="1"/>
  <c r="E63" i="17"/>
  <c r="D63" i="17"/>
  <c r="F61" i="17"/>
  <c r="H61" i="17" s="1"/>
  <c r="F60" i="17"/>
  <c r="G60" i="17" s="1"/>
  <c r="I60" i="17" s="1"/>
  <c r="D58" i="17"/>
  <c r="H58" i="17" s="1"/>
  <c r="F55" i="17"/>
  <c r="H55" i="17" s="1"/>
  <c r="F54" i="17"/>
  <c r="H54" i="17" s="1"/>
  <c r="F53" i="17"/>
  <c r="G53" i="17" s="1"/>
  <c r="I53" i="17" s="1"/>
  <c r="F52" i="17"/>
  <c r="G52" i="17" s="1"/>
  <c r="D52" i="17"/>
  <c r="H51" i="17"/>
  <c r="E51" i="17"/>
  <c r="I51" i="17" s="1"/>
  <c r="H50" i="17"/>
  <c r="G50" i="17"/>
  <c r="E50" i="17"/>
  <c r="I50" i="17" s="1"/>
  <c r="I49" i="17"/>
  <c r="H49" i="17"/>
  <c r="G49" i="17"/>
  <c r="E49" i="17"/>
  <c r="D44" i="17"/>
  <c r="H44" i="17" s="1"/>
  <c r="D38" i="17"/>
  <c r="E38" i="17" s="1"/>
  <c r="I38" i="17" s="1"/>
  <c r="I36" i="17"/>
  <c r="H36" i="17"/>
  <c r="E36" i="17"/>
  <c r="I35" i="17"/>
  <c r="H35" i="17"/>
  <c r="E35" i="17"/>
  <c r="F33" i="17"/>
  <c r="H33" i="17" s="1"/>
  <c r="F32" i="17"/>
  <c r="H32" i="17" s="1"/>
  <c r="D30" i="17"/>
  <c r="H30" i="17" s="1"/>
  <c r="F27" i="17"/>
  <c r="G27" i="17" s="1"/>
  <c r="I27" i="17" s="1"/>
  <c r="F26" i="17"/>
  <c r="G26" i="17" s="1"/>
  <c r="I26" i="17" s="1"/>
  <c r="F25" i="17"/>
  <c r="G25" i="17" s="1"/>
  <c r="D25" i="17"/>
  <c r="F24" i="17"/>
  <c r="H24" i="17" s="1"/>
  <c r="H23" i="17"/>
  <c r="E23" i="17"/>
  <c r="I23" i="17" s="1"/>
  <c r="H22" i="17"/>
  <c r="G22" i="17"/>
  <c r="E22" i="17"/>
  <c r="I22" i="17" s="1"/>
  <c r="H21" i="17"/>
  <c r="G21" i="17"/>
  <c r="I21" i="17" s="1"/>
  <c r="F19" i="17"/>
  <c r="F18" i="17"/>
  <c r="G18" i="17" s="1"/>
  <c r="I18" i="17" s="1"/>
  <c r="D16" i="17"/>
  <c r="E16" i="17" s="1"/>
  <c r="I16" i="17" s="1"/>
  <c r="F12" i="17"/>
  <c r="H12" i="17" s="1"/>
  <c r="F10" i="17"/>
  <c r="D10" i="17"/>
  <c r="I9" i="17"/>
  <c r="H9" i="17"/>
  <c r="E9" i="17"/>
  <c r="I8" i="17"/>
  <c r="H8" i="17"/>
  <c r="G8" i="17"/>
  <c r="E8" i="17"/>
  <c r="H7" i="17"/>
  <c r="E7" i="17"/>
  <c r="I7" i="17" s="1"/>
  <c r="I47" i="24" l="1"/>
  <c r="G47" i="24"/>
  <c r="H25" i="17"/>
  <c r="E30" i="17"/>
  <c r="I30" i="17" s="1"/>
  <c r="F75" i="17"/>
  <c r="H75" i="17" s="1"/>
  <c r="H64" i="17"/>
  <c r="H18" i="17"/>
  <c r="D62" i="17"/>
  <c r="E62" i="17" s="1"/>
  <c r="D67" i="17"/>
  <c r="E67" i="17" s="1"/>
  <c r="F66" i="17"/>
  <c r="G66" i="17" s="1"/>
  <c r="F67" i="17"/>
  <c r="G67" i="17" s="1"/>
  <c r="H53" i="17"/>
  <c r="P22" i="16"/>
  <c r="G22" i="16"/>
  <c r="I22" i="16"/>
  <c r="X22" i="16" s="1"/>
  <c r="T47" i="16"/>
  <c r="T46" i="16" s="1"/>
  <c r="H16" i="17"/>
  <c r="H60" i="17"/>
  <c r="D72" i="17"/>
  <c r="H72" i="17" s="1"/>
  <c r="E25" i="17"/>
  <c r="I25" i="17" s="1"/>
  <c r="F74" i="17"/>
  <c r="H74" i="17" s="1"/>
  <c r="D34" i="17"/>
  <c r="E34" i="17" s="1"/>
  <c r="H52" i="17"/>
  <c r="H10" i="17"/>
  <c r="G33" i="17"/>
  <c r="I33" i="17" s="1"/>
  <c r="H26" i="17"/>
  <c r="H38" i="17"/>
  <c r="G54" i="17"/>
  <c r="I54" i="17" s="1"/>
  <c r="G61" i="17"/>
  <c r="I61" i="17" s="1"/>
  <c r="E64" i="17"/>
  <c r="I64" i="17" s="1"/>
  <c r="I79" i="17" s="1"/>
  <c r="G19" i="17"/>
  <c r="I19" i="17" s="1"/>
  <c r="F34" i="17"/>
  <c r="G34" i="17" s="1"/>
  <c r="G55" i="17"/>
  <c r="I55" i="17" s="1"/>
  <c r="H19" i="17"/>
  <c r="G12" i="17"/>
  <c r="I12" i="17" s="1"/>
  <c r="G24" i="17"/>
  <c r="I24" i="17" s="1"/>
  <c r="F62" i="17"/>
  <c r="G62" i="17" s="1"/>
  <c r="F68" i="17"/>
  <c r="G10" i="17"/>
  <c r="E44" i="17"/>
  <c r="I44" i="17" s="1"/>
  <c r="D20" i="17"/>
  <c r="F20" i="17"/>
  <c r="G20" i="17" s="1"/>
  <c r="D48" i="17"/>
  <c r="E52" i="17"/>
  <c r="I52" i="17" s="1"/>
  <c r="E58" i="17"/>
  <c r="I58" i="17" s="1"/>
  <c r="H27" i="17"/>
  <c r="D66" i="17"/>
  <c r="F69" i="17"/>
  <c r="G32" i="17"/>
  <c r="I32" i="17" s="1"/>
  <c r="E10" i="17"/>
  <c r="D76" i="17" l="1"/>
  <c r="E76" i="17" s="1"/>
  <c r="E72" i="17"/>
  <c r="I72" i="17" s="1"/>
  <c r="G75" i="17"/>
  <c r="I75" i="17" s="1"/>
  <c r="I67" i="17"/>
  <c r="G74" i="17"/>
  <c r="I74" i="17" s="1"/>
  <c r="H67" i="17"/>
  <c r="H34" i="17"/>
  <c r="I34" i="17"/>
  <c r="H20" i="17"/>
  <c r="E20" i="17"/>
  <c r="I20" i="17" s="1"/>
  <c r="H48" i="17"/>
  <c r="E48" i="17"/>
  <c r="I48" i="17" s="1"/>
  <c r="H68" i="17"/>
  <c r="G68" i="17"/>
  <c r="I68" i="17" s="1"/>
  <c r="I10" i="17"/>
  <c r="F76" i="17"/>
  <c r="G76" i="17" s="1"/>
  <c r="H69" i="17"/>
  <c r="G69" i="17"/>
  <c r="I69" i="17" s="1"/>
  <c r="E66" i="17"/>
  <c r="I66" i="17" s="1"/>
  <c r="H66" i="17"/>
  <c r="I62" i="17"/>
  <c r="H62" i="17"/>
  <c r="I76" i="17" l="1"/>
  <c r="H76" i="17"/>
  <c r="Q12" i="16"/>
  <c r="N12" i="16"/>
  <c r="Q11" i="16"/>
  <c r="N11" i="16"/>
  <c r="N10" i="16"/>
  <c r="L10" i="16"/>
  <c r="N9" i="16"/>
  <c r="L9" i="16"/>
  <c r="E12" i="16"/>
  <c r="E11" i="16"/>
  <c r="E10" i="16"/>
  <c r="E9" i="16"/>
  <c r="C12" i="16"/>
  <c r="C11" i="16"/>
  <c r="C10" i="16"/>
  <c r="C9" i="16"/>
  <c r="N8" i="16"/>
  <c r="L8" i="16"/>
  <c r="C8" i="16"/>
  <c r="N7" i="16"/>
  <c r="L7" i="16"/>
  <c r="C7" i="16"/>
  <c r="N6" i="16"/>
  <c r="L6" i="16"/>
  <c r="C6" i="16"/>
  <c r="N5" i="16"/>
  <c r="C5" i="16"/>
  <c r="N4" i="16"/>
  <c r="C4" i="16"/>
  <c r="H11" i="16" l="1"/>
  <c r="F11" i="16"/>
  <c r="H10" i="16"/>
  <c r="F10" i="16"/>
  <c r="H9" i="16"/>
  <c r="F9" i="16"/>
  <c r="H12" i="16"/>
  <c r="F12" i="16"/>
  <c r="E21" i="15"/>
  <c r="E18" i="15"/>
  <c r="E17" i="15"/>
  <c r="E15" i="15"/>
  <c r="E14" i="15"/>
  <c r="E12" i="15"/>
  <c r="E11" i="15"/>
  <c r="E9" i="15"/>
  <c r="E8" i="15"/>
  <c r="E20" i="15" l="1"/>
  <c r="E22" i="15" s="1"/>
  <c r="E16" i="15"/>
  <c r="E19" i="15"/>
  <c r="E13" i="15"/>
  <c r="K30" i="16" s="1"/>
  <c r="E10" i="15"/>
  <c r="R23" i="11"/>
  <c r="K24" i="11"/>
  <c r="BT24" i="11" s="1"/>
  <c r="G38" i="11"/>
  <c r="G37" i="11"/>
  <c r="H36" i="11"/>
  <c r="G33" i="11"/>
  <c r="G32" i="11"/>
  <c r="BO40" i="11"/>
  <c r="BH40" i="11"/>
  <c r="BA40" i="11"/>
  <c r="AT40" i="11"/>
  <c r="AM40" i="11"/>
  <c r="Y40" i="11"/>
  <c r="R40" i="11"/>
  <c r="AG39" i="11"/>
  <c r="Z39" i="11"/>
  <c r="S39" i="11"/>
  <c r="K39" i="11"/>
  <c r="BD36" i="11"/>
  <c r="AW36" i="11" s="1"/>
  <c r="AP36" i="11" s="1"/>
  <c r="AI36" i="11" s="1"/>
  <c r="AB36" i="11" s="1"/>
  <c r="T25" i="32" s="1"/>
  <c r="S36" i="11"/>
  <c r="K36" i="11"/>
  <c r="BT36" i="11" s="1"/>
  <c r="BO35" i="11"/>
  <c r="BH35" i="11"/>
  <c r="BA35" i="11"/>
  <c r="AT35" i="11"/>
  <c r="AM35" i="11"/>
  <c r="AF35" i="11"/>
  <c r="Y35" i="11"/>
  <c r="R35" i="11"/>
  <c r="S34" i="11"/>
  <c r="K34" i="11"/>
  <c r="K33" i="11"/>
  <c r="K32" i="11"/>
  <c r="BD31" i="11"/>
  <c r="AW31" i="11" s="1"/>
  <c r="AP31" i="11" s="1"/>
  <c r="AI31" i="11" s="1"/>
  <c r="AB31" i="11" s="1"/>
  <c r="T24" i="32" s="1"/>
  <c r="S31" i="11"/>
  <c r="K31" i="11"/>
  <c r="BO55" i="10"/>
  <c r="BE54" i="14"/>
  <c r="BE53" i="14"/>
  <c r="BE52" i="14"/>
  <c r="BE51" i="14"/>
  <c r="BE50" i="14"/>
  <c r="BE49" i="14"/>
  <c r="F49" i="14"/>
  <c r="BE48" i="14"/>
  <c r="BE47" i="14"/>
  <c r="BE46" i="14"/>
  <c r="BE45" i="14"/>
  <c r="F45" i="14"/>
  <c r="BE44" i="14"/>
  <c r="BE43" i="14"/>
  <c r="BE42" i="14"/>
  <c r="BE41" i="14"/>
  <c r="F41" i="14"/>
  <c r="BE40" i="14"/>
  <c r="BE39" i="14"/>
  <c r="BE38" i="14"/>
  <c r="BD37" i="14"/>
  <c r="AW37" i="14"/>
  <c r="BE27" i="14"/>
  <c r="F27" i="14"/>
  <c r="BE26" i="14"/>
  <c r="BE25" i="14"/>
  <c r="BE24" i="14"/>
  <c r="BE23" i="14"/>
  <c r="F23" i="14"/>
  <c r="BE22" i="14"/>
  <c r="BE21" i="14"/>
  <c r="BE20" i="14"/>
  <c r="BE19" i="14"/>
  <c r="BE18" i="14"/>
  <c r="BE17" i="14"/>
  <c r="BE16" i="14"/>
  <c r="BE15" i="14"/>
  <c r="BE14" i="14"/>
  <c r="BE13" i="14"/>
  <c r="BE12" i="14"/>
  <c r="BE11" i="14"/>
  <c r="BE10" i="14"/>
  <c r="BE9" i="14"/>
  <c r="BE8" i="14"/>
  <c r="BE7" i="14"/>
  <c r="BE6" i="14"/>
  <c r="BE5" i="14"/>
  <c r="F2" i="14"/>
  <c r="J25" i="24" l="1"/>
  <c r="J25" i="32"/>
  <c r="J24" i="24"/>
  <c r="J24" i="32"/>
  <c r="BT31" i="11"/>
  <c r="BT34" i="11"/>
  <c r="H32" i="11"/>
  <c r="I32" i="11" s="1"/>
  <c r="AS32" i="11" s="1"/>
  <c r="AU32" i="11" s="1"/>
  <c r="G57" i="11"/>
  <c r="G34" i="11"/>
  <c r="H34" i="11" s="1"/>
  <c r="I34" i="11" s="1"/>
  <c r="J34" i="11" s="1"/>
  <c r="G49" i="13"/>
  <c r="G34" i="13"/>
  <c r="G14" i="11"/>
  <c r="G54" i="11"/>
  <c r="G29" i="11"/>
  <c r="G19" i="11"/>
  <c r="G39" i="13"/>
  <c r="G24" i="11"/>
  <c r="G44" i="13"/>
  <c r="G14" i="12"/>
  <c r="G54" i="12"/>
  <c r="G34" i="12"/>
  <c r="G44" i="12"/>
  <c r="G49" i="12"/>
  <c r="G39" i="12"/>
  <c r="G29" i="12"/>
  <c r="G24" i="12"/>
  <c r="G19" i="12"/>
  <c r="G58" i="11"/>
  <c r="G44" i="11"/>
  <c r="G49" i="11"/>
  <c r="G69" i="10"/>
  <c r="G59" i="10"/>
  <c r="G49" i="10"/>
  <c r="G44" i="10"/>
  <c r="G64" i="10"/>
  <c r="G74" i="10"/>
  <c r="G54" i="10"/>
  <c r="G39" i="11"/>
  <c r="H39" i="11" s="1"/>
  <c r="I39" i="11" s="1"/>
  <c r="G24" i="10"/>
  <c r="J21" i="16"/>
  <c r="J20" i="16"/>
  <c r="K35" i="16"/>
  <c r="K13" i="16"/>
  <c r="K44" i="16"/>
  <c r="K35" i="11"/>
  <c r="M24" i="24" s="1"/>
  <c r="BT32" i="11"/>
  <c r="I36" i="11"/>
  <c r="H37" i="11"/>
  <c r="I37" i="11" s="1"/>
  <c r="BT39" i="11"/>
  <c r="H38" i="11"/>
  <c r="I38" i="11" s="1"/>
  <c r="L32" i="11"/>
  <c r="H31" i="11"/>
  <c r="I31" i="11" s="1"/>
  <c r="H33" i="11"/>
  <c r="I33" i="11" s="1"/>
  <c r="BT33" i="11"/>
  <c r="X32" i="11" l="1"/>
  <c r="Q32" i="11"/>
  <c r="BG32" i="11"/>
  <c r="BI32" i="11" s="1"/>
  <c r="AZ32" i="11"/>
  <c r="BB32" i="11" s="1"/>
  <c r="AL32" i="11"/>
  <c r="AK32" i="11" s="1"/>
  <c r="BN32" i="11"/>
  <c r="J32" i="11"/>
  <c r="G59" i="12"/>
  <c r="L34" i="11"/>
  <c r="BN34" i="11"/>
  <c r="BP34" i="11" s="1"/>
  <c r="BG34" i="11"/>
  <c r="BI34" i="11" s="1"/>
  <c r="AL34" i="11"/>
  <c r="AN34" i="11" s="1"/>
  <c r="AZ34" i="11"/>
  <c r="BB34" i="11" s="1"/>
  <c r="X34" i="11"/>
  <c r="Z34" i="11" s="1"/>
  <c r="AE34" i="11"/>
  <c r="AG34" i="11" s="1"/>
  <c r="G35" i="11"/>
  <c r="AS34" i="11"/>
  <c r="AU34" i="11" s="1"/>
  <c r="AE32" i="11"/>
  <c r="H44" i="13"/>
  <c r="G45" i="13"/>
  <c r="H39" i="13"/>
  <c r="H40" i="13" s="1"/>
  <c r="I39" i="13"/>
  <c r="G40" i="13"/>
  <c r="H34" i="12"/>
  <c r="G35" i="12"/>
  <c r="H24" i="12"/>
  <c r="H25" i="12" s="1"/>
  <c r="G25" i="12"/>
  <c r="H14" i="12"/>
  <c r="G15" i="12"/>
  <c r="H54" i="11"/>
  <c r="H55" i="11" s="1"/>
  <c r="H34" i="13"/>
  <c r="G35" i="13"/>
  <c r="H39" i="12"/>
  <c r="G40" i="12"/>
  <c r="G55" i="12"/>
  <c r="H54" i="12"/>
  <c r="G20" i="12"/>
  <c r="H19" i="12"/>
  <c r="H20" i="12" s="1"/>
  <c r="H49" i="26"/>
  <c r="H29" i="12"/>
  <c r="H30" i="12" s="1"/>
  <c r="G30" i="12"/>
  <c r="G50" i="12"/>
  <c r="H49" i="12"/>
  <c r="G59" i="11"/>
  <c r="H49" i="13"/>
  <c r="G50" i="13"/>
  <c r="H44" i="12"/>
  <c r="H45" i="12" s="1"/>
  <c r="G45" i="12"/>
  <c r="G40" i="11"/>
  <c r="H49" i="11"/>
  <c r="G50" i="11"/>
  <c r="G45" i="11"/>
  <c r="H44" i="11"/>
  <c r="H74" i="10"/>
  <c r="G75" i="10"/>
  <c r="H64" i="10"/>
  <c r="H65" i="10" s="1"/>
  <c r="G65" i="10"/>
  <c r="H69" i="10"/>
  <c r="G70" i="10"/>
  <c r="BN36" i="11"/>
  <c r="X36" i="11"/>
  <c r="Z36" i="11" s="1"/>
  <c r="AS36" i="11"/>
  <c r="AZ36" i="11"/>
  <c r="BG36" i="11"/>
  <c r="Y25" i="32" s="1"/>
  <c r="BG39" i="11"/>
  <c r="BI39" i="11" s="1"/>
  <c r="AS39" i="11"/>
  <c r="AU39" i="11" s="1"/>
  <c r="BN39" i="11"/>
  <c r="AZ39" i="11"/>
  <c r="BB39" i="11" s="1"/>
  <c r="BN37" i="11"/>
  <c r="Y25" i="24" s="1"/>
  <c r="X37" i="11"/>
  <c r="W37" i="11" s="1"/>
  <c r="AZ37" i="11"/>
  <c r="BB37" i="11" s="1"/>
  <c r="AS37" i="11"/>
  <c r="AU37" i="11" s="1"/>
  <c r="BG37" i="11"/>
  <c r="BI37" i="11" s="1"/>
  <c r="AS33" i="11"/>
  <c r="AU33" i="11" s="1"/>
  <c r="BG33" i="11"/>
  <c r="BI33" i="11" s="1"/>
  <c r="AZ33" i="11"/>
  <c r="BB33" i="11" s="1"/>
  <c r="AE33" i="11"/>
  <c r="X33" i="11"/>
  <c r="AL33" i="11"/>
  <c r="AL31" i="11"/>
  <c r="AZ31" i="11"/>
  <c r="AS31" i="11"/>
  <c r="Z31" i="11"/>
  <c r="AE31" i="11"/>
  <c r="U24" i="32" s="1"/>
  <c r="S24" i="32" s="1"/>
  <c r="BG31" i="11"/>
  <c r="BN38" i="11"/>
  <c r="BP38" i="11" s="1"/>
  <c r="AZ38" i="11"/>
  <c r="BB38" i="11" s="1"/>
  <c r="X38" i="11"/>
  <c r="Z38" i="11" s="1"/>
  <c r="AS38" i="11"/>
  <c r="AU38" i="11" s="1"/>
  <c r="BG38" i="11"/>
  <c r="BI38" i="11" s="1"/>
  <c r="K47" i="16"/>
  <c r="K46" i="16" s="1"/>
  <c r="BN31" i="11"/>
  <c r="Q38" i="11"/>
  <c r="AE38" i="11"/>
  <c r="Q37" i="11"/>
  <c r="S37" i="11" s="1"/>
  <c r="AE37" i="11"/>
  <c r="AE36" i="11"/>
  <c r="U25" i="32" s="1"/>
  <c r="S25" i="32" s="1"/>
  <c r="Q33" i="11"/>
  <c r="Q35" i="11" s="1"/>
  <c r="BN33" i="11"/>
  <c r="V20" i="16" s="1"/>
  <c r="L39" i="11"/>
  <c r="AL39" i="11"/>
  <c r="AK39" i="11" s="1"/>
  <c r="J39" i="11"/>
  <c r="AL37" i="11"/>
  <c r="AN37" i="11" s="1"/>
  <c r="H40" i="11"/>
  <c r="AL38" i="11"/>
  <c r="AN38" i="11" s="1"/>
  <c r="AL36" i="11"/>
  <c r="I40" i="11"/>
  <c r="L36" i="11"/>
  <c r="J36" i="11"/>
  <c r="L33" i="11"/>
  <c r="J33" i="11"/>
  <c r="J31" i="11"/>
  <c r="L31" i="11"/>
  <c r="I35" i="11"/>
  <c r="J35" i="11" s="1"/>
  <c r="P32" i="11"/>
  <c r="S32" i="11"/>
  <c r="H35" i="11"/>
  <c r="AN32" i="11"/>
  <c r="Z32" i="11"/>
  <c r="W32" i="11"/>
  <c r="BP32" i="11"/>
  <c r="BM32" i="11"/>
  <c r="AG32" i="11"/>
  <c r="AD32" i="11"/>
  <c r="AK34" i="11" l="1"/>
  <c r="BS32" i="11"/>
  <c r="Y24" i="24"/>
  <c r="AD38" i="11"/>
  <c r="AF38" i="11"/>
  <c r="Y24" i="32"/>
  <c r="BM34" i="11"/>
  <c r="M40" i="11"/>
  <c r="AF37" i="11"/>
  <c r="I24" i="32"/>
  <c r="AA24" i="32"/>
  <c r="AB24" i="32"/>
  <c r="AB25" i="32"/>
  <c r="I25" i="32"/>
  <c r="AA25" i="32"/>
  <c r="I44" i="12"/>
  <c r="I29" i="12"/>
  <c r="L29" i="12" s="1"/>
  <c r="L30" i="12" s="1"/>
  <c r="I54" i="11"/>
  <c r="I55" i="11" s="1"/>
  <c r="J55" i="11" s="1"/>
  <c r="BS34" i="11"/>
  <c r="I19" i="12"/>
  <c r="I49" i="26"/>
  <c r="H50" i="26"/>
  <c r="I14" i="12"/>
  <c r="H15" i="12"/>
  <c r="BG44" i="12"/>
  <c r="Q44" i="12"/>
  <c r="BN44" i="12"/>
  <c r="I45" i="12"/>
  <c r="J45" i="12" s="1"/>
  <c r="X44" i="12"/>
  <c r="AZ44" i="12"/>
  <c r="AE44" i="12"/>
  <c r="AL44" i="12"/>
  <c r="AS44" i="12"/>
  <c r="J44" i="12"/>
  <c r="L44" i="12"/>
  <c r="L45" i="12" s="1"/>
  <c r="I24" i="12"/>
  <c r="L19" i="12"/>
  <c r="I54" i="12"/>
  <c r="H55" i="12"/>
  <c r="I49" i="13"/>
  <c r="H50" i="13"/>
  <c r="I34" i="12"/>
  <c r="H35" i="12"/>
  <c r="I39" i="12"/>
  <c r="H40" i="12"/>
  <c r="J39" i="13"/>
  <c r="AZ39" i="13"/>
  <c r="Q39" i="13"/>
  <c r="BG39" i="13"/>
  <c r="I40" i="13"/>
  <c r="J40" i="13" s="1"/>
  <c r="AL39" i="13"/>
  <c r="AE39" i="13"/>
  <c r="L39" i="13"/>
  <c r="L40" i="13" s="1"/>
  <c r="BN39" i="13"/>
  <c r="AS39" i="13"/>
  <c r="X39" i="13"/>
  <c r="I64" i="10"/>
  <c r="Q64" i="10" s="1"/>
  <c r="M35" i="11"/>
  <c r="I34" i="13"/>
  <c r="H35" i="13"/>
  <c r="BG29" i="12"/>
  <c r="BN29" i="12"/>
  <c r="AE29" i="12"/>
  <c r="AZ29" i="12"/>
  <c r="AL29" i="12"/>
  <c r="AS29" i="12"/>
  <c r="J29" i="12"/>
  <c r="I30" i="12"/>
  <c r="L54" i="11"/>
  <c r="L55" i="11" s="1"/>
  <c r="X54" i="11"/>
  <c r="Q54" i="11"/>
  <c r="J54" i="11"/>
  <c r="I49" i="12"/>
  <c r="H50" i="12"/>
  <c r="I44" i="13"/>
  <c r="H45" i="13"/>
  <c r="I69" i="10"/>
  <c r="H70" i="10"/>
  <c r="I74" i="10"/>
  <c r="H75" i="10"/>
  <c r="I44" i="11"/>
  <c r="H45" i="11"/>
  <c r="R20" i="16"/>
  <c r="P20" i="16" s="1"/>
  <c r="I49" i="11"/>
  <c r="H50" i="11"/>
  <c r="G24" i="24"/>
  <c r="H7" i="20"/>
  <c r="AA24" i="24"/>
  <c r="V21" i="16"/>
  <c r="BS39" i="11"/>
  <c r="X35" i="11"/>
  <c r="Z35" i="11" s="1"/>
  <c r="AN39" i="11"/>
  <c r="O21" i="16"/>
  <c r="BM38" i="11"/>
  <c r="BP37" i="11"/>
  <c r="AD37" i="11"/>
  <c r="R21" i="16"/>
  <c r="O20" i="16"/>
  <c r="BS38" i="11"/>
  <c r="AG38" i="11"/>
  <c r="AK38" i="11"/>
  <c r="Z37" i="11"/>
  <c r="AK37" i="11"/>
  <c r="BM39" i="11"/>
  <c r="BP39" i="11"/>
  <c r="P37" i="11"/>
  <c r="BS37" i="11"/>
  <c r="BM37" i="11"/>
  <c r="Q40" i="11"/>
  <c r="P40" i="11" s="1"/>
  <c r="P38" i="11"/>
  <c r="S38" i="11"/>
  <c r="BU37" i="11"/>
  <c r="W38" i="11"/>
  <c r="X40" i="11"/>
  <c r="Z40" i="11" s="1"/>
  <c r="L35" i="11"/>
  <c r="BB36" i="11"/>
  <c r="AZ40" i="11"/>
  <c r="AY36" i="11"/>
  <c r="AS40" i="11"/>
  <c r="AU36" i="11"/>
  <c r="AR36" i="11"/>
  <c r="BG40" i="11"/>
  <c r="BI36" i="11"/>
  <c r="BF36" i="11"/>
  <c r="AE40" i="11"/>
  <c r="BS36" i="11"/>
  <c r="AG36" i="11"/>
  <c r="AD36" i="11"/>
  <c r="BP36" i="11"/>
  <c r="BN40" i="11"/>
  <c r="BM36" i="11"/>
  <c r="AL40" i="11"/>
  <c r="AK36" i="11"/>
  <c r="AN36" i="11"/>
  <c r="BI31" i="11"/>
  <c r="BG35" i="11"/>
  <c r="BF31" i="11"/>
  <c r="AZ35" i="11"/>
  <c r="AY31" i="11"/>
  <c r="BB31" i="11"/>
  <c r="BP31" i="11"/>
  <c r="BN35" i="11"/>
  <c r="BM31" i="11"/>
  <c r="AN31" i="11"/>
  <c r="AL35" i="11"/>
  <c r="AK31" i="11"/>
  <c r="AD33" i="11"/>
  <c r="AG33" i="11"/>
  <c r="BS33" i="11"/>
  <c r="S33" i="11"/>
  <c r="P33" i="11"/>
  <c r="AN33" i="11"/>
  <c r="AK33" i="11"/>
  <c r="AU31" i="11"/>
  <c r="AS35" i="11"/>
  <c r="AR31" i="11"/>
  <c r="BS31" i="11"/>
  <c r="AG31" i="11"/>
  <c r="AD31" i="11"/>
  <c r="AE35" i="11"/>
  <c r="S35" i="11"/>
  <c r="P35" i="11"/>
  <c r="BP33" i="11"/>
  <c r="BM33" i="11"/>
  <c r="BU32" i="11"/>
  <c r="W33" i="11"/>
  <c r="Z33" i="11"/>
  <c r="T31" i="31" l="1"/>
  <c r="AF57" i="11"/>
  <c r="K37" i="11"/>
  <c r="AF40" i="11"/>
  <c r="AG40" i="11" s="1"/>
  <c r="AG37" i="11"/>
  <c r="AF58" i="11"/>
  <c r="K38" i="11"/>
  <c r="J19" i="12"/>
  <c r="I20" i="12"/>
  <c r="J20" i="12" s="1"/>
  <c r="Q19" i="12"/>
  <c r="S19" i="12" s="1"/>
  <c r="L64" i="10"/>
  <c r="L65" i="10" s="1"/>
  <c r="J64" i="10"/>
  <c r="AL64" i="10"/>
  <c r="BG55" i="11"/>
  <c r="AS55" i="11"/>
  <c r="AS64" i="10"/>
  <c r="AS65" i="10" s="1"/>
  <c r="AU65" i="10" s="1"/>
  <c r="AZ55" i="11"/>
  <c r="BI29" i="12"/>
  <c r="BG30" i="12"/>
  <c r="J54" i="12"/>
  <c r="AZ54" i="12"/>
  <c r="AS54" i="12"/>
  <c r="AL54" i="12"/>
  <c r="I55" i="12"/>
  <c r="J55" i="12" s="1"/>
  <c r="AE54" i="12"/>
  <c r="L54" i="12"/>
  <c r="L55" i="12" s="1"/>
  <c r="X54" i="12"/>
  <c r="BN54" i="12"/>
  <c r="Q54" i="12"/>
  <c r="BG54" i="12"/>
  <c r="X64" i="10"/>
  <c r="X65" i="10" s="1"/>
  <c r="Z65" i="10" s="1"/>
  <c r="AL55" i="11"/>
  <c r="AU44" i="12"/>
  <c r="AS45" i="12"/>
  <c r="I65" i="10"/>
  <c r="J65" i="10" s="1"/>
  <c r="Z54" i="11"/>
  <c r="X55" i="11"/>
  <c r="Q34" i="13"/>
  <c r="AZ34" i="13"/>
  <c r="AL34" i="13"/>
  <c r="BN34" i="13"/>
  <c r="X34" i="13"/>
  <c r="AS34" i="13"/>
  <c r="AE34" i="13"/>
  <c r="BG34" i="13"/>
  <c r="J34" i="13"/>
  <c r="L34" i="13"/>
  <c r="L35" i="13" s="1"/>
  <c r="I35" i="13"/>
  <c r="J35" i="13" s="1"/>
  <c r="AL45" i="12"/>
  <c r="AN44" i="12"/>
  <c r="AK44" i="12"/>
  <c r="BN55" i="11"/>
  <c r="AG44" i="12"/>
  <c r="AE45" i="12"/>
  <c r="BB44" i="12"/>
  <c r="AZ45" i="12"/>
  <c r="Z39" i="13"/>
  <c r="W39" i="13"/>
  <c r="X40" i="13"/>
  <c r="Z44" i="12"/>
  <c r="X45" i="12"/>
  <c r="AZ64" i="10"/>
  <c r="AZ65" i="10" s="1"/>
  <c r="BB65" i="10" s="1"/>
  <c r="AE55" i="11"/>
  <c r="AU39" i="13"/>
  <c r="AR39" i="13"/>
  <c r="AS40" i="13"/>
  <c r="BP39" i="13"/>
  <c r="BM39" i="13"/>
  <c r="BN40" i="13"/>
  <c r="BM44" i="12"/>
  <c r="BP44" i="12"/>
  <c r="BN45" i="12"/>
  <c r="Q45" i="12"/>
  <c r="BS44" i="12"/>
  <c r="S44" i="12"/>
  <c r="AE40" i="13"/>
  <c r="AD39" i="13"/>
  <c r="AG39" i="13"/>
  <c r="BI44" i="12"/>
  <c r="BG45" i="12"/>
  <c r="AE64" i="10"/>
  <c r="AE65" i="10" s="1"/>
  <c r="AG65" i="10" s="1"/>
  <c r="AN39" i="13"/>
  <c r="AK39" i="13"/>
  <c r="AL40" i="13"/>
  <c r="X39" i="12"/>
  <c r="AE39" i="12"/>
  <c r="J39" i="12"/>
  <c r="AL39" i="12"/>
  <c r="Q39" i="12"/>
  <c r="BN39" i="12"/>
  <c r="AZ39" i="12"/>
  <c r="BG39" i="12"/>
  <c r="L39" i="12"/>
  <c r="L40" i="12" s="1"/>
  <c r="AS39" i="12"/>
  <c r="I40" i="12"/>
  <c r="J40" i="12" s="1"/>
  <c r="L20" i="12"/>
  <c r="BG44" i="13"/>
  <c r="AS44" i="13"/>
  <c r="AL44" i="13"/>
  <c r="Q44" i="13"/>
  <c r="AE44" i="13"/>
  <c r="BN44" i="13"/>
  <c r="X44" i="13"/>
  <c r="AZ44" i="13"/>
  <c r="L44" i="13"/>
  <c r="L45" i="13" s="1"/>
  <c r="J44" i="13"/>
  <c r="I45" i="13"/>
  <c r="J45" i="13" s="1"/>
  <c r="AK29" i="12"/>
  <c r="AN29" i="12"/>
  <c r="AL30" i="12"/>
  <c r="Q14" i="12"/>
  <c r="AZ14" i="12"/>
  <c r="L14" i="12"/>
  <c r="L15" i="12" s="1"/>
  <c r="BN14" i="12"/>
  <c r="AL14" i="12"/>
  <c r="J14" i="12"/>
  <c r="AS14" i="12"/>
  <c r="BG14" i="12"/>
  <c r="BG59" i="12" s="1"/>
  <c r="X14" i="12"/>
  <c r="X59" i="12" s="1"/>
  <c r="AE14" i="12"/>
  <c r="I15" i="12"/>
  <c r="J15" i="12" s="1"/>
  <c r="X34" i="12"/>
  <c r="AL34" i="12"/>
  <c r="AS34" i="12"/>
  <c r="J34" i="12"/>
  <c r="AE34" i="12"/>
  <c r="AZ34" i="12"/>
  <c r="BG34" i="12"/>
  <c r="L34" i="12"/>
  <c r="L35" i="12" s="1"/>
  <c r="BN34" i="12"/>
  <c r="Q34" i="12"/>
  <c r="I35" i="12"/>
  <c r="J35" i="12" s="1"/>
  <c r="J30" i="12"/>
  <c r="W30" i="12"/>
  <c r="P30" i="12"/>
  <c r="AU29" i="12"/>
  <c r="AS30" i="12"/>
  <c r="AL49" i="12"/>
  <c r="Q49" i="12"/>
  <c r="AE49" i="12"/>
  <c r="BN49" i="12"/>
  <c r="X49" i="12"/>
  <c r="AS49" i="12"/>
  <c r="L49" i="12"/>
  <c r="L50" i="12" s="1"/>
  <c r="BG49" i="12"/>
  <c r="J49" i="12"/>
  <c r="AZ49" i="12"/>
  <c r="I50" i="12"/>
  <c r="J50" i="12" s="1"/>
  <c r="BB29" i="12"/>
  <c r="AZ30" i="12"/>
  <c r="L24" i="12"/>
  <c r="L25" i="12" s="1"/>
  <c r="I25" i="12"/>
  <c r="J25" i="12" s="1"/>
  <c r="J24" i="12"/>
  <c r="Q24" i="12"/>
  <c r="AG29" i="12"/>
  <c r="BS29" i="12"/>
  <c r="AE30" i="12"/>
  <c r="Q40" i="13"/>
  <c r="P39" i="13"/>
  <c r="S39" i="13"/>
  <c r="BS39" i="13"/>
  <c r="J49" i="26"/>
  <c r="J50" i="26" s="1"/>
  <c r="K50" i="26" s="1"/>
  <c r="I50" i="26"/>
  <c r="BI39" i="13"/>
  <c r="BF39" i="13"/>
  <c r="BG40" i="13"/>
  <c r="BG64" i="10"/>
  <c r="BG65" i="10" s="1"/>
  <c r="BI65" i="10" s="1"/>
  <c r="AZ40" i="13"/>
  <c r="BB39" i="13"/>
  <c r="AY39" i="13"/>
  <c r="AS49" i="13"/>
  <c r="AE49" i="13"/>
  <c r="BN49" i="13"/>
  <c r="X49" i="13"/>
  <c r="BG49" i="13"/>
  <c r="P49" i="13"/>
  <c r="AL49" i="13"/>
  <c r="L49" i="13"/>
  <c r="L50" i="13" s="1"/>
  <c r="AZ49" i="13"/>
  <c r="J49" i="13"/>
  <c r="I50" i="13"/>
  <c r="J50" i="13" s="1"/>
  <c r="BN64" i="10"/>
  <c r="BM64" i="10" s="1"/>
  <c r="BS54" i="11"/>
  <c r="Q55" i="11"/>
  <c r="S54" i="11"/>
  <c r="BM29" i="12"/>
  <c r="BP29" i="12"/>
  <c r="BN30" i="12"/>
  <c r="J69" i="10"/>
  <c r="AE69" i="10"/>
  <c r="AE70" i="10" s="1"/>
  <c r="BN69" i="10"/>
  <c r="AL69" i="10"/>
  <c r="AL70" i="10" s="1"/>
  <c r="Q69" i="10"/>
  <c r="X69" i="10"/>
  <c r="X70" i="10" s="1"/>
  <c r="L69" i="10"/>
  <c r="L70" i="10" s="1"/>
  <c r="AS69" i="10"/>
  <c r="AS70" i="10" s="1"/>
  <c r="BG69" i="10"/>
  <c r="BG70" i="10" s="1"/>
  <c r="AZ69" i="10"/>
  <c r="AZ70" i="10" s="1"/>
  <c r="I70" i="10"/>
  <c r="J70" i="10" s="1"/>
  <c r="Q65" i="10"/>
  <c r="X49" i="11"/>
  <c r="AS49" i="11"/>
  <c r="AE49" i="11"/>
  <c r="AL49" i="11"/>
  <c r="AZ49" i="11"/>
  <c r="L49" i="11"/>
  <c r="L50" i="11" s="1"/>
  <c r="BN49" i="11"/>
  <c r="BG49" i="11"/>
  <c r="J49" i="11"/>
  <c r="Q49" i="11"/>
  <c r="I50" i="11"/>
  <c r="J50" i="11" s="1"/>
  <c r="AZ44" i="11"/>
  <c r="L44" i="11"/>
  <c r="L45" i="11" s="1"/>
  <c r="J44" i="11"/>
  <c r="I45" i="11"/>
  <c r="J45" i="11" s="1"/>
  <c r="X44" i="11"/>
  <c r="AE44" i="11"/>
  <c r="BG44" i="11"/>
  <c r="AL44" i="11"/>
  <c r="Q44" i="11"/>
  <c r="AS44" i="11"/>
  <c r="BN44" i="11"/>
  <c r="AS74" i="10"/>
  <c r="AS75" i="10" s="1"/>
  <c r="Q74" i="10"/>
  <c r="BG74" i="10"/>
  <c r="BG75" i="10" s="1"/>
  <c r="AZ74" i="10"/>
  <c r="AZ75" i="10" s="1"/>
  <c r="BN74" i="10"/>
  <c r="AL74" i="10"/>
  <c r="AL75" i="10" s="1"/>
  <c r="AE74" i="10"/>
  <c r="AE75" i="10" s="1"/>
  <c r="X74" i="10"/>
  <c r="X75" i="10" s="1"/>
  <c r="J74" i="10"/>
  <c r="L74" i="10"/>
  <c r="L75" i="10" s="1"/>
  <c r="I75" i="10"/>
  <c r="J75" i="10" s="1"/>
  <c r="G25" i="24"/>
  <c r="I25" i="24"/>
  <c r="W35" i="11"/>
  <c r="AB24" i="24"/>
  <c r="I24" i="24"/>
  <c r="R31" i="16"/>
  <c r="R30" i="16" s="1"/>
  <c r="P21" i="16"/>
  <c r="P31" i="16" s="1"/>
  <c r="G20" i="16"/>
  <c r="I20" i="16"/>
  <c r="X20" i="16" s="1"/>
  <c r="G21" i="16"/>
  <c r="I21" i="16"/>
  <c r="X21" i="16" s="1"/>
  <c r="S40" i="11"/>
  <c r="W40" i="11"/>
  <c r="AD40" i="11"/>
  <c r="BI40" i="11"/>
  <c r="BF40" i="11"/>
  <c r="AU40" i="11"/>
  <c r="AR40" i="11"/>
  <c r="AY40" i="11"/>
  <c r="BB40" i="11"/>
  <c r="AK40" i="11"/>
  <c r="AN40" i="11"/>
  <c r="BM40" i="11"/>
  <c r="BP40" i="11"/>
  <c r="AN35" i="11"/>
  <c r="AK35" i="11"/>
  <c r="AG35" i="11"/>
  <c r="AD35" i="11"/>
  <c r="BP35" i="11"/>
  <c r="BM35" i="11"/>
  <c r="AU35" i="11"/>
  <c r="AR35" i="11"/>
  <c r="BB35" i="11"/>
  <c r="AY35" i="11"/>
  <c r="BF35" i="11"/>
  <c r="BI35" i="11"/>
  <c r="BT38" i="11" l="1"/>
  <c r="J38" i="11"/>
  <c r="L38" i="11"/>
  <c r="BT37" i="11"/>
  <c r="K40" i="11"/>
  <c r="L37" i="11"/>
  <c r="J37" i="11"/>
  <c r="AF60" i="11"/>
  <c r="T8" i="31"/>
  <c r="K31" i="31"/>
  <c r="BN59" i="12"/>
  <c r="AL59" i="12"/>
  <c r="Q59" i="12"/>
  <c r="AZ59" i="12"/>
  <c r="AS59" i="12"/>
  <c r="AE59" i="12"/>
  <c r="AB50" i="24"/>
  <c r="I50" i="24"/>
  <c r="G50" i="24"/>
  <c r="Q20" i="12"/>
  <c r="P20" i="12" s="1"/>
  <c r="AG59" i="12"/>
  <c r="AE60" i="12"/>
  <c r="AG60" i="12" s="1"/>
  <c r="Z59" i="12"/>
  <c r="X60" i="12"/>
  <c r="Z60" i="12" s="1"/>
  <c r="Q60" i="12"/>
  <c r="AS15" i="12"/>
  <c r="AU15" i="12" s="1"/>
  <c r="BP64" i="10"/>
  <c r="BN65" i="10"/>
  <c r="AM49" i="26"/>
  <c r="AM50" i="26" s="1"/>
  <c r="R49" i="26"/>
  <c r="R50" i="26" s="1"/>
  <c r="BO49" i="26"/>
  <c r="BO50" i="26" s="1"/>
  <c r="BS19" i="12"/>
  <c r="BF65" i="10"/>
  <c r="AY65" i="10"/>
  <c r="W65" i="10"/>
  <c r="AR65" i="10"/>
  <c r="M49" i="26"/>
  <c r="BR14" i="26"/>
  <c r="AD65" i="10"/>
  <c r="BB39" i="12"/>
  <c r="AZ40" i="12"/>
  <c r="BB34" i="13"/>
  <c r="AY34" i="13"/>
  <c r="AZ35" i="13"/>
  <c r="BA49" i="26"/>
  <c r="BA50" i="26" s="1"/>
  <c r="BI40" i="13"/>
  <c r="BF40" i="13"/>
  <c r="AU49" i="12"/>
  <c r="AS50" i="12"/>
  <c r="BB34" i="12"/>
  <c r="AZ35" i="12"/>
  <c r="BS14" i="12"/>
  <c r="S14" i="12"/>
  <c r="Q15" i="12"/>
  <c r="AN44" i="13"/>
  <c r="AK44" i="13"/>
  <c r="AL45" i="13"/>
  <c r="AN40" i="13"/>
  <c r="AK40" i="13"/>
  <c r="AL55" i="12"/>
  <c r="AN54" i="12"/>
  <c r="AK54" i="12"/>
  <c r="AU54" i="12"/>
  <c r="AS55" i="12"/>
  <c r="S55" i="11"/>
  <c r="P55" i="11"/>
  <c r="BB49" i="13"/>
  <c r="BB50" i="13" s="1"/>
  <c r="AY49" i="13"/>
  <c r="AZ50" i="13"/>
  <c r="AY50" i="13" s="1"/>
  <c r="BP49" i="12"/>
  <c r="BM49" i="12"/>
  <c r="BN50" i="12"/>
  <c r="BI44" i="13"/>
  <c r="BF44" i="13"/>
  <c r="BG45" i="13"/>
  <c r="S45" i="12"/>
  <c r="P45" i="12"/>
  <c r="AR40" i="13"/>
  <c r="AU40" i="13"/>
  <c r="BB54" i="12"/>
  <c r="AZ55" i="12"/>
  <c r="BI34" i="13"/>
  <c r="BF34" i="13"/>
  <c r="BG35" i="13"/>
  <c r="W40" i="13"/>
  <c r="Z40" i="13"/>
  <c r="BH49" i="26"/>
  <c r="BH50" i="26" s="1"/>
  <c r="AG49" i="12"/>
  <c r="AE50" i="12"/>
  <c r="BP55" i="11"/>
  <c r="BM55" i="11"/>
  <c r="AY45" i="12"/>
  <c r="BB45" i="12"/>
  <c r="AG34" i="13"/>
  <c r="AD34" i="13"/>
  <c r="AE35" i="13"/>
  <c r="AK49" i="13"/>
  <c r="AN49" i="13"/>
  <c r="AN50" i="13" s="1"/>
  <c r="AL50" i="13"/>
  <c r="AK50" i="13" s="1"/>
  <c r="BS49" i="12"/>
  <c r="S49" i="12"/>
  <c r="Q50" i="12"/>
  <c r="AK34" i="12"/>
  <c r="AN34" i="12"/>
  <c r="AL35" i="12"/>
  <c r="BS64" i="10"/>
  <c r="S24" i="12"/>
  <c r="Q25" i="12"/>
  <c r="BR19" i="26"/>
  <c r="BS24" i="12"/>
  <c r="AN49" i="12"/>
  <c r="AK49" i="12"/>
  <c r="AL50" i="12"/>
  <c r="Z34" i="12"/>
  <c r="X35" i="12"/>
  <c r="AK30" i="12"/>
  <c r="AN30" i="12"/>
  <c r="BF45" i="12"/>
  <c r="BI45" i="12"/>
  <c r="BP45" i="12"/>
  <c r="BM45" i="12"/>
  <c r="AD55" i="11"/>
  <c r="AG55" i="11"/>
  <c r="AU34" i="13"/>
  <c r="AR34" i="13"/>
  <c r="AT49" i="26"/>
  <c r="AT50" i="26" s="1"/>
  <c r="AS35" i="13"/>
  <c r="W34" i="13"/>
  <c r="Z34" i="13"/>
  <c r="Y49" i="26"/>
  <c r="Y50" i="26" s="1"/>
  <c r="X35" i="13"/>
  <c r="AK55" i="11"/>
  <c r="AN55" i="11"/>
  <c r="Z49" i="12"/>
  <c r="X50" i="12"/>
  <c r="BF49" i="13"/>
  <c r="BI49" i="13"/>
  <c r="BI50" i="13" s="1"/>
  <c r="BG50" i="13"/>
  <c r="BF50" i="13" s="1"/>
  <c r="AU30" i="12"/>
  <c r="AR30" i="12"/>
  <c r="AU39" i="12"/>
  <c r="AS40" i="12"/>
  <c r="W49" i="13"/>
  <c r="BS49" i="13"/>
  <c r="Z49" i="13"/>
  <c r="X50" i="13"/>
  <c r="AG14" i="12"/>
  <c r="AE15" i="12"/>
  <c r="BP34" i="13"/>
  <c r="BM34" i="13"/>
  <c r="BN35" i="13"/>
  <c r="BF30" i="12"/>
  <c r="BI30" i="12"/>
  <c r="AU34" i="12"/>
  <c r="AS35" i="12"/>
  <c r="BP49" i="13"/>
  <c r="BP50" i="13" s="1"/>
  <c r="BM49" i="13"/>
  <c r="BN50" i="13"/>
  <c r="BM50" i="13" s="1"/>
  <c r="Z14" i="12"/>
  <c r="X15" i="12"/>
  <c r="BI39" i="12"/>
  <c r="BG40" i="12"/>
  <c r="Z45" i="12"/>
  <c r="W45" i="12"/>
  <c r="AN45" i="12"/>
  <c r="AK45" i="12"/>
  <c r="AN34" i="13"/>
  <c r="AK34" i="13"/>
  <c r="AL35" i="13"/>
  <c r="P40" i="13"/>
  <c r="S40" i="13"/>
  <c r="BI14" i="12"/>
  <c r="BG15" i="12"/>
  <c r="BI54" i="12"/>
  <c r="BG55" i="12"/>
  <c r="BB55" i="11"/>
  <c r="AY55" i="11"/>
  <c r="AU49" i="13"/>
  <c r="AU50" i="13" s="1"/>
  <c r="AR49" i="13"/>
  <c r="AS50" i="13"/>
  <c r="AR50" i="13" s="1"/>
  <c r="BP39" i="12"/>
  <c r="BM39" i="12"/>
  <c r="BN40" i="12"/>
  <c r="P34" i="13"/>
  <c r="S34" i="13"/>
  <c r="BS34" i="13"/>
  <c r="Q35" i="13"/>
  <c r="Q55" i="12"/>
  <c r="BS54" i="12"/>
  <c r="S54" i="12"/>
  <c r="AD30" i="12"/>
  <c r="AG30" i="12"/>
  <c r="BB44" i="13"/>
  <c r="AY44" i="13"/>
  <c r="AZ45" i="13"/>
  <c r="S39" i="12"/>
  <c r="BS39" i="12"/>
  <c r="Q40" i="12"/>
  <c r="AD45" i="12"/>
  <c r="AG45" i="12"/>
  <c r="W55" i="11"/>
  <c r="Z55" i="11"/>
  <c r="BM54" i="12"/>
  <c r="BN55" i="12"/>
  <c r="BP54" i="12"/>
  <c r="AG34" i="12"/>
  <c r="AE35" i="12"/>
  <c r="AD49" i="13"/>
  <c r="AG49" i="13"/>
  <c r="AG50" i="13" s="1"/>
  <c r="AE50" i="13"/>
  <c r="AD50" i="13" s="1"/>
  <c r="AY30" i="12"/>
  <c r="BB30" i="12"/>
  <c r="AN14" i="12"/>
  <c r="AK14" i="12"/>
  <c r="AL15" i="12"/>
  <c r="Z44" i="13"/>
  <c r="W44" i="13"/>
  <c r="X45" i="13"/>
  <c r="AK39" i="12"/>
  <c r="AN39" i="12"/>
  <c r="AL40" i="12"/>
  <c r="Z54" i="12"/>
  <c r="X55" i="12"/>
  <c r="AR55" i="11"/>
  <c r="AU55" i="11"/>
  <c r="AU44" i="13"/>
  <c r="AR44" i="13"/>
  <c r="AS45" i="13"/>
  <c r="BB49" i="12"/>
  <c r="AZ50" i="12"/>
  <c r="BS34" i="12"/>
  <c r="S34" i="12"/>
  <c r="Q35" i="12"/>
  <c r="AY40" i="13"/>
  <c r="BB40" i="13"/>
  <c r="BP34" i="12"/>
  <c r="BM34" i="12"/>
  <c r="BN35" i="12"/>
  <c r="BM14" i="12"/>
  <c r="BP14" i="12"/>
  <c r="BN15" i="12"/>
  <c r="BM44" i="13"/>
  <c r="BP44" i="13"/>
  <c r="BN45" i="13"/>
  <c r="AD44" i="13"/>
  <c r="AG44" i="13"/>
  <c r="AE45" i="13"/>
  <c r="AG39" i="12"/>
  <c r="AE40" i="12"/>
  <c r="AD40" i="13"/>
  <c r="AG40" i="13"/>
  <c r="BP40" i="13"/>
  <c r="BM40" i="13"/>
  <c r="AU45" i="12"/>
  <c r="AR45" i="12"/>
  <c r="AG54" i="12"/>
  <c r="AE55" i="12"/>
  <c r="BF55" i="11"/>
  <c r="BI55" i="11"/>
  <c r="BP30" i="12"/>
  <c r="BM30" i="12"/>
  <c r="BI49" i="12"/>
  <c r="BG50" i="12"/>
  <c r="BI34" i="12"/>
  <c r="BG35" i="12"/>
  <c r="BB14" i="12"/>
  <c r="AZ15" i="12"/>
  <c r="BS44" i="13"/>
  <c r="P44" i="13"/>
  <c r="S44" i="13"/>
  <c r="Q45" i="13"/>
  <c r="Z39" i="12"/>
  <c r="X40" i="12"/>
  <c r="AF49" i="26"/>
  <c r="AF50" i="26" s="1"/>
  <c r="BB44" i="11"/>
  <c r="AZ45" i="11"/>
  <c r="BB70" i="10"/>
  <c r="AY70" i="10"/>
  <c r="BP65" i="10"/>
  <c r="BM65" i="10"/>
  <c r="BI49" i="11"/>
  <c r="BG50" i="11"/>
  <c r="BI70" i="10"/>
  <c r="BF70" i="10"/>
  <c r="BP49" i="11"/>
  <c r="BM49" i="11"/>
  <c r="BN50" i="11"/>
  <c r="AR70" i="10"/>
  <c r="AU70" i="10"/>
  <c r="W75" i="10"/>
  <c r="Z75" i="10"/>
  <c r="AG75" i="10"/>
  <c r="AD75" i="10"/>
  <c r="BB49" i="11"/>
  <c r="AZ50" i="11"/>
  <c r="W70" i="10"/>
  <c r="Z70" i="10"/>
  <c r="AN75" i="10"/>
  <c r="AK75" i="10"/>
  <c r="AK49" i="11"/>
  <c r="AN49" i="11"/>
  <c r="AL50" i="11"/>
  <c r="BS69" i="10"/>
  <c r="Q70" i="10"/>
  <c r="BP74" i="10"/>
  <c r="BM74" i="10"/>
  <c r="BN75" i="10"/>
  <c r="BM44" i="11"/>
  <c r="BN45" i="11"/>
  <c r="BP44" i="11"/>
  <c r="AG49" i="11"/>
  <c r="AE50" i="11"/>
  <c r="AK70" i="10"/>
  <c r="AN70" i="10"/>
  <c r="BB75" i="10"/>
  <c r="AY75" i="10"/>
  <c r="AU44" i="11"/>
  <c r="AS45" i="11"/>
  <c r="AU49" i="11"/>
  <c r="AS50" i="11"/>
  <c r="BM69" i="10"/>
  <c r="BP69" i="10"/>
  <c r="BN70" i="10"/>
  <c r="BF75" i="10"/>
  <c r="BI75" i="10"/>
  <c r="S44" i="11"/>
  <c r="BS44" i="11"/>
  <c r="Q45" i="11"/>
  <c r="Z49" i="11"/>
  <c r="X50" i="11"/>
  <c r="AG70" i="10"/>
  <c r="AD70" i="10"/>
  <c r="BS74" i="10"/>
  <c r="Q75" i="10"/>
  <c r="AN44" i="11"/>
  <c r="AK44" i="11"/>
  <c r="AL45" i="11"/>
  <c r="AU75" i="10"/>
  <c r="AR75" i="10"/>
  <c r="BI44" i="11"/>
  <c r="BG45" i="11"/>
  <c r="P65" i="10"/>
  <c r="S65" i="10"/>
  <c r="Z44" i="11"/>
  <c r="X45" i="11"/>
  <c r="AG44" i="11"/>
  <c r="S49" i="11"/>
  <c r="BS49" i="11"/>
  <c r="Q50" i="11"/>
  <c r="P30" i="16"/>
  <c r="M18" i="15" s="1"/>
  <c r="BO60" i="10"/>
  <c r="BH60" i="10"/>
  <c r="BA60" i="10"/>
  <c r="AT60" i="10"/>
  <c r="AM60" i="10"/>
  <c r="AF60" i="10"/>
  <c r="Y60" i="10"/>
  <c r="K59" i="10"/>
  <c r="BT59" i="10" s="1"/>
  <c r="H59" i="10"/>
  <c r="I59" i="10" s="1"/>
  <c r="X59" i="10" s="1"/>
  <c r="H58" i="10"/>
  <c r="I58" i="10" s="1"/>
  <c r="X58" i="10" s="1"/>
  <c r="BD56" i="10"/>
  <c r="K56" i="10"/>
  <c r="BT56" i="10" s="1"/>
  <c r="G60" i="10"/>
  <c r="BH55" i="10"/>
  <c r="BA55" i="10"/>
  <c r="AT55" i="10"/>
  <c r="AM55" i="10"/>
  <c r="AF55" i="10"/>
  <c r="Y55" i="10"/>
  <c r="K54" i="10"/>
  <c r="BT54" i="10" s="1"/>
  <c r="BD51" i="10"/>
  <c r="AW51" i="10" s="1"/>
  <c r="K51" i="10"/>
  <c r="BT51" i="10" s="1"/>
  <c r="G55" i="10"/>
  <c r="L40" i="11" l="1"/>
  <c r="M25" i="24"/>
  <c r="J40" i="11"/>
  <c r="I31" i="31"/>
  <c r="K8" i="31"/>
  <c r="AW56" i="10"/>
  <c r="AP56" i="10" s="1"/>
  <c r="AI56" i="10" s="1"/>
  <c r="AB56" i="10" s="1"/>
  <c r="P13" i="32" s="1"/>
  <c r="S20" i="12"/>
  <c r="AR15" i="12"/>
  <c r="Q54" i="24"/>
  <c r="Q53" i="24" s="1"/>
  <c r="AB51" i="24"/>
  <c r="I51" i="24"/>
  <c r="G51" i="24"/>
  <c r="AB52" i="24"/>
  <c r="G52" i="24"/>
  <c r="I52" i="24"/>
  <c r="AB48" i="24"/>
  <c r="I48" i="24"/>
  <c r="G48" i="24"/>
  <c r="AB49" i="24"/>
  <c r="I49" i="24"/>
  <c r="G49" i="24"/>
  <c r="AU59" i="12"/>
  <c r="AS60" i="12"/>
  <c r="AU60" i="12" s="1"/>
  <c r="BI59" i="12"/>
  <c r="BG60" i="12"/>
  <c r="BI60" i="12" s="1"/>
  <c r="BB59" i="12"/>
  <c r="AZ60" i="12"/>
  <c r="BB60" i="12" s="1"/>
  <c r="BP59" i="12"/>
  <c r="BN60" i="12"/>
  <c r="BP60" i="12" s="1"/>
  <c r="AN59" i="12"/>
  <c r="AL60" i="12"/>
  <c r="AN60" i="12" s="1"/>
  <c r="AL49" i="26"/>
  <c r="AK49" i="26" s="1"/>
  <c r="AS49" i="26"/>
  <c r="AU49" i="26" s="1"/>
  <c r="Q49" i="26"/>
  <c r="S49" i="26" s="1"/>
  <c r="BG49" i="26"/>
  <c r="BI49" i="26" s="1"/>
  <c r="BN49" i="26"/>
  <c r="BN50" i="26" s="1"/>
  <c r="AE49" i="26"/>
  <c r="AD49" i="26" s="1"/>
  <c r="X49" i="26"/>
  <c r="Z49" i="26" s="1"/>
  <c r="P45" i="13"/>
  <c r="S45" i="13"/>
  <c r="AD45" i="13"/>
  <c r="AG45" i="13"/>
  <c r="BP35" i="13"/>
  <c r="BM35" i="13"/>
  <c r="BB55" i="12"/>
  <c r="AY55" i="12"/>
  <c r="AN45" i="13"/>
  <c r="AK45" i="13"/>
  <c r="S50" i="12"/>
  <c r="P50" i="12"/>
  <c r="BI55" i="12"/>
  <c r="BF55" i="12"/>
  <c r="BI40" i="12"/>
  <c r="BF40" i="12"/>
  <c r="P40" i="12"/>
  <c r="S40" i="12"/>
  <c r="BM40" i="12"/>
  <c r="BP40" i="12"/>
  <c r="Z35" i="13"/>
  <c r="W35" i="13"/>
  <c r="Z55" i="12"/>
  <c r="W55" i="12"/>
  <c r="BI15" i="12"/>
  <c r="BF15" i="12"/>
  <c r="Z15" i="12"/>
  <c r="W15" i="12"/>
  <c r="AR40" i="12"/>
  <c r="AU40" i="12"/>
  <c r="S15" i="12"/>
  <c r="P15" i="12"/>
  <c r="AY15" i="12"/>
  <c r="BB15" i="12"/>
  <c r="AG55" i="12"/>
  <c r="AD55" i="12"/>
  <c r="Z35" i="12"/>
  <c r="W35" i="12"/>
  <c r="BB35" i="13"/>
  <c r="AY35" i="13"/>
  <c r="AZ49" i="26"/>
  <c r="BB35" i="12"/>
  <c r="AY35" i="12"/>
  <c r="AK35" i="13"/>
  <c r="AN35" i="13"/>
  <c r="AR55" i="12"/>
  <c r="AU55" i="12"/>
  <c r="AY40" i="12"/>
  <c r="BB40" i="12"/>
  <c r="BM45" i="13"/>
  <c r="BP45" i="13"/>
  <c r="AG35" i="12"/>
  <c r="AD35" i="12"/>
  <c r="AG15" i="12"/>
  <c r="AD15" i="12"/>
  <c r="AK50" i="12"/>
  <c r="AN50" i="12"/>
  <c r="AG50" i="12"/>
  <c r="AD50" i="12"/>
  <c r="BB50" i="12"/>
  <c r="AY50" i="12"/>
  <c r="AK40" i="12"/>
  <c r="AN40" i="12"/>
  <c r="W50" i="13"/>
  <c r="Z50" i="13"/>
  <c r="AU35" i="13"/>
  <c r="AR35" i="13"/>
  <c r="BI45" i="13"/>
  <c r="BF45" i="13"/>
  <c r="AU50" i="12"/>
  <c r="AR50" i="12"/>
  <c r="P35" i="12"/>
  <c r="S35" i="12"/>
  <c r="AY45" i="13"/>
  <c r="BB45" i="13"/>
  <c r="BF35" i="12"/>
  <c r="BI35" i="12"/>
  <c r="BM15" i="12"/>
  <c r="BP15" i="12"/>
  <c r="P25" i="12"/>
  <c r="S25" i="12"/>
  <c r="BP55" i="12"/>
  <c r="BM55" i="12"/>
  <c r="W45" i="13"/>
  <c r="Z45" i="13"/>
  <c r="BI50" i="12"/>
  <c r="BF50" i="12"/>
  <c r="BM35" i="12"/>
  <c r="BP35" i="12"/>
  <c r="P55" i="12"/>
  <c r="S55" i="12"/>
  <c r="AR35" i="12"/>
  <c r="AU35" i="12"/>
  <c r="BP50" i="12"/>
  <c r="BM50" i="12"/>
  <c r="AK55" i="12"/>
  <c r="AN55" i="12"/>
  <c r="P35" i="13"/>
  <c r="D57" i="26"/>
  <c r="D58" i="26" s="1"/>
  <c r="S35" i="13"/>
  <c r="AD35" i="13"/>
  <c r="AG35" i="13"/>
  <c r="BF35" i="13"/>
  <c r="BI35" i="13"/>
  <c r="Z40" i="12"/>
  <c r="W40" i="12"/>
  <c r="AD40" i="12"/>
  <c r="AG40" i="12"/>
  <c r="AU45" i="13"/>
  <c r="AR45" i="13"/>
  <c r="AN15" i="12"/>
  <c r="AK15" i="12"/>
  <c r="W50" i="12"/>
  <c r="Z50" i="12"/>
  <c r="AK35" i="12"/>
  <c r="AN35" i="12"/>
  <c r="BF45" i="11"/>
  <c r="BI45" i="11"/>
  <c r="BM50" i="11"/>
  <c r="BP50" i="11"/>
  <c r="AD45" i="11"/>
  <c r="AG45" i="11"/>
  <c r="BP45" i="11"/>
  <c r="BM45" i="11"/>
  <c r="BM75" i="10"/>
  <c r="BP75" i="10"/>
  <c r="S50" i="11"/>
  <c r="P50" i="11"/>
  <c r="BM70" i="10"/>
  <c r="BP70" i="10"/>
  <c r="P70" i="10"/>
  <c r="S70" i="10"/>
  <c r="AN45" i="11"/>
  <c r="AK45" i="11"/>
  <c r="AN50" i="11"/>
  <c r="AK50" i="11"/>
  <c r="Z45" i="11"/>
  <c r="W45" i="11"/>
  <c r="S75" i="10"/>
  <c r="P75" i="10"/>
  <c r="BF50" i="11"/>
  <c r="BI50" i="11"/>
  <c r="AY45" i="11"/>
  <c r="BB45" i="11"/>
  <c r="AU50" i="11"/>
  <c r="AR50" i="11"/>
  <c r="S45" i="11"/>
  <c r="P45" i="11"/>
  <c r="Z50" i="11"/>
  <c r="W50" i="11"/>
  <c r="AY50" i="11"/>
  <c r="BB50" i="11"/>
  <c r="AU45" i="11"/>
  <c r="AR45" i="11"/>
  <c r="AG50" i="11"/>
  <c r="AD50" i="11"/>
  <c r="Q59" i="10"/>
  <c r="AS59" i="10"/>
  <c r="AZ59" i="10"/>
  <c r="BG59" i="10"/>
  <c r="AL59" i="10"/>
  <c r="AE59" i="10"/>
  <c r="BN59" i="10"/>
  <c r="Q58" i="10"/>
  <c r="AS58" i="10"/>
  <c r="AZ58" i="10"/>
  <c r="AE58" i="10"/>
  <c r="BG58" i="10"/>
  <c r="AL58" i="10"/>
  <c r="BN58" i="10"/>
  <c r="AP51" i="10"/>
  <c r="AI51" i="10" s="1"/>
  <c r="AB51" i="10" s="1"/>
  <c r="T12" i="32" s="1"/>
  <c r="L59" i="10"/>
  <c r="J59" i="10"/>
  <c r="H56" i="10"/>
  <c r="H57" i="10"/>
  <c r="I57" i="10" s="1"/>
  <c r="X57" i="10" s="1"/>
  <c r="H54" i="10"/>
  <c r="I54" i="10" s="1"/>
  <c r="H51" i="10"/>
  <c r="I51" i="10" s="1"/>
  <c r="H52" i="10"/>
  <c r="I52" i="10" s="1"/>
  <c r="H53" i="10"/>
  <c r="I53" i="10" s="1"/>
  <c r="H24" i="5"/>
  <c r="G32" i="5"/>
  <c r="E23" i="5"/>
  <c r="F23" i="5"/>
  <c r="E24" i="5"/>
  <c r="E25" i="5"/>
  <c r="F25" i="5"/>
  <c r="E26" i="5"/>
  <c r="E27" i="5"/>
  <c r="F27" i="5"/>
  <c r="E28" i="5"/>
  <c r="E29" i="5"/>
  <c r="F29" i="5"/>
  <c r="E30" i="5"/>
  <c r="BO30" i="13"/>
  <c r="BH30" i="13"/>
  <c r="BA30" i="13"/>
  <c r="AT30" i="13"/>
  <c r="AM30" i="13"/>
  <c r="AF30" i="13"/>
  <c r="Y30" i="13"/>
  <c r="K29" i="13"/>
  <c r="K54" i="13" s="1"/>
  <c r="O28" i="13"/>
  <c r="N28" i="13" s="1"/>
  <c r="N27" i="13"/>
  <c r="BD26" i="13"/>
  <c r="AW26" i="13" s="1"/>
  <c r="K26" i="13"/>
  <c r="BO25" i="13"/>
  <c r="BH25" i="13"/>
  <c r="BA25" i="13"/>
  <c r="AT25" i="13"/>
  <c r="AM25" i="13"/>
  <c r="AF25" i="13"/>
  <c r="Y25" i="13"/>
  <c r="R25" i="13"/>
  <c r="K24" i="13"/>
  <c r="BT24" i="13" s="1"/>
  <c r="K23" i="13"/>
  <c r="K22" i="13"/>
  <c r="BT22" i="13" s="1"/>
  <c r="BD21" i="13"/>
  <c r="AW21" i="13" s="1"/>
  <c r="K21" i="13"/>
  <c r="BT21" i="13" s="1"/>
  <c r="BO20" i="13"/>
  <c r="BH20" i="13"/>
  <c r="BA20" i="13"/>
  <c r="AT20" i="13"/>
  <c r="AM20" i="13"/>
  <c r="AF20" i="13"/>
  <c r="Y20" i="13"/>
  <c r="R20" i="13"/>
  <c r="K19" i="13"/>
  <c r="BT19" i="13" s="1"/>
  <c r="G19" i="13"/>
  <c r="H19" i="13" s="1"/>
  <c r="I19" i="13" s="1"/>
  <c r="N18" i="13"/>
  <c r="K18" i="13"/>
  <c r="G18" i="13"/>
  <c r="H18" i="13" s="1"/>
  <c r="I18" i="13" s="1"/>
  <c r="N17" i="13"/>
  <c r="K17" i="13"/>
  <c r="BT17" i="13" s="1"/>
  <c r="G17" i="13"/>
  <c r="BD16" i="13"/>
  <c r="AW16" i="13" s="1"/>
  <c r="K16" i="13"/>
  <c r="BT16" i="13" s="1"/>
  <c r="BO15" i="13"/>
  <c r="BH15" i="13"/>
  <c r="BA15" i="13"/>
  <c r="AT15" i="13"/>
  <c r="AM15" i="13"/>
  <c r="AF15" i="13"/>
  <c r="Y15" i="13"/>
  <c r="R15" i="13"/>
  <c r="K14" i="13"/>
  <c r="BT14" i="13" s="1"/>
  <c r="V13" i="13"/>
  <c r="U13" i="13" s="1"/>
  <c r="N13" i="13"/>
  <c r="K13" i="13"/>
  <c r="U12" i="13"/>
  <c r="N12" i="13"/>
  <c r="K12" i="13"/>
  <c r="AW11" i="13"/>
  <c r="Z11" i="13"/>
  <c r="S11" i="13"/>
  <c r="K11" i="13"/>
  <c r="D51" i="13"/>
  <c r="AV58" i="13" s="1"/>
  <c r="BO30" i="11"/>
  <c r="BH30" i="11"/>
  <c r="BA30" i="11"/>
  <c r="AT30" i="11"/>
  <c r="AM30" i="11"/>
  <c r="AF30" i="11"/>
  <c r="Y30" i="11"/>
  <c r="R30" i="11"/>
  <c r="K29" i="11"/>
  <c r="H29" i="11"/>
  <c r="I29" i="11" s="1"/>
  <c r="K28" i="11"/>
  <c r="BT28" i="11" s="1"/>
  <c r="H28" i="11"/>
  <c r="I28" i="11" s="1"/>
  <c r="K27" i="11"/>
  <c r="BD26" i="11"/>
  <c r="AW26" i="11" s="1"/>
  <c r="AP26" i="11" s="1"/>
  <c r="AI26" i="11" s="1"/>
  <c r="K26" i="11"/>
  <c r="H26" i="11"/>
  <c r="BO25" i="11"/>
  <c r="BH25" i="11"/>
  <c r="BA25" i="11"/>
  <c r="AT25" i="11"/>
  <c r="AM25" i="11"/>
  <c r="AF25" i="11"/>
  <c r="Y25" i="11"/>
  <c r="R25" i="11"/>
  <c r="H24" i="11"/>
  <c r="I24" i="11" s="1"/>
  <c r="K23" i="11"/>
  <c r="H23" i="11"/>
  <c r="K22" i="11"/>
  <c r="M22" i="24" s="1"/>
  <c r="H22" i="11"/>
  <c r="I22" i="11" s="1"/>
  <c r="BD21" i="11"/>
  <c r="AW21" i="11" s="1"/>
  <c r="AP21" i="11" s="1"/>
  <c r="AI21" i="11" s="1"/>
  <c r="K21" i="11"/>
  <c r="H21" i="11"/>
  <c r="I21" i="11" s="1"/>
  <c r="BO20" i="11"/>
  <c r="BH20" i="11"/>
  <c r="BA20" i="11"/>
  <c r="AT20" i="11"/>
  <c r="AM20" i="11"/>
  <c r="AF20" i="11"/>
  <c r="Y20" i="11"/>
  <c r="R20" i="11"/>
  <c r="J21" i="32" s="1"/>
  <c r="K19" i="11"/>
  <c r="H19" i="11"/>
  <c r="O18" i="11"/>
  <c r="N18" i="11" s="1"/>
  <c r="K18" i="11"/>
  <c r="BT18" i="11" s="1"/>
  <c r="H18" i="11"/>
  <c r="I18" i="11" s="1"/>
  <c r="N17" i="11"/>
  <c r="K17" i="11"/>
  <c r="AW16" i="11"/>
  <c r="AP16" i="11" s="1"/>
  <c r="AI16" i="11" s="1"/>
  <c r="K16" i="11"/>
  <c r="E16" i="16"/>
  <c r="B16" i="11"/>
  <c r="B21" i="11" s="1"/>
  <c r="B26" i="11" s="1"/>
  <c r="B31" i="11" s="1"/>
  <c r="B36" i="11" s="1"/>
  <c r="B41" i="11" s="1"/>
  <c r="B46" i="11" s="1"/>
  <c r="B51" i="11" s="1"/>
  <c r="BO15" i="11"/>
  <c r="BH15" i="11"/>
  <c r="BA15" i="11"/>
  <c r="AT15" i="11"/>
  <c r="AM15" i="11"/>
  <c r="AF15" i="11"/>
  <c r="Y15" i="11"/>
  <c r="K14" i="11"/>
  <c r="K13" i="11"/>
  <c r="R12" i="11"/>
  <c r="BD11" i="11"/>
  <c r="AW11" i="11" s="1"/>
  <c r="AP11" i="11" s="1"/>
  <c r="AI11" i="11" s="1"/>
  <c r="AB11" i="11" s="1"/>
  <c r="T20" i="32" s="1"/>
  <c r="K11" i="11"/>
  <c r="BO50" i="10"/>
  <c r="BH50" i="10"/>
  <c r="BA50" i="10"/>
  <c r="AT50" i="10"/>
  <c r="AM50" i="10"/>
  <c r="AF50" i="10"/>
  <c r="Y50" i="10"/>
  <c r="K49" i="10"/>
  <c r="BT49" i="10" s="1"/>
  <c r="H49" i="10"/>
  <c r="I49" i="10" s="1"/>
  <c r="BD46" i="10"/>
  <c r="AW46" i="10" s="1"/>
  <c r="S46" i="10"/>
  <c r="K46" i="10"/>
  <c r="BT46" i="10" s="1"/>
  <c r="BO45" i="10"/>
  <c r="BH45" i="10"/>
  <c r="BA45" i="10"/>
  <c r="AT45" i="10"/>
  <c r="AM45" i="10"/>
  <c r="AF45" i="10"/>
  <c r="K44" i="10"/>
  <c r="BT44" i="10" s="1"/>
  <c r="H43" i="10"/>
  <c r="I43" i="10" s="1"/>
  <c r="H42" i="10"/>
  <c r="I42" i="10" s="1"/>
  <c r="BD41" i="10"/>
  <c r="AW41" i="10" s="1"/>
  <c r="K41" i="10"/>
  <c r="BT41" i="10" s="1"/>
  <c r="BO40" i="10"/>
  <c r="BH40" i="10"/>
  <c r="BA40" i="10"/>
  <c r="AT40" i="10"/>
  <c r="AM40" i="10"/>
  <c r="AF40" i="10"/>
  <c r="Y40" i="10"/>
  <c r="K39" i="10"/>
  <c r="BT39" i="10" s="1"/>
  <c r="N37" i="10"/>
  <c r="N38" i="10" s="1"/>
  <c r="BD36" i="10"/>
  <c r="AW36" i="10" s="1"/>
  <c r="K36" i="10"/>
  <c r="BT36" i="10" s="1"/>
  <c r="D36" i="10"/>
  <c r="E9" i="34" s="1"/>
  <c r="BO35" i="10"/>
  <c r="BH35" i="10"/>
  <c r="BA35" i="10"/>
  <c r="AT35" i="10"/>
  <c r="AM35" i="10"/>
  <c r="AF35" i="10"/>
  <c r="Y35" i="10"/>
  <c r="K34" i="10"/>
  <c r="BT34" i="10" s="1"/>
  <c r="N32" i="10"/>
  <c r="N33" i="10" s="1"/>
  <c r="BD31" i="10"/>
  <c r="K31" i="10"/>
  <c r="BT31" i="10" s="1"/>
  <c r="D31" i="10"/>
  <c r="E8" i="34" s="1"/>
  <c r="BO30" i="10"/>
  <c r="BH30" i="10"/>
  <c r="BA30" i="10"/>
  <c r="AT30" i="10"/>
  <c r="AM30" i="10"/>
  <c r="AF30" i="10"/>
  <c r="Y30" i="10"/>
  <c r="R30" i="10"/>
  <c r="K29" i="10"/>
  <c r="N28" i="10"/>
  <c r="K28" i="10"/>
  <c r="BT28" i="10" s="1"/>
  <c r="N27" i="10"/>
  <c r="K27" i="10"/>
  <c r="BD26" i="10"/>
  <c r="K26" i="10"/>
  <c r="BT26" i="10" s="1"/>
  <c r="D26" i="10"/>
  <c r="E7" i="34" s="1"/>
  <c r="BO25" i="10"/>
  <c r="BH25" i="10"/>
  <c r="BA25" i="10"/>
  <c r="AT25" i="10"/>
  <c r="AM25" i="10"/>
  <c r="Y25" i="10"/>
  <c r="R25" i="10"/>
  <c r="K24" i="10"/>
  <c r="BT24" i="10" s="1"/>
  <c r="O23" i="10"/>
  <c r="N23" i="10" s="1"/>
  <c r="N22" i="10"/>
  <c r="AI21" i="10"/>
  <c r="AB21" i="10" s="1"/>
  <c r="P6" i="32" s="1"/>
  <c r="S21" i="10"/>
  <c r="K21" i="10"/>
  <c r="K86" i="10" l="1"/>
  <c r="BT86" i="10" s="1"/>
  <c r="J56" i="24"/>
  <c r="J56" i="32"/>
  <c r="J55" i="32"/>
  <c r="BT12" i="13"/>
  <c r="M55" i="24"/>
  <c r="AB21" i="11"/>
  <c r="T22" i="32" s="1"/>
  <c r="AB26" i="11"/>
  <c r="T23" i="32" s="1"/>
  <c r="BT27" i="11"/>
  <c r="M23" i="24"/>
  <c r="AB16" i="11"/>
  <c r="T21" i="32" s="1"/>
  <c r="K59" i="11"/>
  <c r="BT17" i="11"/>
  <c r="M21" i="24"/>
  <c r="H31" i="31"/>
  <c r="I8" i="31"/>
  <c r="H8" i="31" s="1"/>
  <c r="K56" i="11"/>
  <c r="BT56" i="11" s="1"/>
  <c r="AA25" i="24"/>
  <c r="AB25" i="24"/>
  <c r="M7" i="24"/>
  <c r="M7" i="34"/>
  <c r="F8" i="34"/>
  <c r="H8" i="34"/>
  <c r="F7" i="34"/>
  <c r="E18" i="34"/>
  <c r="H7" i="34"/>
  <c r="F9" i="34"/>
  <c r="H9" i="34"/>
  <c r="AW31" i="10"/>
  <c r="V8" i="32"/>
  <c r="G26" i="10"/>
  <c r="H26" i="10" s="1"/>
  <c r="E7" i="32"/>
  <c r="E15" i="31"/>
  <c r="E8" i="32"/>
  <c r="E16" i="31"/>
  <c r="G36" i="10"/>
  <c r="E9" i="32"/>
  <c r="E12" i="1" s="1"/>
  <c r="E17" i="31"/>
  <c r="G17" i="31" s="1"/>
  <c r="J4" i="32"/>
  <c r="G31" i="10"/>
  <c r="BT26" i="13"/>
  <c r="K51" i="13"/>
  <c r="K58" i="11"/>
  <c r="G28" i="13"/>
  <c r="G27" i="13"/>
  <c r="G26" i="13"/>
  <c r="G29" i="13"/>
  <c r="Q50" i="26"/>
  <c r="P50" i="26" s="1"/>
  <c r="P49" i="26"/>
  <c r="AN49" i="26"/>
  <c r="AL50" i="26"/>
  <c r="AN50" i="26" s="1"/>
  <c r="AR49" i="26"/>
  <c r="AS50" i="26"/>
  <c r="AU50" i="26" s="1"/>
  <c r="BG50" i="26"/>
  <c r="BI50" i="26" s="1"/>
  <c r="AE50" i="26"/>
  <c r="AG50" i="26" s="1"/>
  <c r="AG49" i="26"/>
  <c r="BP49" i="26"/>
  <c r="BM49" i="26"/>
  <c r="W49" i="26"/>
  <c r="X50" i="26"/>
  <c r="Z50" i="26" s="1"/>
  <c r="BM50" i="26"/>
  <c r="BP50" i="26"/>
  <c r="BB49" i="26"/>
  <c r="AY49" i="26"/>
  <c r="AZ50" i="26"/>
  <c r="E55" i="24"/>
  <c r="G11" i="13"/>
  <c r="G51" i="13" s="1"/>
  <c r="BT11" i="13"/>
  <c r="BT89" i="10"/>
  <c r="E7" i="20"/>
  <c r="E8" i="20"/>
  <c r="J44" i="24"/>
  <c r="J32" i="16"/>
  <c r="BT29" i="13"/>
  <c r="D86" i="10"/>
  <c r="H59" i="11"/>
  <c r="I59" i="11" s="1"/>
  <c r="G39" i="10"/>
  <c r="G38" i="10"/>
  <c r="G37" i="10"/>
  <c r="E7" i="24"/>
  <c r="G29" i="10"/>
  <c r="G89" i="10" s="1"/>
  <c r="G28" i="10"/>
  <c r="G27" i="10"/>
  <c r="E8" i="24"/>
  <c r="F8" i="24" s="1"/>
  <c r="G34" i="10"/>
  <c r="G33" i="10"/>
  <c r="H33" i="10" s="1"/>
  <c r="I33" i="10" s="1"/>
  <c r="G32" i="10"/>
  <c r="J34" i="16"/>
  <c r="J33" i="16"/>
  <c r="J16" i="16"/>
  <c r="J21" i="24"/>
  <c r="E32" i="16"/>
  <c r="H32" i="16" s="1"/>
  <c r="E44" i="24"/>
  <c r="F44" i="24" s="1"/>
  <c r="E33" i="16"/>
  <c r="F33" i="16" s="1"/>
  <c r="J42" i="16"/>
  <c r="J57" i="24"/>
  <c r="E42" i="16"/>
  <c r="H42" i="16" s="1"/>
  <c r="E57" i="24"/>
  <c r="F57" i="24" s="1"/>
  <c r="E43" i="16"/>
  <c r="H43" i="16" s="1"/>
  <c r="E58" i="24"/>
  <c r="F58" i="24" s="1"/>
  <c r="J37" i="16"/>
  <c r="J55" i="24"/>
  <c r="E8" i="16"/>
  <c r="H8" i="16" s="1"/>
  <c r="E9" i="24"/>
  <c r="F9" i="24" s="1"/>
  <c r="AL51" i="10"/>
  <c r="Q51" i="10"/>
  <c r="S51" i="10" s="1"/>
  <c r="AS51" i="10"/>
  <c r="X51" i="10"/>
  <c r="Z51" i="10" s="1"/>
  <c r="AZ51" i="10"/>
  <c r="AE51" i="10"/>
  <c r="U12" i="32" s="1"/>
  <c r="BG51" i="10"/>
  <c r="Q53" i="10"/>
  <c r="AS53" i="10"/>
  <c r="AU53" i="10" s="1"/>
  <c r="X53" i="10"/>
  <c r="AZ53" i="10"/>
  <c r="BB53" i="10" s="1"/>
  <c r="AE53" i="10"/>
  <c r="BG53" i="10"/>
  <c r="BI53" i="10" s="1"/>
  <c r="AL53" i="10"/>
  <c r="Q52" i="10"/>
  <c r="AS52" i="10"/>
  <c r="AU52" i="10" s="1"/>
  <c r="AZ52" i="10"/>
  <c r="BB52" i="10" s="1"/>
  <c r="X52" i="10"/>
  <c r="AL52" i="10"/>
  <c r="AE52" i="10"/>
  <c r="BG52" i="10"/>
  <c r="BI52" i="10" s="1"/>
  <c r="Q54" i="10"/>
  <c r="AS54" i="10"/>
  <c r="X54" i="10"/>
  <c r="AZ54" i="10"/>
  <c r="AE54" i="10"/>
  <c r="BG54" i="10"/>
  <c r="AL54" i="10"/>
  <c r="BN54" i="10"/>
  <c r="Q57" i="10"/>
  <c r="AS57" i="10"/>
  <c r="AL57" i="10"/>
  <c r="BN57" i="10"/>
  <c r="AZ57" i="10"/>
  <c r="AE57" i="10"/>
  <c r="BG57" i="10"/>
  <c r="J19" i="16"/>
  <c r="BT59" i="11"/>
  <c r="AL22" i="11"/>
  <c r="BN22" i="11"/>
  <c r="Q22" i="11"/>
  <c r="AS22" i="11"/>
  <c r="AU22" i="11" s="1"/>
  <c r="X22" i="11"/>
  <c r="AZ22" i="11"/>
  <c r="BB22" i="11" s="1"/>
  <c r="AE22" i="11"/>
  <c r="BG22" i="11"/>
  <c r="BI22" i="11" s="1"/>
  <c r="AL18" i="13"/>
  <c r="BN18" i="13"/>
  <c r="AS18" i="13"/>
  <c r="AU18" i="13" s="1"/>
  <c r="Q18" i="13"/>
  <c r="X18" i="13"/>
  <c r="AZ18" i="13"/>
  <c r="BB18" i="13" s="1"/>
  <c r="AE18" i="13"/>
  <c r="BG18" i="13"/>
  <c r="BI18" i="13" s="1"/>
  <c r="AE43" i="10"/>
  <c r="BG43" i="10"/>
  <c r="BI43" i="10" s="1"/>
  <c r="AL43" i="10"/>
  <c r="BN43" i="10"/>
  <c r="Q43" i="10"/>
  <c r="R43" i="10" s="1"/>
  <c r="AS43" i="10"/>
  <c r="AU43" i="10" s="1"/>
  <c r="X43" i="10"/>
  <c r="Y43" i="10" s="1"/>
  <c r="AZ43" i="10"/>
  <c r="BB43" i="10" s="1"/>
  <c r="Q28" i="11"/>
  <c r="AS28" i="11"/>
  <c r="AU28" i="11" s="1"/>
  <c r="X28" i="11"/>
  <c r="AZ28" i="11"/>
  <c r="BB28" i="11" s="1"/>
  <c r="AE28" i="11"/>
  <c r="AD28" i="11" s="1"/>
  <c r="BG28" i="11"/>
  <c r="BI28" i="11" s="1"/>
  <c r="BN28" i="11"/>
  <c r="AL28" i="11"/>
  <c r="G14" i="13"/>
  <c r="G54" i="13" s="1"/>
  <c r="Q19" i="13"/>
  <c r="S19" i="13" s="1"/>
  <c r="AS19" i="13"/>
  <c r="AU19" i="13" s="1"/>
  <c r="X19" i="13"/>
  <c r="Z19" i="13" s="1"/>
  <c r="AZ19" i="13"/>
  <c r="BB19" i="13" s="1"/>
  <c r="BG19" i="13"/>
  <c r="BI19" i="13" s="1"/>
  <c r="AE19" i="13"/>
  <c r="AG19" i="13" s="1"/>
  <c r="BN19" i="13"/>
  <c r="BM19" i="13" s="1"/>
  <c r="AL19" i="13"/>
  <c r="Q18" i="11"/>
  <c r="AS18" i="11"/>
  <c r="AU18" i="11" s="1"/>
  <c r="X18" i="11"/>
  <c r="AZ18" i="11"/>
  <c r="BB18" i="11" s="1"/>
  <c r="AE18" i="11"/>
  <c r="BG18" i="11"/>
  <c r="BI18" i="11" s="1"/>
  <c r="AL18" i="11"/>
  <c r="BN18" i="11"/>
  <c r="Q29" i="11"/>
  <c r="S29" i="11" s="1"/>
  <c r="AS29" i="11"/>
  <c r="AU29" i="11" s="1"/>
  <c r="X29" i="11"/>
  <c r="Z29" i="11" s="1"/>
  <c r="AZ29" i="11"/>
  <c r="BB29" i="11" s="1"/>
  <c r="AE29" i="11"/>
  <c r="AG29" i="11" s="1"/>
  <c r="BG29" i="11"/>
  <c r="BI29" i="11" s="1"/>
  <c r="AL29" i="11"/>
  <c r="BN29" i="11"/>
  <c r="Q24" i="11"/>
  <c r="S24" i="11" s="1"/>
  <c r="AS24" i="11"/>
  <c r="AU24" i="11" s="1"/>
  <c r="X24" i="11"/>
  <c r="Z24" i="11" s="1"/>
  <c r="AZ24" i="11"/>
  <c r="BB24" i="11" s="1"/>
  <c r="AE24" i="11"/>
  <c r="AG24" i="11" s="1"/>
  <c r="BG24" i="11"/>
  <c r="BI24" i="11" s="1"/>
  <c r="AL24" i="11"/>
  <c r="BN24" i="11"/>
  <c r="BN21" i="11"/>
  <c r="AL21" i="11"/>
  <c r="AK21" i="11" s="1"/>
  <c r="Q21" i="11"/>
  <c r="S21" i="11" s="1"/>
  <c r="AS21" i="11"/>
  <c r="Z21" i="11"/>
  <c r="AZ21" i="11"/>
  <c r="AE21" i="11"/>
  <c r="U22" i="32" s="1"/>
  <c r="S22" i="32" s="1"/>
  <c r="BG21" i="11"/>
  <c r="Y22" i="32" s="1"/>
  <c r="AE49" i="10"/>
  <c r="BG49" i="10"/>
  <c r="AL49" i="10"/>
  <c r="BN49" i="10"/>
  <c r="AS49" i="10"/>
  <c r="X49" i="10"/>
  <c r="AZ49" i="10"/>
  <c r="AE42" i="10"/>
  <c r="O10" i="24" s="1"/>
  <c r="BG42" i="10"/>
  <c r="BI42" i="10" s="1"/>
  <c r="AL42" i="10"/>
  <c r="BN42" i="10"/>
  <c r="Q42" i="10"/>
  <c r="R42" i="10" s="1"/>
  <c r="AS42" i="10"/>
  <c r="AU42" i="10" s="1"/>
  <c r="X42" i="10"/>
  <c r="AZ42" i="10"/>
  <c r="BB42" i="10" s="1"/>
  <c r="AP26" i="13"/>
  <c r="AI26" i="13" s="1"/>
  <c r="AP21" i="13"/>
  <c r="AI21" i="13" s="1"/>
  <c r="AP16" i="13"/>
  <c r="AI16" i="13" s="1"/>
  <c r="AB16" i="13" s="1"/>
  <c r="T56" i="32" s="1"/>
  <c r="AP11" i="13"/>
  <c r="AI11" i="13" s="1"/>
  <c r="AB11" i="13" s="1"/>
  <c r="T55" i="32" s="1"/>
  <c r="J38" i="16"/>
  <c r="C43" i="16"/>
  <c r="R9" i="20"/>
  <c r="C42" i="16"/>
  <c r="U9" i="20"/>
  <c r="Y9" i="20"/>
  <c r="N9" i="20"/>
  <c r="BT23" i="11"/>
  <c r="BT22" i="11"/>
  <c r="AW26" i="10"/>
  <c r="AP26" i="10" s="1"/>
  <c r="AI26" i="10" s="1"/>
  <c r="AB26" i="10" s="1"/>
  <c r="P7" i="32" s="1"/>
  <c r="AP31" i="10"/>
  <c r="AI31" i="10" s="1"/>
  <c r="AB31" i="10" s="1"/>
  <c r="P8" i="32" s="1"/>
  <c r="AP36" i="10"/>
  <c r="AI36" i="10" s="1"/>
  <c r="AB36" i="10" s="1"/>
  <c r="AP41" i="10"/>
  <c r="AI41" i="10" s="1"/>
  <c r="AB41" i="10" s="1"/>
  <c r="P10" i="32" s="1"/>
  <c r="AP46" i="10"/>
  <c r="AI46" i="10" s="1"/>
  <c r="AB46" i="10" s="1"/>
  <c r="P11" i="32" s="1"/>
  <c r="BN51" i="10"/>
  <c r="BN53" i="10"/>
  <c r="BN52" i="10"/>
  <c r="AU58" i="10"/>
  <c r="BB58" i="10"/>
  <c r="BI58" i="10"/>
  <c r="H21" i="10"/>
  <c r="E5" i="16"/>
  <c r="E7" i="16"/>
  <c r="E40" i="16"/>
  <c r="E34" i="16"/>
  <c r="G13" i="13"/>
  <c r="E37" i="16"/>
  <c r="E41" i="16"/>
  <c r="E6" i="16"/>
  <c r="E4" i="16"/>
  <c r="E15" i="16"/>
  <c r="E30" i="16" s="1"/>
  <c r="H16" i="16"/>
  <c r="F16" i="16"/>
  <c r="K12" i="11"/>
  <c r="BT14" i="11"/>
  <c r="BT13" i="11"/>
  <c r="H14" i="11"/>
  <c r="I14" i="11" s="1"/>
  <c r="BT11" i="11"/>
  <c r="G20" i="11"/>
  <c r="I19" i="11"/>
  <c r="H60" i="10"/>
  <c r="I56" i="10"/>
  <c r="BS59" i="10"/>
  <c r="BM59" i="10"/>
  <c r="BP59" i="10"/>
  <c r="AG58" i="10"/>
  <c r="AD58" i="10"/>
  <c r="AN58" i="10"/>
  <c r="AK58" i="10"/>
  <c r="BS58" i="10"/>
  <c r="P58" i="10"/>
  <c r="BP58" i="10"/>
  <c r="BM58" i="10"/>
  <c r="W58" i="10"/>
  <c r="Z58" i="10"/>
  <c r="L54" i="10"/>
  <c r="J54" i="10"/>
  <c r="I55" i="10"/>
  <c r="L51" i="10"/>
  <c r="J51" i="10"/>
  <c r="H55" i="10"/>
  <c r="H24" i="10"/>
  <c r="I24" i="10" s="1"/>
  <c r="H48" i="10"/>
  <c r="I48" i="10" s="1"/>
  <c r="R32" i="10"/>
  <c r="I23" i="11"/>
  <c r="G25" i="11"/>
  <c r="H22" i="10"/>
  <c r="J18" i="11"/>
  <c r="L18" i="11"/>
  <c r="I26" i="11"/>
  <c r="L19" i="13"/>
  <c r="F31" i="5"/>
  <c r="BT21" i="10"/>
  <c r="BT27" i="10"/>
  <c r="BT19" i="11"/>
  <c r="R38" i="10"/>
  <c r="R37" i="10"/>
  <c r="O17" i="31" s="1"/>
  <c r="K17" i="31" s="1"/>
  <c r="I17" i="31" s="1"/>
  <c r="L22" i="11"/>
  <c r="G50" i="10"/>
  <c r="H46" i="10"/>
  <c r="I46" i="10" s="1"/>
  <c r="L49" i="10"/>
  <c r="J49" i="10"/>
  <c r="J24" i="11"/>
  <c r="H44" i="10"/>
  <c r="I44" i="10" s="1"/>
  <c r="L24" i="11"/>
  <c r="BT29" i="10"/>
  <c r="H25" i="11"/>
  <c r="K30" i="11"/>
  <c r="BT26" i="11"/>
  <c r="K30" i="10"/>
  <c r="BT29" i="11"/>
  <c r="J29" i="11"/>
  <c r="L29" i="11"/>
  <c r="G45" i="10"/>
  <c r="J22" i="11"/>
  <c r="BT54" i="13"/>
  <c r="H41" i="10"/>
  <c r="I41" i="10" s="1"/>
  <c r="L21" i="11"/>
  <c r="H27" i="11"/>
  <c r="H30" i="11" s="1"/>
  <c r="G30" i="11"/>
  <c r="J21" i="11"/>
  <c r="K25" i="11"/>
  <c r="G23" i="13"/>
  <c r="G22" i="13"/>
  <c r="G24" i="13"/>
  <c r="H13" i="11"/>
  <c r="I13" i="11" s="1"/>
  <c r="R33" i="10"/>
  <c r="G15" i="11"/>
  <c r="H11" i="11"/>
  <c r="I11" i="11" s="1"/>
  <c r="H12" i="11"/>
  <c r="I12" i="11" s="1"/>
  <c r="K20" i="11"/>
  <c r="BT16" i="11"/>
  <c r="BT21" i="11"/>
  <c r="L28" i="11"/>
  <c r="J28" i="11"/>
  <c r="H17" i="13"/>
  <c r="I17" i="13" s="1"/>
  <c r="H47" i="10"/>
  <c r="I47" i="10" s="1"/>
  <c r="H17" i="11"/>
  <c r="I17" i="11" s="1"/>
  <c r="H16" i="11"/>
  <c r="J19" i="13"/>
  <c r="R15" i="11"/>
  <c r="J20" i="32" s="1"/>
  <c r="L18" i="13"/>
  <c r="BT18" i="13"/>
  <c r="J18" i="13"/>
  <c r="K20" i="13"/>
  <c r="BU57" i="12"/>
  <c r="BT13" i="13"/>
  <c r="K15" i="13"/>
  <c r="G20" i="13"/>
  <c r="H16" i="13"/>
  <c r="I16" i="13" s="1"/>
  <c r="BT23" i="13"/>
  <c r="K25" i="13"/>
  <c r="G12" i="13"/>
  <c r="AK50" i="26" l="1"/>
  <c r="K57" i="11"/>
  <c r="K60" i="11" s="1"/>
  <c r="M20" i="24"/>
  <c r="F18" i="34"/>
  <c r="G86" i="10"/>
  <c r="G87" i="10"/>
  <c r="G88" i="10"/>
  <c r="E37" i="37"/>
  <c r="E11" i="1"/>
  <c r="D34" i="4"/>
  <c r="H12" i="1"/>
  <c r="R12" i="1"/>
  <c r="J12" i="1"/>
  <c r="T12" i="1"/>
  <c r="T23" i="1" s="1"/>
  <c r="P12" i="1"/>
  <c r="E23" i="1"/>
  <c r="G16" i="31"/>
  <c r="E35" i="37"/>
  <c r="E10" i="1"/>
  <c r="D33" i="4"/>
  <c r="AB22" i="32"/>
  <c r="AA22" i="32"/>
  <c r="H55" i="24"/>
  <c r="F55" i="24"/>
  <c r="Y12" i="32"/>
  <c r="AB12" i="32" s="1"/>
  <c r="Q18" i="31"/>
  <c r="S12" i="32"/>
  <c r="U19" i="32"/>
  <c r="H7" i="24"/>
  <c r="F7" i="24"/>
  <c r="H17" i="31"/>
  <c r="F9" i="32"/>
  <c r="H9" i="32"/>
  <c r="O16" i="31"/>
  <c r="S12" i="24"/>
  <c r="O12" i="24"/>
  <c r="H8" i="32"/>
  <c r="F8" i="32"/>
  <c r="M60" i="10"/>
  <c r="O13" i="24"/>
  <c r="F7" i="32"/>
  <c r="H7" i="32"/>
  <c r="E18" i="32"/>
  <c r="E66" i="32" s="1"/>
  <c r="G15" i="31"/>
  <c r="E6" i="31"/>
  <c r="E7" i="31"/>
  <c r="E53" i="24"/>
  <c r="H8" i="24"/>
  <c r="Y42" i="10"/>
  <c r="H28" i="10"/>
  <c r="I28" i="10" s="1"/>
  <c r="BG28" i="10" s="1"/>
  <c r="G52" i="13"/>
  <c r="G53" i="13"/>
  <c r="H53" i="13" s="1"/>
  <c r="I53" i="13" s="1"/>
  <c r="S50" i="26"/>
  <c r="AD50" i="26"/>
  <c r="BF50" i="26"/>
  <c r="E63" i="24"/>
  <c r="AR50" i="26"/>
  <c r="E18" i="24"/>
  <c r="M45" i="10"/>
  <c r="W50" i="26"/>
  <c r="BB50" i="26"/>
  <c r="AY50" i="26"/>
  <c r="M55" i="10"/>
  <c r="AD18" i="11"/>
  <c r="F32" i="16"/>
  <c r="J36" i="16"/>
  <c r="J35" i="16" s="1"/>
  <c r="J54" i="24"/>
  <c r="J53" i="24" s="1"/>
  <c r="F42" i="16"/>
  <c r="H29" i="10"/>
  <c r="I29" i="10" s="1"/>
  <c r="AL29" i="10" s="1"/>
  <c r="H14" i="13"/>
  <c r="I14" i="13" s="1"/>
  <c r="H27" i="10"/>
  <c r="I27" i="10" s="1"/>
  <c r="AE27" i="10" s="1"/>
  <c r="H13" i="13"/>
  <c r="I13" i="13" s="1"/>
  <c r="AE13" i="13" s="1"/>
  <c r="K43" i="10"/>
  <c r="J43" i="10" s="1"/>
  <c r="H4" i="24"/>
  <c r="H33" i="16"/>
  <c r="J15" i="16"/>
  <c r="J20" i="24"/>
  <c r="H44" i="24"/>
  <c r="F53" i="24"/>
  <c r="F8" i="16"/>
  <c r="H58" i="24"/>
  <c r="H57" i="24"/>
  <c r="F43" i="16"/>
  <c r="L56" i="10"/>
  <c r="R12" i="16"/>
  <c r="P12" i="16" s="1"/>
  <c r="V11" i="16"/>
  <c r="I60" i="10"/>
  <c r="H9" i="24"/>
  <c r="V12" i="16"/>
  <c r="BP19" i="13"/>
  <c r="BS19" i="13"/>
  <c r="H6" i="20"/>
  <c r="H10" i="20" s="1"/>
  <c r="R11" i="16"/>
  <c r="P11" i="16" s="1"/>
  <c r="AL56" i="10"/>
  <c r="AL60" i="10" s="1"/>
  <c r="BN56" i="10"/>
  <c r="BM56" i="10" s="1"/>
  <c r="Q56" i="10"/>
  <c r="S56" i="10" s="1"/>
  <c r="AS56" i="10"/>
  <c r="AU56" i="10" s="1"/>
  <c r="Z56" i="10"/>
  <c r="AZ56" i="10"/>
  <c r="BB56" i="10" s="1"/>
  <c r="AE56" i="10"/>
  <c r="BG56" i="10"/>
  <c r="O9" i="16"/>
  <c r="BT12" i="11"/>
  <c r="AG18" i="11"/>
  <c r="AG28" i="11"/>
  <c r="AN21" i="11"/>
  <c r="J11" i="11"/>
  <c r="BN11" i="11"/>
  <c r="AL11" i="11"/>
  <c r="Q11" i="11"/>
  <c r="AS11" i="11"/>
  <c r="X11" i="11"/>
  <c r="AZ11" i="11"/>
  <c r="AE11" i="11"/>
  <c r="U20" i="32" s="1"/>
  <c r="BG11" i="11"/>
  <c r="AL24" i="10"/>
  <c r="BN24" i="10"/>
  <c r="AS24" i="10"/>
  <c r="X24" i="10"/>
  <c r="AZ24" i="10"/>
  <c r="AE24" i="10"/>
  <c r="BG24" i="10"/>
  <c r="X41" i="10"/>
  <c r="Z41" i="10" s="1"/>
  <c r="AZ41" i="10"/>
  <c r="AY41" i="10" s="1"/>
  <c r="AE41" i="10"/>
  <c r="Q10" i="32" s="1"/>
  <c r="BG41" i="10"/>
  <c r="AL41" i="10"/>
  <c r="BN41" i="10"/>
  <c r="Q41" i="10"/>
  <c r="S41" i="10" s="1"/>
  <c r="AS41" i="10"/>
  <c r="AS17" i="13"/>
  <c r="AU17" i="13" s="1"/>
  <c r="Q17" i="13"/>
  <c r="X17" i="13"/>
  <c r="BG17" i="13"/>
  <c r="BI17" i="13" s="1"/>
  <c r="BN17" i="13"/>
  <c r="Y56" i="24" s="1"/>
  <c r="AZ17" i="13"/>
  <c r="BB17" i="13" s="1"/>
  <c r="AE17" i="13"/>
  <c r="AL17" i="13"/>
  <c r="J16" i="13"/>
  <c r="AL16" i="13"/>
  <c r="BN16" i="13"/>
  <c r="X16" i="13"/>
  <c r="AZ16" i="13"/>
  <c r="AS16" i="13"/>
  <c r="Q16" i="13"/>
  <c r="AE16" i="13"/>
  <c r="U56" i="32" s="1"/>
  <c r="S56" i="32" s="1"/>
  <c r="BG16" i="13"/>
  <c r="Q23" i="11"/>
  <c r="Q25" i="11" s="1"/>
  <c r="AS23" i="11"/>
  <c r="AU23" i="11" s="1"/>
  <c r="X23" i="11"/>
  <c r="W23" i="11" s="1"/>
  <c r="AZ23" i="11"/>
  <c r="BB23" i="11" s="1"/>
  <c r="AE23" i="11"/>
  <c r="AD23" i="11" s="1"/>
  <c r="BG23" i="11"/>
  <c r="BI23" i="11" s="1"/>
  <c r="AL23" i="11"/>
  <c r="AL25" i="11" s="1"/>
  <c r="BN23" i="11"/>
  <c r="BM23" i="11" s="1"/>
  <c r="AL26" i="11"/>
  <c r="AK26" i="11" s="1"/>
  <c r="BN26" i="11"/>
  <c r="BM26" i="11" s="1"/>
  <c r="Q26" i="11"/>
  <c r="S26" i="11" s="1"/>
  <c r="AS26" i="11"/>
  <c r="AU26" i="11" s="1"/>
  <c r="X26" i="11"/>
  <c r="Z26" i="11" s="1"/>
  <c r="AZ26" i="11"/>
  <c r="AY26" i="11" s="1"/>
  <c r="AE26" i="11"/>
  <c r="BG26" i="11"/>
  <c r="AE48" i="10"/>
  <c r="AD48" i="10" s="1"/>
  <c r="BG48" i="10"/>
  <c r="BI48" i="10" s="1"/>
  <c r="AL48" i="10"/>
  <c r="AN48" i="10" s="1"/>
  <c r="BN48" i="10"/>
  <c r="BP48" i="10" s="1"/>
  <c r="AS48" i="10"/>
  <c r="AU48" i="10" s="1"/>
  <c r="X48" i="10"/>
  <c r="AZ48" i="10"/>
  <c r="BB48" i="10" s="1"/>
  <c r="Q14" i="11"/>
  <c r="AS14" i="11"/>
  <c r="X14" i="11"/>
  <c r="AZ14" i="11"/>
  <c r="BG14" i="11"/>
  <c r="AE14" i="11"/>
  <c r="AL14" i="11"/>
  <c r="BN14" i="11"/>
  <c r="J17" i="11"/>
  <c r="AL17" i="11"/>
  <c r="BN17" i="11"/>
  <c r="Q17" i="11"/>
  <c r="AS17" i="11"/>
  <c r="AU17" i="11" s="1"/>
  <c r="X17" i="11"/>
  <c r="M16" i="16" s="1"/>
  <c r="AZ17" i="11"/>
  <c r="BB17" i="11" s="1"/>
  <c r="AE17" i="11"/>
  <c r="BG17" i="11"/>
  <c r="BI17" i="11" s="1"/>
  <c r="Q13" i="11"/>
  <c r="AS13" i="11"/>
  <c r="X13" i="11"/>
  <c r="AZ13" i="11"/>
  <c r="AZ58" i="11" s="1"/>
  <c r="BG13" i="11"/>
  <c r="AE13" i="11"/>
  <c r="AL13" i="11"/>
  <c r="BN13" i="11"/>
  <c r="J19" i="11"/>
  <c r="Q19" i="11"/>
  <c r="S19" i="11" s="1"/>
  <c r="AS19" i="11"/>
  <c r="AU19" i="11" s="1"/>
  <c r="X19" i="11"/>
  <c r="Z19" i="11" s="1"/>
  <c r="AZ19" i="11"/>
  <c r="BB19" i="11" s="1"/>
  <c r="AE19" i="11"/>
  <c r="AG19" i="11" s="1"/>
  <c r="BG19" i="11"/>
  <c r="BI19" i="11" s="1"/>
  <c r="AL19" i="11"/>
  <c r="AN19" i="11" s="1"/>
  <c r="BN19" i="11"/>
  <c r="BM19" i="11" s="1"/>
  <c r="AE33" i="10"/>
  <c r="AG33" i="10" s="1"/>
  <c r="BG33" i="10"/>
  <c r="BI33" i="10" s="1"/>
  <c r="AL33" i="10"/>
  <c r="AN33" i="10" s="1"/>
  <c r="BN33" i="10"/>
  <c r="BM33" i="10" s="1"/>
  <c r="Q33" i="10"/>
  <c r="S33" i="10" s="1"/>
  <c r="AS33" i="10"/>
  <c r="AU33" i="10" s="1"/>
  <c r="X33" i="10"/>
  <c r="Z33" i="10" s="1"/>
  <c r="AZ33" i="10"/>
  <c r="BB33" i="10" s="1"/>
  <c r="AL12" i="11"/>
  <c r="BN12" i="11"/>
  <c r="Y20" i="24" s="1"/>
  <c r="Q12" i="11"/>
  <c r="AS12" i="11"/>
  <c r="X12" i="11"/>
  <c r="AZ12" i="11"/>
  <c r="BG12" i="11"/>
  <c r="AE12" i="11"/>
  <c r="Q20" i="24" s="1"/>
  <c r="O20" i="24" s="1"/>
  <c r="AE44" i="10"/>
  <c r="BG44" i="10"/>
  <c r="AL44" i="10"/>
  <c r="BN44" i="10"/>
  <c r="Q44" i="10"/>
  <c r="AS44" i="10"/>
  <c r="X44" i="10"/>
  <c r="AZ44" i="10"/>
  <c r="AE47" i="10"/>
  <c r="BG47" i="10"/>
  <c r="BI47" i="10" s="1"/>
  <c r="AL47" i="10"/>
  <c r="BN47" i="10"/>
  <c r="AS47" i="10"/>
  <c r="AU47" i="10" s="1"/>
  <c r="X47" i="10"/>
  <c r="AZ47" i="10"/>
  <c r="BB47" i="10" s="1"/>
  <c r="Z46" i="10"/>
  <c r="AZ46" i="10"/>
  <c r="AE46" i="10"/>
  <c r="Q11" i="32" s="1"/>
  <c r="BG46" i="10"/>
  <c r="AL46" i="10"/>
  <c r="BN46" i="10"/>
  <c r="AS46" i="10"/>
  <c r="I21" i="10"/>
  <c r="J21" i="10" s="1"/>
  <c r="L19" i="11"/>
  <c r="V9" i="16"/>
  <c r="AU57" i="10"/>
  <c r="BB57" i="10"/>
  <c r="BI57" i="10"/>
  <c r="F4" i="16"/>
  <c r="H4" i="16"/>
  <c r="E13" i="16"/>
  <c r="H6" i="16"/>
  <c r="F6" i="16"/>
  <c r="F37" i="16"/>
  <c r="E44" i="16"/>
  <c r="H37" i="16"/>
  <c r="H7" i="16"/>
  <c r="F7" i="16"/>
  <c r="H34" i="16"/>
  <c r="F34" i="16"/>
  <c r="H40" i="16"/>
  <c r="F40" i="16"/>
  <c r="H5" i="16"/>
  <c r="F5" i="16"/>
  <c r="K32" i="10"/>
  <c r="M8" i="34" s="1"/>
  <c r="E35" i="16"/>
  <c r="H41" i="16"/>
  <c r="F41" i="16"/>
  <c r="L23" i="11"/>
  <c r="L25" i="11" s="1"/>
  <c r="K15" i="11"/>
  <c r="J26" i="11"/>
  <c r="L26" i="11"/>
  <c r="I25" i="11"/>
  <c r="J25" i="11" s="1"/>
  <c r="H15" i="16"/>
  <c r="H31" i="16" s="1"/>
  <c r="F15" i="16"/>
  <c r="H20" i="11"/>
  <c r="J23" i="11"/>
  <c r="I27" i="11"/>
  <c r="J56" i="10"/>
  <c r="K58" i="10"/>
  <c r="P57" i="10"/>
  <c r="S57" i="10"/>
  <c r="BS57" i="10"/>
  <c r="S58" i="10"/>
  <c r="AN57" i="10"/>
  <c r="AK57" i="10"/>
  <c r="X60" i="10"/>
  <c r="O12" i="16" s="1"/>
  <c r="G12" i="16" s="1"/>
  <c r="Z57" i="10"/>
  <c r="W57" i="10"/>
  <c r="AG57" i="10"/>
  <c r="AD57" i="10"/>
  <c r="BU57" i="10"/>
  <c r="BP57" i="10"/>
  <c r="BM57" i="10"/>
  <c r="BS54" i="10"/>
  <c r="BP54" i="10"/>
  <c r="BM54" i="10"/>
  <c r="P52" i="10"/>
  <c r="Q55" i="10"/>
  <c r="BS52" i="10"/>
  <c r="S52" i="10"/>
  <c r="BM52" i="10"/>
  <c r="BP52" i="10"/>
  <c r="AK52" i="10"/>
  <c r="AN52" i="10"/>
  <c r="AE55" i="10"/>
  <c r="BS51" i="10"/>
  <c r="AG51" i="10"/>
  <c r="AD51" i="10"/>
  <c r="AG53" i="10"/>
  <c r="AD53" i="10"/>
  <c r="AR51" i="10"/>
  <c r="AU51" i="10"/>
  <c r="AS55" i="10"/>
  <c r="P53" i="10"/>
  <c r="BS53" i="10"/>
  <c r="X55" i="10"/>
  <c r="O11" i="16" s="1"/>
  <c r="Z52" i="10"/>
  <c r="W52" i="10"/>
  <c r="BG55" i="10"/>
  <c r="BI51" i="10"/>
  <c r="BF51" i="10"/>
  <c r="AG52" i="10"/>
  <c r="AD52" i="10"/>
  <c r="BU52" i="10"/>
  <c r="Z53" i="10"/>
  <c r="W53" i="10"/>
  <c r="BM51" i="10"/>
  <c r="BN55" i="10"/>
  <c r="BP51" i="10"/>
  <c r="AN51" i="10"/>
  <c r="AK51" i="10"/>
  <c r="AL55" i="10"/>
  <c r="AN53" i="10"/>
  <c r="AK53" i="10"/>
  <c r="AY51" i="10"/>
  <c r="AZ55" i="10"/>
  <c r="BB51" i="10"/>
  <c r="BM53" i="10"/>
  <c r="BP53" i="10"/>
  <c r="Q48" i="10"/>
  <c r="R48" i="10" s="1"/>
  <c r="K48" i="10" s="1"/>
  <c r="J48" i="10" s="1"/>
  <c r="R35" i="10"/>
  <c r="I22" i="10"/>
  <c r="R45" i="10"/>
  <c r="K42" i="10"/>
  <c r="V39" i="16"/>
  <c r="L44" i="10"/>
  <c r="J44" i="10"/>
  <c r="Q47" i="10"/>
  <c r="R47" i="10" s="1"/>
  <c r="R87" i="10" s="1"/>
  <c r="L12" i="11"/>
  <c r="J12" i="11"/>
  <c r="L13" i="11"/>
  <c r="J13" i="11"/>
  <c r="J17" i="13"/>
  <c r="L17" i="13"/>
  <c r="AG43" i="10"/>
  <c r="AD43" i="10"/>
  <c r="L24" i="10"/>
  <c r="J24" i="10"/>
  <c r="H24" i="13"/>
  <c r="I24" i="13" s="1"/>
  <c r="H36" i="10"/>
  <c r="I36" i="10" s="1"/>
  <c r="G40" i="10"/>
  <c r="H11" i="13"/>
  <c r="I11" i="13" s="1"/>
  <c r="G15" i="13"/>
  <c r="AN18" i="13"/>
  <c r="AK18" i="13"/>
  <c r="I16" i="11"/>
  <c r="H22" i="13"/>
  <c r="I22" i="13" s="1"/>
  <c r="BM18" i="11"/>
  <c r="BP18" i="11"/>
  <c r="BS43" i="10"/>
  <c r="S43" i="10"/>
  <c r="P43" i="10"/>
  <c r="BS22" i="11"/>
  <c r="P22" i="11"/>
  <c r="S22" i="11"/>
  <c r="H37" i="10"/>
  <c r="I37" i="10" s="1"/>
  <c r="H23" i="13"/>
  <c r="I23" i="13" s="1"/>
  <c r="S18" i="11"/>
  <c r="BS18" i="11"/>
  <c r="P18" i="11"/>
  <c r="AN22" i="11"/>
  <c r="AK22" i="11"/>
  <c r="AD18" i="13"/>
  <c r="AG18" i="13"/>
  <c r="H58" i="11"/>
  <c r="I58" i="11" s="1"/>
  <c r="W18" i="11"/>
  <c r="Z18" i="11"/>
  <c r="AK18" i="11"/>
  <c r="AN18" i="11"/>
  <c r="H45" i="10"/>
  <c r="AK29" i="11"/>
  <c r="AN29" i="11"/>
  <c r="BM49" i="10"/>
  <c r="BS49" i="10"/>
  <c r="BP49" i="10"/>
  <c r="BP29" i="11"/>
  <c r="BM29" i="11"/>
  <c r="BS29" i="11"/>
  <c r="AN42" i="10"/>
  <c r="AK42" i="10"/>
  <c r="Z28" i="11"/>
  <c r="W28" i="11"/>
  <c r="H15" i="11"/>
  <c r="BI21" i="11"/>
  <c r="BF21" i="11"/>
  <c r="H50" i="10"/>
  <c r="BM42" i="10"/>
  <c r="BP42" i="10"/>
  <c r="G30" i="10"/>
  <c r="AN28" i="11"/>
  <c r="AK28" i="11"/>
  <c r="I15" i="11"/>
  <c r="L11" i="11"/>
  <c r="H29" i="13"/>
  <c r="I29" i="13" s="1"/>
  <c r="BS21" i="11"/>
  <c r="AG21" i="11"/>
  <c r="AD21" i="11"/>
  <c r="L46" i="10"/>
  <c r="I50" i="10"/>
  <c r="S42" i="10"/>
  <c r="BS42" i="10"/>
  <c r="P42" i="10"/>
  <c r="L16" i="13"/>
  <c r="I20" i="13"/>
  <c r="J20" i="13" s="1"/>
  <c r="Z18" i="13"/>
  <c r="W18" i="13"/>
  <c r="L41" i="10"/>
  <c r="I45" i="10"/>
  <c r="J41" i="10"/>
  <c r="P28" i="11"/>
  <c r="S28" i="11"/>
  <c r="BS28" i="11"/>
  <c r="H56" i="11"/>
  <c r="I56" i="11" s="1"/>
  <c r="J56" i="11" s="1"/>
  <c r="G60" i="11"/>
  <c r="H57" i="11"/>
  <c r="I57" i="11" s="1"/>
  <c r="BB21" i="11"/>
  <c r="AY21" i="11"/>
  <c r="BU42" i="10"/>
  <c r="AG42" i="10"/>
  <c r="AD42" i="10"/>
  <c r="L17" i="11"/>
  <c r="AR21" i="11"/>
  <c r="AU21" i="11"/>
  <c r="H12" i="13"/>
  <c r="I12" i="13" s="1"/>
  <c r="Z42" i="10"/>
  <c r="W42" i="10"/>
  <c r="AN19" i="13"/>
  <c r="AK19" i="13"/>
  <c r="G35" i="10"/>
  <c r="H31" i="10"/>
  <c r="I31" i="10" s="1"/>
  <c r="H23" i="10"/>
  <c r="H25" i="10" s="1"/>
  <c r="G25" i="10"/>
  <c r="W43" i="10"/>
  <c r="Z43" i="10"/>
  <c r="AN24" i="11"/>
  <c r="AK24" i="11"/>
  <c r="BP18" i="13"/>
  <c r="BM18" i="13"/>
  <c r="K33" i="10"/>
  <c r="H28" i="13"/>
  <c r="I28" i="13" s="1"/>
  <c r="BP43" i="10"/>
  <c r="BM43" i="10"/>
  <c r="Z22" i="11"/>
  <c r="W22" i="11"/>
  <c r="H38" i="10"/>
  <c r="I38" i="10" s="1"/>
  <c r="BP21" i="11"/>
  <c r="BM21" i="11"/>
  <c r="H32" i="10"/>
  <c r="I32" i="10" s="1"/>
  <c r="H26" i="13"/>
  <c r="G30" i="13"/>
  <c r="BT57" i="11"/>
  <c r="BP22" i="11"/>
  <c r="BM22" i="11"/>
  <c r="K38" i="10"/>
  <c r="BP28" i="11"/>
  <c r="BM28" i="11"/>
  <c r="L14" i="11"/>
  <c r="L59" i="11" s="1"/>
  <c r="J14" i="11"/>
  <c r="H34" i="10"/>
  <c r="I34" i="10" s="1"/>
  <c r="AN43" i="10"/>
  <c r="AK43" i="10"/>
  <c r="BP24" i="11"/>
  <c r="BM24" i="11"/>
  <c r="BS24" i="11"/>
  <c r="R40" i="10"/>
  <c r="K37" i="10"/>
  <c r="BT51" i="13"/>
  <c r="H20" i="13"/>
  <c r="P18" i="13"/>
  <c r="BS18" i="13"/>
  <c r="S18" i="13"/>
  <c r="BT58" i="11"/>
  <c r="J46" i="10"/>
  <c r="G25" i="13"/>
  <c r="H21" i="13"/>
  <c r="H27" i="13"/>
  <c r="I27" i="13" s="1"/>
  <c r="AG22" i="11"/>
  <c r="AD22" i="11"/>
  <c r="H39" i="10"/>
  <c r="I39" i="10" s="1"/>
  <c r="BG59" i="11" l="1"/>
  <c r="AD26" i="11"/>
  <c r="U23" i="32"/>
  <c r="S23" i="32" s="1"/>
  <c r="AA23" i="32" s="1"/>
  <c r="S20" i="32"/>
  <c r="AA20" i="32" s="1"/>
  <c r="AL59" i="11"/>
  <c r="Y22" i="24"/>
  <c r="AA20" i="24"/>
  <c r="Y21" i="24"/>
  <c r="AA21" i="24" s="1"/>
  <c r="V91" i="35"/>
  <c r="R88" i="10"/>
  <c r="Q56" i="24"/>
  <c r="O56" i="24" s="1"/>
  <c r="E22" i="36"/>
  <c r="F33" i="4"/>
  <c r="D45" i="4"/>
  <c r="D47" i="4"/>
  <c r="D50" i="4"/>
  <c r="D44" i="4"/>
  <c r="U23" i="1"/>
  <c r="H10" i="1"/>
  <c r="T10" i="1"/>
  <c r="R10" i="1"/>
  <c r="P10" i="1"/>
  <c r="J10" i="1"/>
  <c r="E24" i="1"/>
  <c r="H24" i="38"/>
  <c r="R35" i="37"/>
  <c r="H35" i="37"/>
  <c r="P35" i="37"/>
  <c r="T35" i="37"/>
  <c r="W24" i="38" s="1"/>
  <c r="J35" i="37"/>
  <c r="E49" i="37"/>
  <c r="E51" i="37"/>
  <c r="E23" i="36"/>
  <c r="F23" i="36" s="1"/>
  <c r="F34" i="4"/>
  <c r="R11" i="1"/>
  <c r="H11" i="1"/>
  <c r="T11" i="1"/>
  <c r="J11" i="1"/>
  <c r="J22" i="1" s="1"/>
  <c r="P11" i="1"/>
  <c r="E22" i="1"/>
  <c r="I24" i="38"/>
  <c r="J37" i="37"/>
  <c r="H37" i="37"/>
  <c r="P37" i="37"/>
  <c r="T37" i="37"/>
  <c r="X24" i="38" s="1"/>
  <c r="R37" i="37"/>
  <c r="E47" i="37"/>
  <c r="Y10" i="32"/>
  <c r="AB10" i="32" s="1"/>
  <c r="Y23" i="32"/>
  <c r="Y56" i="32"/>
  <c r="Y20" i="32"/>
  <c r="AB20" i="32" s="1"/>
  <c r="AB56" i="32"/>
  <c r="I56" i="32"/>
  <c r="AA56" i="32"/>
  <c r="O11" i="32"/>
  <c r="G11" i="32"/>
  <c r="O10" i="32"/>
  <c r="G10" i="32"/>
  <c r="AD56" i="10"/>
  <c r="Q13" i="32"/>
  <c r="U18" i="32"/>
  <c r="S19" i="32"/>
  <c r="AA12" i="32"/>
  <c r="BG60" i="10"/>
  <c r="BI60" i="10" s="1"/>
  <c r="Y13" i="32"/>
  <c r="Y11" i="32"/>
  <c r="AB11" i="32" s="1"/>
  <c r="G12" i="24"/>
  <c r="G13" i="24"/>
  <c r="AL28" i="10"/>
  <c r="J28" i="10"/>
  <c r="AZ28" i="10"/>
  <c r="BB28" i="10" s="1"/>
  <c r="Q28" i="10"/>
  <c r="AE28" i="10"/>
  <c r="O6" i="16" s="1"/>
  <c r="Q19" i="31"/>
  <c r="AB4" i="10"/>
  <c r="J12" i="24"/>
  <c r="I12" i="24" s="1"/>
  <c r="J12" i="32"/>
  <c r="I12" i="32" s="1"/>
  <c r="O6" i="31"/>
  <c r="O7" i="31"/>
  <c r="K16" i="31"/>
  <c r="I16" i="31" s="1"/>
  <c r="H16" i="31" s="1"/>
  <c r="H15" i="31"/>
  <c r="G7" i="31"/>
  <c r="G6" i="31"/>
  <c r="O11" i="24"/>
  <c r="F18" i="32"/>
  <c r="F66" i="32" s="1"/>
  <c r="X28" i="10"/>
  <c r="Z28" i="10" s="1"/>
  <c r="AS28" i="10"/>
  <c r="AU28" i="10" s="1"/>
  <c r="T18" i="31"/>
  <c r="L28" i="10"/>
  <c r="M8" i="24"/>
  <c r="M50" i="10"/>
  <c r="BN28" i="10"/>
  <c r="BP28" i="10" s="1"/>
  <c r="Z48" i="10"/>
  <c r="Y45" i="10"/>
  <c r="E66" i="24"/>
  <c r="BI28" i="10"/>
  <c r="F63" i="24"/>
  <c r="F35" i="16"/>
  <c r="M54" i="24"/>
  <c r="M53" i="24" s="1"/>
  <c r="Q29" i="10"/>
  <c r="BG29" i="10"/>
  <c r="J29" i="10"/>
  <c r="AL58" i="11"/>
  <c r="AK58" i="11" s="1"/>
  <c r="AE58" i="11"/>
  <c r="AD58" i="11" s="1"/>
  <c r="AZ29" i="10"/>
  <c r="AZ89" i="10" s="1"/>
  <c r="BB89" i="10" s="1"/>
  <c r="BG58" i="11"/>
  <c r="BF58" i="11" s="1"/>
  <c r="AE29" i="10"/>
  <c r="BN59" i="11"/>
  <c r="BM59" i="11" s="1"/>
  <c r="AS58" i="11"/>
  <c r="AU58" i="11" s="1"/>
  <c r="BN58" i="11"/>
  <c r="BP58" i="11" s="1"/>
  <c r="AE59" i="11"/>
  <c r="AD59" i="11" s="1"/>
  <c r="X58" i="11"/>
  <c r="Z58" i="11" s="1"/>
  <c r="X59" i="11"/>
  <c r="Z59" i="11" s="1"/>
  <c r="L29" i="10"/>
  <c r="BG28" i="13"/>
  <c r="AZ28" i="13"/>
  <c r="AE28" i="13"/>
  <c r="BN28" i="13"/>
  <c r="X28" i="13"/>
  <c r="AS28" i="13"/>
  <c r="AL28" i="13"/>
  <c r="Q28" i="13"/>
  <c r="AZ29" i="13"/>
  <c r="AE29" i="13"/>
  <c r="BN29" i="13"/>
  <c r="X29" i="13"/>
  <c r="Z29" i="13" s="1"/>
  <c r="AS29" i="13"/>
  <c r="Q29" i="13"/>
  <c r="S29" i="13" s="1"/>
  <c r="BG29" i="13"/>
  <c r="AL29" i="13"/>
  <c r="L58" i="11"/>
  <c r="AK59" i="11"/>
  <c r="AN59" i="11"/>
  <c r="BB58" i="11"/>
  <c r="AY58" i="11"/>
  <c r="BI59" i="11"/>
  <c r="BF59" i="11"/>
  <c r="AZ59" i="11"/>
  <c r="Q58" i="11"/>
  <c r="AS59" i="11"/>
  <c r="Q59" i="11"/>
  <c r="AL27" i="13"/>
  <c r="AE27" i="13"/>
  <c r="AZ27" i="13"/>
  <c r="X27" i="13"/>
  <c r="BN27" i="13"/>
  <c r="AS27" i="13"/>
  <c r="Q27" i="13"/>
  <c r="BG27" i="13"/>
  <c r="H86" i="10"/>
  <c r="I86" i="10" s="1"/>
  <c r="X29" i="10"/>
  <c r="AS29" i="10"/>
  <c r="J27" i="10"/>
  <c r="AL13" i="13"/>
  <c r="AK13" i="13" s="1"/>
  <c r="Q13" i="13"/>
  <c r="P13" i="13" s="1"/>
  <c r="J13" i="13"/>
  <c r="L13" i="13"/>
  <c r="BN29" i="10"/>
  <c r="BN13" i="13"/>
  <c r="BP13" i="13" s="1"/>
  <c r="BG13" i="13"/>
  <c r="BI13" i="13" s="1"/>
  <c r="X13" i="13"/>
  <c r="AZ13" i="13"/>
  <c r="BB13" i="13" s="1"/>
  <c r="AS13" i="13"/>
  <c r="AU13" i="13" s="1"/>
  <c r="L14" i="13"/>
  <c r="J14" i="13"/>
  <c r="X14" i="13"/>
  <c r="AZ14" i="13"/>
  <c r="BB14" i="13" s="1"/>
  <c r="Q14" i="13"/>
  <c r="AE14" i="13"/>
  <c r="BG14" i="13"/>
  <c r="BI14" i="13" s="1"/>
  <c r="AL14" i="13"/>
  <c r="AN14" i="13" s="1"/>
  <c r="BN14" i="13"/>
  <c r="AS14" i="13"/>
  <c r="BN27" i="10"/>
  <c r="AS27" i="10"/>
  <c r="H30" i="10"/>
  <c r="AZ27" i="10"/>
  <c r="L27" i="10"/>
  <c r="BG27" i="10"/>
  <c r="X27" i="10"/>
  <c r="V16" i="16"/>
  <c r="F18" i="24"/>
  <c r="Q27" i="10"/>
  <c r="H36" i="16"/>
  <c r="AE22" i="13"/>
  <c r="X22" i="13"/>
  <c r="Q22" i="13"/>
  <c r="AE23" i="13"/>
  <c r="X23" i="13"/>
  <c r="Q23" i="13"/>
  <c r="AE24" i="13"/>
  <c r="AG24" i="13" s="1"/>
  <c r="X24" i="13"/>
  <c r="Z24" i="13" s="1"/>
  <c r="Q24" i="13"/>
  <c r="S24" i="13" s="1"/>
  <c r="BT43" i="10"/>
  <c r="L43" i="10"/>
  <c r="AL27" i="10"/>
  <c r="AN26" i="11"/>
  <c r="AK56" i="10"/>
  <c r="AN56" i="10"/>
  <c r="AD33" i="10"/>
  <c r="BP19" i="11"/>
  <c r="U30" i="24"/>
  <c r="BN25" i="11"/>
  <c r="BP25" i="11" s="1"/>
  <c r="O16" i="16"/>
  <c r="G16" i="16" s="1"/>
  <c r="H54" i="24"/>
  <c r="AA22" i="24"/>
  <c r="M38" i="16"/>
  <c r="G38" i="16" s="1"/>
  <c r="V38" i="16"/>
  <c r="J39" i="16"/>
  <c r="I39" i="16" s="1"/>
  <c r="X39" i="16" s="1"/>
  <c r="H64" i="24"/>
  <c r="AG48" i="10"/>
  <c r="W33" i="10"/>
  <c r="P14" i="16"/>
  <c r="P13" i="16" s="1"/>
  <c r="M17" i="15" s="1"/>
  <c r="M21" i="15" s="1"/>
  <c r="R14" i="16"/>
  <c r="R47" i="16" s="1"/>
  <c r="R46" i="16" s="1"/>
  <c r="Q60" i="10"/>
  <c r="BP56" i="10"/>
  <c r="BN60" i="10"/>
  <c r="BP60" i="10" s="1"/>
  <c r="O10" i="16"/>
  <c r="X45" i="10"/>
  <c r="W45" i="10" s="1"/>
  <c r="BF56" i="10"/>
  <c r="AZ60" i="10"/>
  <c r="AY60" i="10" s="1"/>
  <c r="AY56" i="10"/>
  <c r="AS25" i="11"/>
  <c r="AR25" i="11" s="1"/>
  <c r="J11" i="16"/>
  <c r="I11" i="16" s="1"/>
  <c r="X11" i="16" s="1"/>
  <c r="Q45" i="10"/>
  <c r="BP26" i="11"/>
  <c r="V17" i="16"/>
  <c r="BP23" i="11"/>
  <c r="BB26" i="11"/>
  <c r="AR26" i="11"/>
  <c r="BG25" i="11"/>
  <c r="BI25" i="11" s="1"/>
  <c r="P23" i="11"/>
  <c r="AZ25" i="11"/>
  <c r="BB25" i="11" s="1"/>
  <c r="S23" i="11"/>
  <c r="AG14" i="11"/>
  <c r="BI13" i="11"/>
  <c r="BI14" i="11"/>
  <c r="BB14" i="11"/>
  <c r="Z11" i="11"/>
  <c r="AE39" i="10"/>
  <c r="BG39" i="10"/>
  <c r="AL39" i="10"/>
  <c r="BN39" i="10"/>
  <c r="Q39" i="10"/>
  <c r="AS39" i="10"/>
  <c r="X39" i="10"/>
  <c r="AZ39" i="10"/>
  <c r="Z14" i="11"/>
  <c r="AL16" i="11"/>
  <c r="AL56" i="11" s="1"/>
  <c r="BN16" i="11"/>
  <c r="BN56" i="11" s="1"/>
  <c r="Q16" i="11"/>
  <c r="S16" i="11" s="1"/>
  <c r="AS16" i="11"/>
  <c r="AS56" i="11" s="1"/>
  <c r="X16" i="11"/>
  <c r="Z16" i="11" s="1"/>
  <c r="AZ16" i="11"/>
  <c r="AZ56" i="11" s="1"/>
  <c r="AE16" i="11"/>
  <c r="BG16" i="11"/>
  <c r="AU13" i="11"/>
  <c r="AU14" i="11"/>
  <c r="S11" i="11"/>
  <c r="AL22" i="13"/>
  <c r="BG22" i="13"/>
  <c r="BI22" i="13" s="1"/>
  <c r="AS22" i="13"/>
  <c r="AU22" i="13" s="1"/>
  <c r="AZ22" i="13"/>
  <c r="BB22" i="13" s="1"/>
  <c r="BN22" i="13"/>
  <c r="Y57" i="24" s="1"/>
  <c r="S14" i="11"/>
  <c r="AE37" i="10"/>
  <c r="BG37" i="10"/>
  <c r="BI37" i="10" s="1"/>
  <c r="AL37" i="10"/>
  <c r="BN37" i="10"/>
  <c r="Q37" i="10"/>
  <c r="AS37" i="10"/>
  <c r="AU37" i="10" s="1"/>
  <c r="X37" i="10"/>
  <c r="AZ37" i="10"/>
  <c r="BB37" i="10" s="1"/>
  <c r="AE32" i="10"/>
  <c r="BG32" i="10"/>
  <c r="BI32" i="10" s="1"/>
  <c r="AL32" i="10"/>
  <c r="BN32" i="10"/>
  <c r="W8" i="24" s="1"/>
  <c r="W19" i="24" s="1"/>
  <c r="W18" i="24" s="1"/>
  <c r="Q32" i="10"/>
  <c r="AS32" i="10"/>
  <c r="AU32" i="10" s="1"/>
  <c r="X32" i="10"/>
  <c r="AZ32" i="10"/>
  <c r="BB32" i="10" s="1"/>
  <c r="H25" i="13"/>
  <c r="AZ12" i="13"/>
  <c r="Q12" i="13"/>
  <c r="BG12" i="13"/>
  <c r="BN12" i="13"/>
  <c r="AE12" i="13"/>
  <c r="AS12" i="13"/>
  <c r="X12" i="13"/>
  <c r="AL12" i="13"/>
  <c r="L21" i="10"/>
  <c r="AL23" i="13"/>
  <c r="BG23" i="13"/>
  <c r="BI23" i="13" s="1"/>
  <c r="AS23" i="13"/>
  <c r="AU23" i="13" s="1"/>
  <c r="BN23" i="13"/>
  <c r="AZ23" i="13"/>
  <c r="BB23" i="13" s="1"/>
  <c r="BG11" i="13"/>
  <c r="AE11" i="13"/>
  <c r="U55" i="32" s="1"/>
  <c r="AL11" i="13"/>
  <c r="AZ11" i="13"/>
  <c r="AS11" i="13"/>
  <c r="BN11" i="13"/>
  <c r="X31" i="10"/>
  <c r="Z31" i="10" s="1"/>
  <c r="AZ31" i="10"/>
  <c r="AE31" i="10"/>
  <c r="Q8" i="32" s="1"/>
  <c r="BG31" i="10"/>
  <c r="W8" i="32" s="1"/>
  <c r="W19" i="32" s="1"/>
  <c r="AL31" i="10"/>
  <c r="BN31" i="10"/>
  <c r="Y8" i="32" s="1"/>
  <c r="Q31" i="10"/>
  <c r="S31" i="10" s="1"/>
  <c r="AS31" i="10"/>
  <c r="AB5" i="10"/>
  <c r="BP33" i="10"/>
  <c r="AE36" i="10"/>
  <c r="BG36" i="10"/>
  <c r="AL36" i="10"/>
  <c r="BN36" i="10"/>
  <c r="Q36" i="10"/>
  <c r="S36" i="10" s="1"/>
  <c r="AS36" i="10"/>
  <c r="X36" i="10"/>
  <c r="Z36" i="10" s="1"/>
  <c r="AZ36" i="10"/>
  <c r="S16" i="13"/>
  <c r="AE21" i="10"/>
  <c r="BG21" i="10"/>
  <c r="AL21" i="10"/>
  <c r="BN21" i="10"/>
  <c r="AS21" i="10"/>
  <c r="AZ21" i="10"/>
  <c r="AE34" i="10"/>
  <c r="AE89" i="10" s="1"/>
  <c r="AG89" i="10" s="1"/>
  <c r="BG34" i="10"/>
  <c r="AL34" i="10"/>
  <c r="AL89" i="10" s="1"/>
  <c r="AN89" i="10" s="1"/>
  <c r="BN34" i="10"/>
  <c r="Q34" i="10"/>
  <c r="AS34" i="10"/>
  <c r="X34" i="10"/>
  <c r="AZ34" i="10"/>
  <c r="AE22" i="10"/>
  <c r="BG22" i="10"/>
  <c r="AL22" i="10"/>
  <c r="BN22" i="10"/>
  <c r="AS22" i="10"/>
  <c r="X22" i="10"/>
  <c r="AZ22" i="10"/>
  <c r="J27" i="11"/>
  <c r="AL27" i="11"/>
  <c r="AL30" i="11" s="1"/>
  <c r="AN30" i="11" s="1"/>
  <c r="BN27" i="11"/>
  <c r="Q27" i="11"/>
  <c r="Q30" i="11" s="1"/>
  <c r="AS27" i="11"/>
  <c r="AS57" i="11" s="1"/>
  <c r="X27" i="11"/>
  <c r="X57" i="11" s="1"/>
  <c r="AZ27" i="11"/>
  <c r="BB27" i="11" s="1"/>
  <c r="AE27" i="11"/>
  <c r="AE30" i="11" s="1"/>
  <c r="AG30" i="11" s="1"/>
  <c r="BG27" i="11"/>
  <c r="BI27" i="11" s="1"/>
  <c r="BI12" i="11"/>
  <c r="BS19" i="11"/>
  <c r="BB12" i="11"/>
  <c r="BB13" i="11"/>
  <c r="AE38" i="10"/>
  <c r="BG38" i="10"/>
  <c r="BI38" i="10" s="1"/>
  <c r="AL38" i="10"/>
  <c r="BN38" i="10"/>
  <c r="Q38" i="10"/>
  <c r="AS38" i="10"/>
  <c r="AU38" i="10" s="1"/>
  <c r="X38" i="10"/>
  <c r="AZ38" i="10"/>
  <c r="BB38" i="10" s="1"/>
  <c r="P48" i="10"/>
  <c r="Z16" i="13"/>
  <c r="AL24" i="13"/>
  <c r="BG24" i="13"/>
  <c r="BI24" i="13" s="1"/>
  <c r="AS24" i="13"/>
  <c r="AU24" i="13" s="1"/>
  <c r="BN24" i="13"/>
  <c r="AZ24" i="13"/>
  <c r="BB24" i="13" s="1"/>
  <c r="AU12" i="11"/>
  <c r="G11" i="16"/>
  <c r="AG56" i="10"/>
  <c r="BS56" i="10"/>
  <c r="AE60" i="10"/>
  <c r="AD60" i="10" s="1"/>
  <c r="AR56" i="10"/>
  <c r="AS60" i="10"/>
  <c r="AR60" i="10" s="1"/>
  <c r="BI56" i="10"/>
  <c r="L20" i="13"/>
  <c r="BS33" i="10"/>
  <c r="P33" i="10"/>
  <c r="F7" i="20"/>
  <c r="G7" i="20"/>
  <c r="W48" i="10"/>
  <c r="AK48" i="10"/>
  <c r="E47" i="16"/>
  <c r="AK33" i="10"/>
  <c r="AG23" i="11"/>
  <c r="J57" i="11"/>
  <c r="BS48" i="10"/>
  <c r="H30" i="13"/>
  <c r="S48" i="10"/>
  <c r="V10" i="16"/>
  <c r="BM48" i="10"/>
  <c r="F44" i="16"/>
  <c r="K35" i="10"/>
  <c r="BT32" i="10"/>
  <c r="H14" i="16"/>
  <c r="H45" i="16"/>
  <c r="F13" i="16"/>
  <c r="F30" i="16"/>
  <c r="J15" i="11"/>
  <c r="BS26" i="11"/>
  <c r="Z23" i="11"/>
  <c r="AK19" i="11"/>
  <c r="AG26" i="11"/>
  <c r="X25" i="11"/>
  <c r="J22" i="24" s="1"/>
  <c r="AK23" i="11"/>
  <c r="AN23" i="11"/>
  <c r="BU22" i="11"/>
  <c r="L27" i="11"/>
  <c r="L30" i="11" s="1"/>
  <c r="V19" i="16"/>
  <c r="AE25" i="11"/>
  <c r="AD25" i="11" s="1"/>
  <c r="BS23" i="11"/>
  <c r="G17" i="16"/>
  <c r="M15" i="16"/>
  <c r="M19" i="16"/>
  <c r="BF26" i="11"/>
  <c r="O15" i="16"/>
  <c r="O19" i="16"/>
  <c r="V15" i="16"/>
  <c r="BI26" i="11"/>
  <c r="I30" i="11"/>
  <c r="J30" i="11" s="1"/>
  <c r="W60" i="10"/>
  <c r="Z60" i="10"/>
  <c r="J58" i="10"/>
  <c r="L58" i="10"/>
  <c r="BT58" i="10"/>
  <c r="K57" i="10"/>
  <c r="R60" i="10"/>
  <c r="AN60" i="10"/>
  <c r="AK60" i="10"/>
  <c r="AY55" i="10"/>
  <c r="BB55" i="10"/>
  <c r="K53" i="10"/>
  <c r="BI55" i="10"/>
  <c r="BF55" i="10"/>
  <c r="AG55" i="10"/>
  <c r="AD55" i="10"/>
  <c r="AN55" i="10"/>
  <c r="AK55" i="10"/>
  <c r="W55" i="10"/>
  <c r="Z55" i="10"/>
  <c r="P55" i="10"/>
  <c r="K52" i="10"/>
  <c r="M12" i="34" s="1"/>
  <c r="R55" i="10"/>
  <c r="S55" i="10" s="1"/>
  <c r="BP55" i="10"/>
  <c r="BM55" i="10"/>
  <c r="S53" i="10"/>
  <c r="AU55" i="10"/>
  <c r="AR55" i="10"/>
  <c r="Q22" i="10"/>
  <c r="Q87" i="10" s="1"/>
  <c r="BT48" i="10"/>
  <c r="L48" i="10"/>
  <c r="R50" i="10"/>
  <c r="K47" i="10"/>
  <c r="J38" i="10"/>
  <c r="BT42" i="10"/>
  <c r="K45" i="10"/>
  <c r="L42" i="10"/>
  <c r="J42" i="10"/>
  <c r="I23" i="10"/>
  <c r="L37" i="10"/>
  <c r="J24" i="13"/>
  <c r="L24" i="13"/>
  <c r="I35" i="10"/>
  <c r="L31" i="10"/>
  <c r="J31" i="10"/>
  <c r="L29" i="13"/>
  <c r="J29" i="13"/>
  <c r="L23" i="13"/>
  <c r="J23" i="13"/>
  <c r="I40" i="10"/>
  <c r="L36" i="10"/>
  <c r="J36" i="10"/>
  <c r="R28" i="13"/>
  <c r="R53" i="13" s="1"/>
  <c r="L22" i="13"/>
  <c r="J22" i="13"/>
  <c r="L32" i="10"/>
  <c r="J32" i="10"/>
  <c r="L12" i="13"/>
  <c r="J12" i="13"/>
  <c r="J58" i="11"/>
  <c r="BP17" i="13"/>
  <c r="BM17" i="13"/>
  <c r="BP47" i="10"/>
  <c r="BM47" i="10"/>
  <c r="AN28" i="10"/>
  <c r="AK28" i="10"/>
  <c r="BF11" i="11"/>
  <c r="BG15" i="11"/>
  <c r="BI11" i="11"/>
  <c r="I26" i="10"/>
  <c r="I15" i="13"/>
  <c r="J15" i="13" s="1"/>
  <c r="L11" i="13"/>
  <c r="J11" i="13"/>
  <c r="BS47" i="10"/>
  <c r="S47" i="10"/>
  <c r="Q50" i="10"/>
  <c r="P47" i="10"/>
  <c r="S28" i="10"/>
  <c r="P28" i="10"/>
  <c r="BP17" i="11"/>
  <c r="BM17" i="11"/>
  <c r="R27" i="13"/>
  <c r="BB11" i="11"/>
  <c r="AY11" i="11"/>
  <c r="AZ15" i="11"/>
  <c r="AD47" i="10"/>
  <c r="BU47" i="10"/>
  <c r="AG47" i="10"/>
  <c r="L34" i="10"/>
  <c r="J34" i="10"/>
  <c r="H59" i="12"/>
  <c r="I59" i="12" s="1"/>
  <c r="G60" i="12"/>
  <c r="H56" i="12"/>
  <c r="I56" i="12" s="1"/>
  <c r="J37" i="10"/>
  <c r="K40" i="10"/>
  <c r="BN45" i="10"/>
  <c r="BP41" i="10"/>
  <c r="BM41" i="10"/>
  <c r="AU11" i="11"/>
  <c r="AS15" i="11"/>
  <c r="AR11" i="11"/>
  <c r="J33" i="10"/>
  <c r="L33" i="10"/>
  <c r="BT33" i="10"/>
  <c r="AG41" i="10"/>
  <c r="BS41" i="10"/>
  <c r="AD41" i="10"/>
  <c r="AE45" i="10"/>
  <c r="L15" i="11"/>
  <c r="H51" i="13"/>
  <c r="I51" i="13" s="1"/>
  <c r="G55" i="13"/>
  <c r="AD28" i="10"/>
  <c r="AG28" i="10"/>
  <c r="I26" i="13"/>
  <c r="AR41" i="10"/>
  <c r="AS45" i="10"/>
  <c r="AU41" i="10"/>
  <c r="I21" i="13"/>
  <c r="BI41" i="10"/>
  <c r="BG45" i="10"/>
  <c r="BF41" i="10"/>
  <c r="H15" i="13"/>
  <c r="Z13" i="11"/>
  <c r="W13" i="11"/>
  <c r="AN47" i="10"/>
  <c r="AK47" i="10"/>
  <c r="H57" i="12"/>
  <c r="I57" i="12" s="1"/>
  <c r="L38" i="10"/>
  <c r="AL45" i="10"/>
  <c r="AN41" i="10"/>
  <c r="AK41" i="10"/>
  <c r="BP11" i="11"/>
  <c r="BN15" i="11"/>
  <c r="BM11" i="11"/>
  <c r="H89" i="10"/>
  <c r="I89" i="10" s="1"/>
  <c r="AG13" i="11"/>
  <c r="AD13" i="11"/>
  <c r="BT38" i="10"/>
  <c r="AN11" i="11"/>
  <c r="AK11" i="11"/>
  <c r="AL15" i="11"/>
  <c r="AN13" i="11"/>
  <c r="AK13" i="11"/>
  <c r="X50" i="10"/>
  <c r="Z47" i="10"/>
  <c r="W47" i="10"/>
  <c r="H40" i="10"/>
  <c r="BS24" i="10"/>
  <c r="BM24" i="10"/>
  <c r="BP24" i="10"/>
  <c r="BP13" i="11"/>
  <c r="BM13" i="11"/>
  <c r="AD17" i="11"/>
  <c r="AG17" i="11"/>
  <c r="BU17" i="11"/>
  <c r="AZ45" i="10"/>
  <c r="BB41" i="10"/>
  <c r="AG46" i="10"/>
  <c r="AE50" i="10"/>
  <c r="BS46" i="10"/>
  <c r="AD46" i="10"/>
  <c r="BS13" i="11"/>
  <c r="S13" i="11"/>
  <c r="P13" i="11"/>
  <c r="BM13" i="13"/>
  <c r="AZ20" i="13"/>
  <c r="BB16" i="13"/>
  <c r="AY16" i="13"/>
  <c r="AK46" i="10"/>
  <c r="AL50" i="10"/>
  <c r="AN46" i="10"/>
  <c r="X15" i="11"/>
  <c r="W12" i="11"/>
  <c r="Z12" i="11"/>
  <c r="AG13" i="13"/>
  <c r="AD13" i="13"/>
  <c r="P17" i="11"/>
  <c r="S17" i="11"/>
  <c r="BS17" i="11"/>
  <c r="AN17" i="11"/>
  <c r="AK17" i="11"/>
  <c r="H60" i="11"/>
  <c r="BP16" i="13"/>
  <c r="BM16" i="13"/>
  <c r="BN20" i="13"/>
  <c r="BI46" i="10"/>
  <c r="BG50" i="10"/>
  <c r="BF46" i="10"/>
  <c r="S25" i="11"/>
  <c r="P25" i="11"/>
  <c r="L16" i="11"/>
  <c r="L20" i="11" s="1"/>
  <c r="J16" i="11"/>
  <c r="I20" i="11"/>
  <c r="J20" i="11" s="1"/>
  <c r="X20" i="13"/>
  <c r="Z17" i="13"/>
  <c r="W17" i="13"/>
  <c r="AK12" i="11"/>
  <c r="AN12" i="11"/>
  <c r="I60" i="11"/>
  <c r="J60" i="11" s="1"/>
  <c r="AU46" i="10"/>
  <c r="AR46" i="10"/>
  <c r="AS50" i="10"/>
  <c r="H87" i="10"/>
  <c r="I87" i="10" s="1"/>
  <c r="L39" i="10"/>
  <c r="J39" i="10"/>
  <c r="H88" i="10"/>
  <c r="I88" i="10" s="1"/>
  <c r="AZ50" i="10"/>
  <c r="AY46" i="10"/>
  <c r="BB46" i="10"/>
  <c r="G90" i="10"/>
  <c r="AK17" i="13"/>
  <c r="AN17" i="13"/>
  <c r="P12" i="11"/>
  <c r="BS12" i="11"/>
  <c r="Q15" i="11"/>
  <c r="S12" i="11"/>
  <c r="AR16" i="13"/>
  <c r="AS20" i="13"/>
  <c r="AU16" i="13"/>
  <c r="AD17" i="13"/>
  <c r="BU17" i="13"/>
  <c r="AG17" i="13"/>
  <c r="BS14" i="11"/>
  <c r="BP14" i="11"/>
  <c r="BM14" i="11"/>
  <c r="Z17" i="11"/>
  <c r="W17" i="11"/>
  <c r="BG20" i="13"/>
  <c r="BF16" i="13"/>
  <c r="BI16" i="13"/>
  <c r="BP12" i="11"/>
  <c r="BM12" i="11"/>
  <c r="H58" i="12"/>
  <c r="I58" i="12" s="1"/>
  <c r="H54" i="13"/>
  <c r="I54" i="13" s="1"/>
  <c r="BT37" i="10"/>
  <c r="AK14" i="11"/>
  <c r="AN14" i="11"/>
  <c r="H35" i="10"/>
  <c r="H52" i="13"/>
  <c r="I52" i="13" s="1"/>
  <c r="AG27" i="10"/>
  <c r="AD27" i="10"/>
  <c r="AE20" i="13"/>
  <c r="AD16" i="13"/>
  <c r="AG16" i="13"/>
  <c r="BS16" i="13"/>
  <c r="AL20" i="13"/>
  <c r="AN16" i="13"/>
  <c r="AK16" i="13"/>
  <c r="BM46" i="10"/>
  <c r="BN50" i="10"/>
  <c r="BP46" i="10"/>
  <c r="BS11" i="11"/>
  <c r="AE15" i="11"/>
  <c r="AG11" i="11"/>
  <c r="AD11" i="11"/>
  <c r="AN25" i="11"/>
  <c r="AK25" i="11"/>
  <c r="S17" i="13"/>
  <c r="Q20" i="13"/>
  <c r="P17" i="13"/>
  <c r="BS17" i="13"/>
  <c r="AG12" i="11"/>
  <c r="AD12" i="11"/>
  <c r="BU12" i="11"/>
  <c r="BM44" i="10"/>
  <c r="BS44" i="10"/>
  <c r="BP44" i="10"/>
  <c r="I20" i="32" l="1"/>
  <c r="AB23" i="32"/>
  <c r="BN57" i="11"/>
  <c r="BP57" i="11" s="1"/>
  <c r="Y23" i="24"/>
  <c r="J22" i="32"/>
  <c r="I22" i="32" s="1"/>
  <c r="AE56" i="11"/>
  <c r="U21" i="32"/>
  <c r="H47" i="37"/>
  <c r="W259" i="38"/>
  <c r="W26" i="38"/>
  <c r="W41" i="38"/>
  <c r="X259" i="38"/>
  <c r="X26" i="38"/>
  <c r="X41" i="38"/>
  <c r="V30" i="35"/>
  <c r="W30" i="35" s="1"/>
  <c r="X30" i="35" s="1"/>
  <c r="V19" i="35"/>
  <c r="V21" i="35"/>
  <c r="V95" i="35"/>
  <c r="V79" i="35" s="1"/>
  <c r="W79" i="35" s="1"/>
  <c r="Z79" i="35" s="1"/>
  <c r="V98" i="35"/>
  <c r="V86" i="35" s="1"/>
  <c r="AF86" i="35" s="1"/>
  <c r="V100" i="35"/>
  <c r="V88" i="35" s="1"/>
  <c r="W88" i="35" s="1"/>
  <c r="X88" i="35" s="1"/>
  <c r="V49" i="35"/>
  <c r="W49" i="35" s="1"/>
  <c r="V58" i="35"/>
  <c r="W58" i="35" s="1"/>
  <c r="V56" i="35"/>
  <c r="W56" i="35" s="1"/>
  <c r="V47" i="35"/>
  <c r="W47" i="35" s="1"/>
  <c r="V50" i="35"/>
  <c r="W50" i="35" s="1"/>
  <c r="V93" i="35"/>
  <c r="V77" i="35" s="1"/>
  <c r="W77" i="35" s="1"/>
  <c r="Z77" i="35" s="1"/>
  <c r="V48" i="35"/>
  <c r="W48" i="35" s="1"/>
  <c r="V57" i="35"/>
  <c r="W57" i="35" s="1"/>
  <c r="V59" i="35"/>
  <c r="W59" i="35" s="1"/>
  <c r="V28" i="35"/>
  <c r="V27" i="35"/>
  <c r="W27" i="35" s="1"/>
  <c r="X27" i="35" s="1"/>
  <c r="V29" i="35"/>
  <c r="V18" i="35"/>
  <c r="W18" i="35" s="1"/>
  <c r="Z20" i="35"/>
  <c r="S55" i="32"/>
  <c r="S64" i="32" s="1"/>
  <c r="S63" i="32" s="1"/>
  <c r="U64" i="32"/>
  <c r="Y55" i="24"/>
  <c r="AS89" i="10"/>
  <c r="AU89" i="10" s="1"/>
  <c r="X89" i="10"/>
  <c r="Z89" i="10" s="1"/>
  <c r="BG89" i="10"/>
  <c r="BI89" i="10" s="1"/>
  <c r="BG87" i="10"/>
  <c r="BI87" i="10" s="1"/>
  <c r="L89" i="10"/>
  <c r="Y9" i="24"/>
  <c r="BN89" i="10"/>
  <c r="BP89" i="10" s="1"/>
  <c r="T22" i="1"/>
  <c r="U22" i="1" s="1"/>
  <c r="N22" i="1" s="1"/>
  <c r="BM27" i="10"/>
  <c r="Y7" i="24"/>
  <c r="U9" i="24"/>
  <c r="R22" i="1"/>
  <c r="S22" i="1" s="1"/>
  <c r="K22" i="1" s="1"/>
  <c r="M9" i="24"/>
  <c r="M9" i="34"/>
  <c r="H24" i="1"/>
  <c r="H27" i="1" s="1"/>
  <c r="M11" i="24"/>
  <c r="M11" i="34"/>
  <c r="AZ87" i="10"/>
  <c r="BB87" i="10" s="1"/>
  <c r="X87" i="10"/>
  <c r="AS87" i="10"/>
  <c r="AU87" i="10" s="1"/>
  <c r="AL87" i="10"/>
  <c r="AN87" i="10" s="1"/>
  <c r="Q89" i="10"/>
  <c r="R24" i="38"/>
  <c r="J11" i="32"/>
  <c r="J11" i="34"/>
  <c r="AE87" i="10"/>
  <c r="J47" i="37"/>
  <c r="Q7" i="24"/>
  <c r="O7" i="24" s="1"/>
  <c r="AA7" i="24" s="1"/>
  <c r="Q7" i="34"/>
  <c r="Q9" i="34"/>
  <c r="Q9" i="24"/>
  <c r="P22" i="1"/>
  <c r="Q22" i="1" s="1"/>
  <c r="G22" i="1" s="1"/>
  <c r="R24" i="1"/>
  <c r="S24" i="1" s="1"/>
  <c r="K24" i="1" s="1"/>
  <c r="T24" i="1"/>
  <c r="U24" i="1" s="1"/>
  <c r="N24" i="1" s="1"/>
  <c r="J68" i="39"/>
  <c r="I26" i="38"/>
  <c r="I41" i="38"/>
  <c r="J51" i="37"/>
  <c r="J49" i="37"/>
  <c r="H22" i="1"/>
  <c r="T47" i="37"/>
  <c r="U47" i="37" s="1"/>
  <c r="N47" i="37" s="1"/>
  <c r="T49" i="37"/>
  <c r="U49" i="37" s="1"/>
  <c r="N49" i="37" s="1"/>
  <c r="T51" i="37"/>
  <c r="U51" i="37" s="1"/>
  <c r="N51" i="37" s="1"/>
  <c r="P49" i="37"/>
  <c r="Q49" i="37" s="1"/>
  <c r="G49" i="37" s="1"/>
  <c r="P51" i="37"/>
  <c r="Q51" i="37" s="1"/>
  <c r="P47" i="37"/>
  <c r="Q47" i="37" s="1"/>
  <c r="G47" i="37" s="1"/>
  <c r="G33" i="4"/>
  <c r="F45" i="4"/>
  <c r="F47" i="4"/>
  <c r="F49" i="4" s="1"/>
  <c r="H49" i="37"/>
  <c r="H51" i="37"/>
  <c r="F22" i="36"/>
  <c r="E34" i="36"/>
  <c r="E27" i="36"/>
  <c r="E36" i="36" s="1"/>
  <c r="G34" i="4"/>
  <c r="F44" i="4"/>
  <c r="R49" i="37"/>
  <c r="S49" i="37" s="1"/>
  <c r="K49" i="37" s="1"/>
  <c r="R47" i="37"/>
  <c r="S47" i="37" s="1"/>
  <c r="K47" i="37" s="1"/>
  <c r="R51" i="37"/>
  <c r="S51" i="37" s="1"/>
  <c r="K51" i="37" s="1"/>
  <c r="V99" i="35"/>
  <c r="V87" i="35" s="1"/>
  <c r="W87" i="35" s="1"/>
  <c r="V94" i="35"/>
  <c r="V78" i="35" s="1"/>
  <c r="W78" i="35" s="1"/>
  <c r="I68" i="39"/>
  <c r="H26" i="38"/>
  <c r="H41" i="38"/>
  <c r="AA10" i="32"/>
  <c r="J24" i="1"/>
  <c r="P24" i="1"/>
  <c r="Q24" i="1" s="1"/>
  <c r="G24" i="1" s="1"/>
  <c r="Z87" i="10"/>
  <c r="Q6" i="32"/>
  <c r="Y6" i="24"/>
  <c r="BN87" i="10"/>
  <c r="BP87" i="10" s="1"/>
  <c r="Y55" i="32"/>
  <c r="BG56" i="11"/>
  <c r="BF56" i="11" s="1"/>
  <c r="Y21" i="32"/>
  <c r="M30" i="10"/>
  <c r="BF60" i="10"/>
  <c r="M12" i="24"/>
  <c r="AA12" i="24" s="1"/>
  <c r="I11" i="32"/>
  <c r="O6" i="32"/>
  <c r="BS28" i="10"/>
  <c r="W66" i="32"/>
  <c r="W65" i="32" s="1"/>
  <c r="W18" i="32"/>
  <c r="S18" i="32"/>
  <c r="Y9" i="32"/>
  <c r="O8" i="32"/>
  <c r="AA8" i="32" s="1"/>
  <c r="AB8" i="32"/>
  <c r="O13" i="32"/>
  <c r="AA13" i="32" s="1"/>
  <c r="G13" i="32"/>
  <c r="AB13" i="32"/>
  <c r="W28" i="10"/>
  <c r="Y6" i="32"/>
  <c r="AB6" i="32" s="1"/>
  <c r="AA11" i="32"/>
  <c r="BM28" i="10"/>
  <c r="R52" i="13"/>
  <c r="R55" i="13" s="1"/>
  <c r="N43" i="31"/>
  <c r="AA11" i="24"/>
  <c r="J10" i="24"/>
  <c r="J10" i="32"/>
  <c r="I10" i="32" s="1"/>
  <c r="J45" i="10"/>
  <c r="M10" i="24"/>
  <c r="AA10" i="24" s="1"/>
  <c r="R90" i="10"/>
  <c r="T6" i="31"/>
  <c r="T7" i="31"/>
  <c r="K18" i="31"/>
  <c r="I18" i="31" s="1"/>
  <c r="H18" i="31" s="1"/>
  <c r="K19" i="31"/>
  <c r="I19" i="31" s="1"/>
  <c r="H19" i="31" s="1"/>
  <c r="Q6" i="31"/>
  <c r="Q7" i="31"/>
  <c r="J13" i="24"/>
  <c r="I13" i="24" s="1"/>
  <c r="J13" i="32"/>
  <c r="I13" i="32" s="1"/>
  <c r="BT57" i="10"/>
  <c r="M13" i="24"/>
  <c r="AA13" i="24" s="1"/>
  <c r="S89" i="10"/>
  <c r="AA8" i="24"/>
  <c r="F66" i="24"/>
  <c r="S9" i="24"/>
  <c r="Q64" i="24"/>
  <c r="AB6" i="10"/>
  <c r="AC4" i="10" s="1"/>
  <c r="AG4" i="10" s="1"/>
  <c r="BB27" i="10"/>
  <c r="AU27" i="10"/>
  <c r="BP29" i="10"/>
  <c r="J11" i="24"/>
  <c r="AK27" i="10"/>
  <c r="Z27" i="10"/>
  <c r="BI27" i="10"/>
  <c r="AG58" i="11"/>
  <c r="BM58" i="11"/>
  <c r="W58" i="11"/>
  <c r="M30" i="13"/>
  <c r="O9" i="24"/>
  <c r="L54" i="13"/>
  <c r="U42" i="24"/>
  <c r="AG59" i="11"/>
  <c r="AN58" i="11"/>
  <c r="BI58" i="11"/>
  <c r="G20" i="24"/>
  <c r="Q30" i="24"/>
  <c r="AR58" i="11"/>
  <c r="V6" i="16"/>
  <c r="BP59" i="11"/>
  <c r="X52" i="13"/>
  <c r="AN13" i="13"/>
  <c r="BS29" i="10"/>
  <c r="AS52" i="13"/>
  <c r="AZ52" i="13"/>
  <c r="BB52" i="13" s="1"/>
  <c r="BN52" i="13"/>
  <c r="M40" i="10"/>
  <c r="AE53" i="13"/>
  <c r="BP27" i="10"/>
  <c r="Q53" i="13"/>
  <c r="P53" i="13" s="1"/>
  <c r="BM29" i="10"/>
  <c r="W59" i="11"/>
  <c r="BP56" i="11"/>
  <c r="BM56" i="11"/>
  <c r="BN60" i="11"/>
  <c r="Z57" i="11"/>
  <c r="W57" i="11"/>
  <c r="AU57" i="11"/>
  <c r="AR57" i="11"/>
  <c r="BB56" i="11"/>
  <c r="AY56" i="11"/>
  <c r="AG56" i="11"/>
  <c r="AD56" i="11"/>
  <c r="AU56" i="11"/>
  <c r="AR56" i="11"/>
  <c r="AS60" i="11"/>
  <c r="AZ54" i="13"/>
  <c r="BB54" i="13" s="1"/>
  <c r="AL52" i="13"/>
  <c r="M35" i="10"/>
  <c r="Z14" i="13"/>
  <c r="X54" i="13"/>
  <c r="Z54" i="13" s="1"/>
  <c r="AN56" i="11"/>
  <c r="AK56" i="11"/>
  <c r="BP28" i="13"/>
  <c r="BM28" i="13"/>
  <c r="AL26" i="13"/>
  <c r="Q26" i="13"/>
  <c r="S26" i="13" s="1"/>
  <c r="AS26" i="13"/>
  <c r="AE26" i="13"/>
  <c r="AZ26" i="13"/>
  <c r="X26" i="13"/>
  <c r="Z26" i="13" s="1"/>
  <c r="BN26" i="13"/>
  <c r="BG26" i="13"/>
  <c r="Y58" i="32" s="1"/>
  <c r="BB28" i="13"/>
  <c r="AY28" i="13"/>
  <c r="S13" i="13"/>
  <c r="AE52" i="13"/>
  <c r="AS53" i="13"/>
  <c r="AU53" i="13" s="1"/>
  <c r="BI28" i="13"/>
  <c r="BF28" i="13"/>
  <c r="AZ53" i="13"/>
  <c r="BF27" i="13"/>
  <c r="BI27" i="13"/>
  <c r="X56" i="11"/>
  <c r="BG52" i="13"/>
  <c r="X53" i="13"/>
  <c r="W53" i="13" s="1"/>
  <c r="AR59" i="11"/>
  <c r="AU59" i="11"/>
  <c r="L57" i="11"/>
  <c r="BI29" i="13"/>
  <c r="BF29" i="13"/>
  <c r="Q52" i="13"/>
  <c r="BG53" i="13"/>
  <c r="AU27" i="13"/>
  <c r="AR27" i="13"/>
  <c r="BN53" i="13"/>
  <c r="BM53" i="13" s="1"/>
  <c r="BP27" i="13"/>
  <c r="BM27" i="13"/>
  <c r="AE57" i="11"/>
  <c r="AU29" i="13"/>
  <c r="AR29" i="13"/>
  <c r="BB59" i="11"/>
  <c r="AY59" i="11"/>
  <c r="AS54" i="13"/>
  <c r="AU54" i="13" s="1"/>
  <c r="BB27" i="13"/>
  <c r="AY27" i="13"/>
  <c r="Q56" i="11"/>
  <c r="BP29" i="13"/>
  <c r="BM29" i="13"/>
  <c r="BM14" i="13"/>
  <c r="BN54" i="13"/>
  <c r="BP54" i="13" s="1"/>
  <c r="AK14" i="13"/>
  <c r="AL54" i="13"/>
  <c r="BB29" i="13"/>
  <c r="AY29" i="13"/>
  <c r="AL57" i="11"/>
  <c r="AL60" i="11" s="1"/>
  <c r="BG54" i="13"/>
  <c r="BI54" i="13" s="1"/>
  <c r="AL53" i="13"/>
  <c r="AN53" i="13" s="1"/>
  <c r="Q57" i="11"/>
  <c r="AG14" i="13"/>
  <c r="AE54" i="13"/>
  <c r="BG57" i="11"/>
  <c r="L56" i="11"/>
  <c r="S14" i="13"/>
  <c r="Q54" i="13"/>
  <c r="S54" i="13" s="1"/>
  <c r="AZ57" i="11"/>
  <c r="AZ60" i="11" s="1"/>
  <c r="AU28" i="13"/>
  <c r="AR28" i="13"/>
  <c r="AY57" i="12"/>
  <c r="BM57" i="12"/>
  <c r="AR57" i="12"/>
  <c r="BF57" i="12"/>
  <c r="AD57" i="12"/>
  <c r="AK57" i="12"/>
  <c r="W57" i="12"/>
  <c r="AY59" i="12"/>
  <c r="W59" i="12"/>
  <c r="AR59" i="12"/>
  <c r="BM59" i="12"/>
  <c r="BF59" i="12"/>
  <c r="AD59" i="12"/>
  <c r="AK59" i="12"/>
  <c r="AR56" i="12"/>
  <c r="BF56" i="12"/>
  <c r="AD56" i="12"/>
  <c r="BM56" i="12"/>
  <c r="W56" i="12"/>
  <c r="AK56" i="12"/>
  <c r="AY56" i="12"/>
  <c r="AD58" i="12"/>
  <c r="AR58" i="12"/>
  <c r="W58" i="12"/>
  <c r="AK58" i="12"/>
  <c r="BF58" i="12"/>
  <c r="BM58" i="12"/>
  <c r="AY58" i="12"/>
  <c r="L45" i="10"/>
  <c r="BM25" i="11"/>
  <c r="AU25" i="11"/>
  <c r="BS27" i="10"/>
  <c r="BS13" i="13"/>
  <c r="Z13" i="13"/>
  <c r="W13" i="13"/>
  <c r="P27" i="10"/>
  <c r="W27" i="10"/>
  <c r="S27" i="10"/>
  <c r="AN27" i="10"/>
  <c r="BP14" i="13"/>
  <c r="BS14" i="13"/>
  <c r="AU14" i="13"/>
  <c r="AY25" i="11"/>
  <c r="BU27" i="10"/>
  <c r="I16" i="16"/>
  <c r="X16" i="16" s="1"/>
  <c r="Q21" i="13"/>
  <c r="AE21" i="13"/>
  <c r="X21" i="13"/>
  <c r="I38" i="16"/>
  <c r="X38" i="16" s="1"/>
  <c r="BF25" i="11"/>
  <c r="Q20" i="11"/>
  <c r="P20" i="11" s="1"/>
  <c r="Z22" i="10"/>
  <c r="AU22" i="10"/>
  <c r="AN22" i="10"/>
  <c r="BI22" i="10"/>
  <c r="AY21" i="10"/>
  <c r="Z21" i="10"/>
  <c r="AR21" i="10"/>
  <c r="BP21" i="10"/>
  <c r="AK21" i="10"/>
  <c r="BF21" i="10"/>
  <c r="S22" i="10"/>
  <c r="BB22" i="10"/>
  <c r="G57" i="24"/>
  <c r="AZ30" i="11"/>
  <c r="BB30" i="11" s="1"/>
  <c r="AB22" i="24"/>
  <c r="AA56" i="24"/>
  <c r="AB56" i="24"/>
  <c r="AA44" i="24"/>
  <c r="AB20" i="24"/>
  <c r="AB21" i="24"/>
  <c r="I20" i="24"/>
  <c r="I22" i="24"/>
  <c r="W54" i="24"/>
  <c r="W66" i="24" s="1"/>
  <c r="U54" i="24"/>
  <c r="G21" i="24"/>
  <c r="I21" i="24"/>
  <c r="V37" i="16"/>
  <c r="I37" i="16" s="1"/>
  <c r="AA55" i="24"/>
  <c r="J41" i="16"/>
  <c r="G56" i="24"/>
  <c r="I56" i="24"/>
  <c r="W22" i="10"/>
  <c r="Z45" i="10"/>
  <c r="S60" i="10"/>
  <c r="P60" i="10"/>
  <c r="BM60" i="10"/>
  <c r="AN21" i="10"/>
  <c r="S45" i="10"/>
  <c r="P47" i="16"/>
  <c r="P46" i="16" s="1"/>
  <c r="R13" i="16"/>
  <c r="P45" i="10"/>
  <c r="BB60" i="10"/>
  <c r="AK22" i="10"/>
  <c r="J12" i="16"/>
  <c r="I12" i="16" s="1"/>
  <c r="X12" i="16" s="1"/>
  <c r="BB21" i="10"/>
  <c r="O7" i="16"/>
  <c r="AG60" i="10"/>
  <c r="J9" i="16"/>
  <c r="M10" i="16"/>
  <c r="G10" i="16" s="1"/>
  <c r="BM22" i="10"/>
  <c r="M9" i="16"/>
  <c r="V7" i="16"/>
  <c r="BI21" i="10"/>
  <c r="AU21" i="10"/>
  <c r="BM21" i="10"/>
  <c r="J35" i="10"/>
  <c r="BS21" i="10"/>
  <c r="J10" i="16"/>
  <c r="V43" i="16"/>
  <c r="V41" i="16"/>
  <c r="Z25" i="11"/>
  <c r="X20" i="11"/>
  <c r="Z20" i="11" s="1"/>
  <c r="W25" i="11"/>
  <c r="BG30" i="11"/>
  <c r="BI30" i="11" s="1"/>
  <c r="AD21" i="10"/>
  <c r="AG21" i="10"/>
  <c r="O41" i="16"/>
  <c r="G41" i="16" s="1"/>
  <c r="V40" i="16"/>
  <c r="S59" i="12"/>
  <c r="S59" i="11"/>
  <c r="P59" i="11"/>
  <c r="AL23" i="10"/>
  <c r="AL88" i="10" s="1"/>
  <c r="AN88" i="10" s="1"/>
  <c r="BN23" i="10"/>
  <c r="BN88" i="10" s="1"/>
  <c r="BP88" i="10" s="1"/>
  <c r="AS23" i="10"/>
  <c r="AS88" i="10" s="1"/>
  <c r="AU88" i="10" s="1"/>
  <c r="X23" i="10"/>
  <c r="X88" i="10" s="1"/>
  <c r="Z88" i="10" s="1"/>
  <c r="AZ23" i="10"/>
  <c r="AZ88" i="10" s="1"/>
  <c r="BB88" i="10" s="1"/>
  <c r="AE23" i="10"/>
  <c r="AE88" i="10" s="1"/>
  <c r="BG23" i="10"/>
  <c r="BG88" i="10" s="1"/>
  <c r="BI88" i="10" s="1"/>
  <c r="AU27" i="11"/>
  <c r="AS30" i="11"/>
  <c r="AU30" i="11" s="1"/>
  <c r="AU12" i="13"/>
  <c r="AL21" i="13"/>
  <c r="AL51" i="13" s="1"/>
  <c r="AS21" i="13"/>
  <c r="BN21" i="13"/>
  <c r="BG21" i="13"/>
  <c r="Y57" i="32" s="1"/>
  <c r="AZ21" i="13"/>
  <c r="BB21" i="13" s="1"/>
  <c r="BI12" i="13"/>
  <c r="BB12" i="13"/>
  <c r="X86" i="10"/>
  <c r="Z86" i="10" s="1"/>
  <c r="AZ26" i="10"/>
  <c r="AZ86" i="10" s="1"/>
  <c r="AE26" i="10"/>
  <c r="AE86" i="10" s="1"/>
  <c r="BG26" i="10"/>
  <c r="BG86" i="10" s="1"/>
  <c r="AL26" i="10"/>
  <c r="AL86" i="10" s="1"/>
  <c r="AN86" i="10" s="1"/>
  <c r="BN26" i="10"/>
  <c r="BN86" i="10" s="1"/>
  <c r="Q26" i="10"/>
  <c r="Q86" i="10" s="1"/>
  <c r="AS26" i="10"/>
  <c r="AS86" i="10" s="1"/>
  <c r="AU86" i="10" s="1"/>
  <c r="AU60" i="10"/>
  <c r="AG25" i="11"/>
  <c r="F9" i="20"/>
  <c r="J17" i="16"/>
  <c r="K7" i="20"/>
  <c r="L7" i="20" s="1"/>
  <c r="O4" i="16"/>
  <c r="V4" i="16"/>
  <c r="O8" i="16"/>
  <c r="O43" i="16"/>
  <c r="G43" i="16" s="1"/>
  <c r="V33" i="16"/>
  <c r="V42" i="16"/>
  <c r="O32" i="16"/>
  <c r="V32" i="16"/>
  <c r="BT53" i="10"/>
  <c r="BP22" i="10"/>
  <c r="O33" i="16"/>
  <c r="O34" i="16"/>
  <c r="V8" i="16"/>
  <c r="AD22" i="10"/>
  <c r="M42" i="16"/>
  <c r="O42" i="16"/>
  <c r="V34" i="16"/>
  <c r="M31" i="16"/>
  <c r="M30" i="16" s="1"/>
  <c r="F47" i="16"/>
  <c r="W27" i="11"/>
  <c r="X30" i="11"/>
  <c r="J23" i="24" s="1"/>
  <c r="AK27" i="11"/>
  <c r="P27" i="11"/>
  <c r="AN27" i="11"/>
  <c r="Z27" i="11"/>
  <c r="G18" i="16"/>
  <c r="AD27" i="11"/>
  <c r="AG27" i="11"/>
  <c r="BM27" i="11"/>
  <c r="S27" i="11"/>
  <c r="AK30" i="11"/>
  <c r="G15" i="16"/>
  <c r="I15" i="16"/>
  <c r="AD30" i="11"/>
  <c r="BN30" i="11"/>
  <c r="BM30" i="11" s="1"/>
  <c r="V18" i="16"/>
  <c r="V31" i="16" s="1"/>
  <c r="V30" i="16" s="1"/>
  <c r="O18" i="15" s="1"/>
  <c r="G19" i="16"/>
  <c r="I19" i="16"/>
  <c r="X19" i="16" s="1"/>
  <c r="BS27" i="11"/>
  <c r="BU27" i="11"/>
  <c r="BP27" i="11"/>
  <c r="J57" i="10"/>
  <c r="K60" i="10"/>
  <c r="J60" i="10" s="1"/>
  <c r="L57" i="10"/>
  <c r="L60" i="10" s="1"/>
  <c r="J52" i="10"/>
  <c r="K55" i="10"/>
  <c r="J55" i="10" s="1"/>
  <c r="L52" i="10"/>
  <c r="J53" i="10"/>
  <c r="L53" i="10"/>
  <c r="BT52" i="10"/>
  <c r="BS22" i="10"/>
  <c r="P22" i="10"/>
  <c r="I25" i="10"/>
  <c r="Q23" i="10"/>
  <c r="Q88" i="10" s="1"/>
  <c r="BT47" i="10"/>
  <c r="K50" i="10"/>
  <c r="J50" i="10" s="1"/>
  <c r="J47" i="10"/>
  <c r="L47" i="10"/>
  <c r="L50" i="10" s="1"/>
  <c r="H90" i="10"/>
  <c r="L59" i="12"/>
  <c r="S50" i="10"/>
  <c r="P50" i="10"/>
  <c r="K27" i="13"/>
  <c r="K52" i="13" s="1"/>
  <c r="R30" i="13"/>
  <c r="J58" i="32" s="1"/>
  <c r="L40" i="10"/>
  <c r="BS29" i="13"/>
  <c r="AD29" i="13"/>
  <c r="AG29" i="13"/>
  <c r="AG20" i="13"/>
  <c r="AD20" i="13"/>
  <c r="AK50" i="10"/>
  <c r="AN50" i="10"/>
  <c r="I55" i="13"/>
  <c r="J51" i="13"/>
  <c r="BS59" i="11"/>
  <c r="AG45" i="10"/>
  <c r="AD45" i="10"/>
  <c r="AE15" i="13"/>
  <c r="AG11" i="13"/>
  <c r="AD11" i="13"/>
  <c r="BS11" i="13"/>
  <c r="BM12" i="13"/>
  <c r="BP12" i="13"/>
  <c r="AK29" i="13"/>
  <c r="AN29" i="13"/>
  <c r="H55" i="13"/>
  <c r="AR11" i="13"/>
  <c r="AU11" i="13"/>
  <c r="AS15" i="13"/>
  <c r="AN12" i="13"/>
  <c r="AK12" i="13"/>
  <c r="K28" i="13"/>
  <c r="K53" i="13" s="1"/>
  <c r="BI31" i="10"/>
  <c r="BF31" i="10"/>
  <c r="BG35" i="10"/>
  <c r="BP24" i="13"/>
  <c r="BM24" i="13"/>
  <c r="BS24" i="13"/>
  <c r="BN40" i="10"/>
  <c r="BP36" i="10"/>
  <c r="BM36" i="10"/>
  <c r="S15" i="11"/>
  <c r="P15" i="11"/>
  <c r="AD16" i="11"/>
  <c r="AE20" i="11"/>
  <c r="AG16" i="11"/>
  <c r="BS16" i="11"/>
  <c r="AG50" i="10"/>
  <c r="AD50" i="10"/>
  <c r="AN16" i="11"/>
  <c r="AK16" i="11"/>
  <c r="AL20" i="11"/>
  <c r="AY20" i="13"/>
  <c r="BB20" i="13"/>
  <c r="AY45" i="10"/>
  <c r="BB45" i="10"/>
  <c r="L21" i="13"/>
  <c r="L25" i="13" s="1"/>
  <c r="J21" i="13"/>
  <c r="I25" i="13"/>
  <c r="J25" i="13" s="1"/>
  <c r="AY11" i="13"/>
  <c r="AZ15" i="13"/>
  <c r="BB11" i="13"/>
  <c r="Q15" i="13"/>
  <c r="S12" i="13"/>
  <c r="BS12" i="13"/>
  <c r="P12" i="13"/>
  <c r="BP23" i="13"/>
  <c r="BM23" i="13"/>
  <c r="AS35" i="10"/>
  <c r="AU31" i="10"/>
  <c r="AR31" i="10"/>
  <c r="BP15" i="11"/>
  <c r="BM15" i="11"/>
  <c r="AG15" i="11"/>
  <c r="AD15" i="11"/>
  <c r="BP20" i="13"/>
  <c r="BM20" i="13"/>
  <c r="S20" i="13"/>
  <c r="P20" i="13"/>
  <c r="BM50" i="10"/>
  <c r="BP50" i="10"/>
  <c r="AY50" i="10"/>
  <c r="BB50" i="10"/>
  <c r="AS20" i="11"/>
  <c r="AU16" i="11"/>
  <c r="AR16" i="11"/>
  <c r="BP38" i="10"/>
  <c r="BM38" i="10"/>
  <c r="L15" i="13"/>
  <c r="W12" i="13"/>
  <c r="X15" i="13"/>
  <c r="Z12" i="13"/>
  <c r="M32" i="16"/>
  <c r="S28" i="13"/>
  <c r="BS28" i="13"/>
  <c r="P28" i="13"/>
  <c r="BS23" i="13"/>
  <c r="S23" i="13"/>
  <c r="P23" i="13"/>
  <c r="AK24" i="13"/>
  <c r="AN24" i="13"/>
  <c r="W27" i="13"/>
  <c r="Z27" i="13"/>
  <c r="BI20" i="13"/>
  <c r="BF20" i="13"/>
  <c r="BI50" i="10"/>
  <c r="BF50" i="10"/>
  <c r="BP39" i="10"/>
  <c r="BM39" i="10"/>
  <c r="BS39" i="10"/>
  <c r="AZ20" i="11"/>
  <c r="BB16" i="11"/>
  <c r="AY16" i="11"/>
  <c r="BI45" i="10"/>
  <c r="BF45" i="10"/>
  <c r="AU45" i="10"/>
  <c r="AR45" i="10"/>
  <c r="BG15" i="13"/>
  <c r="BI11" i="13"/>
  <c r="BF11" i="13"/>
  <c r="Z28" i="13"/>
  <c r="W28" i="13"/>
  <c r="L35" i="10"/>
  <c r="BS38" i="10"/>
  <c r="S38" i="10"/>
  <c r="P38" i="10"/>
  <c r="J40" i="10"/>
  <c r="AG12" i="13"/>
  <c r="AD12" i="13"/>
  <c r="BU12" i="13"/>
  <c r="AD28" i="13"/>
  <c r="AG28" i="13"/>
  <c r="W23" i="13"/>
  <c r="Z23" i="13"/>
  <c r="AY31" i="10"/>
  <c r="AZ35" i="10"/>
  <c r="BB31" i="10"/>
  <c r="BM37" i="10"/>
  <c r="BP37" i="10"/>
  <c r="W20" i="13"/>
  <c r="Z20" i="13"/>
  <c r="BI16" i="11"/>
  <c r="BG20" i="11"/>
  <c r="BF16" i="11"/>
  <c r="J89" i="10"/>
  <c r="AU20" i="13"/>
  <c r="AR20" i="13"/>
  <c r="AK15" i="11"/>
  <c r="AN15" i="11"/>
  <c r="Z38" i="10"/>
  <c r="W38" i="10"/>
  <c r="AU15" i="11"/>
  <c r="AR15" i="11"/>
  <c r="AG23" i="13"/>
  <c r="AD23" i="13"/>
  <c r="BS31" i="10"/>
  <c r="AE35" i="10"/>
  <c r="AD31" i="10"/>
  <c r="AG31" i="10"/>
  <c r="AG38" i="10"/>
  <c r="AD38" i="10"/>
  <c r="H60" i="12"/>
  <c r="BU32" i="10"/>
  <c r="AD32" i="10"/>
  <c r="AG32" i="10"/>
  <c r="AK28" i="13"/>
  <c r="AN28" i="13"/>
  <c r="AN23" i="13"/>
  <c r="AK23" i="13"/>
  <c r="X40" i="10"/>
  <c r="M8" i="16" s="1"/>
  <c r="Z37" i="10"/>
  <c r="W37" i="10"/>
  <c r="Q35" i="10"/>
  <c r="S32" i="10"/>
  <c r="BS32" i="10"/>
  <c r="P32" i="10"/>
  <c r="AK20" i="13"/>
  <c r="AN20" i="13"/>
  <c r="S30" i="11"/>
  <c r="P30" i="11"/>
  <c r="BS58" i="11"/>
  <c r="S58" i="11"/>
  <c r="P58" i="11"/>
  <c r="AK45" i="10"/>
  <c r="AN45" i="10"/>
  <c r="AN38" i="10"/>
  <c r="AK38" i="10"/>
  <c r="I60" i="12"/>
  <c r="L56" i="12"/>
  <c r="J56" i="12"/>
  <c r="AY15" i="11"/>
  <c r="BB15" i="11"/>
  <c r="BP32" i="10"/>
  <c r="BM32" i="10"/>
  <c r="BS22" i="13"/>
  <c r="P22" i="13"/>
  <c r="S22" i="13"/>
  <c r="BG40" i="10"/>
  <c r="BI36" i="10"/>
  <c r="BF36" i="10"/>
  <c r="AN31" i="10"/>
  <c r="AK31" i="10"/>
  <c r="AL35" i="10"/>
  <c r="AN37" i="10"/>
  <c r="AK37" i="10"/>
  <c r="W15" i="11"/>
  <c r="Z15" i="11"/>
  <c r="I30" i="10"/>
  <c r="J30" i="10" s="1"/>
  <c r="J26" i="10"/>
  <c r="L26" i="10"/>
  <c r="L86" i="10" s="1"/>
  <c r="AN22" i="13"/>
  <c r="AK22" i="13"/>
  <c r="BS36" i="10"/>
  <c r="AG36" i="10"/>
  <c r="AD36" i="10"/>
  <c r="AE40" i="10"/>
  <c r="BN35" i="10"/>
  <c r="BM31" i="10"/>
  <c r="BP31" i="10"/>
  <c r="P37" i="10"/>
  <c r="S37" i="10"/>
  <c r="BS37" i="10"/>
  <c r="Q40" i="10"/>
  <c r="AG37" i="10"/>
  <c r="BU37" i="10"/>
  <c r="AD37" i="10"/>
  <c r="AU50" i="10"/>
  <c r="AR50" i="10"/>
  <c r="BM45" i="10"/>
  <c r="BP45" i="10"/>
  <c r="AK27" i="13"/>
  <c r="AN27" i="13"/>
  <c r="BF15" i="11"/>
  <c r="BI15" i="11"/>
  <c r="AN32" i="10"/>
  <c r="AK32" i="10"/>
  <c r="W22" i="13"/>
  <c r="Z22" i="13"/>
  <c r="AL40" i="10"/>
  <c r="AK36" i="10"/>
  <c r="AN36" i="10"/>
  <c r="W50" i="10"/>
  <c r="Z50" i="10"/>
  <c r="S27" i="13"/>
  <c r="P27" i="13"/>
  <c r="BS27" i="13"/>
  <c r="Z32" i="10"/>
  <c r="W32" i="10"/>
  <c r="X35" i="10"/>
  <c r="BM22" i="13"/>
  <c r="BP22" i="13"/>
  <c r="AR36" i="10"/>
  <c r="AU36" i="10"/>
  <c r="AS40" i="10"/>
  <c r="L58" i="12"/>
  <c r="J58" i="12"/>
  <c r="BM16" i="11"/>
  <c r="BN20" i="11"/>
  <c r="BP16" i="11"/>
  <c r="L57" i="12"/>
  <c r="J57" i="12"/>
  <c r="AG27" i="13"/>
  <c r="BU27" i="13"/>
  <c r="AD27" i="13"/>
  <c r="BN15" i="13"/>
  <c r="BP11" i="13"/>
  <c r="BM11" i="13"/>
  <c r="I30" i="13"/>
  <c r="L26" i="13"/>
  <c r="J26" i="13"/>
  <c r="BS34" i="10"/>
  <c r="BP34" i="10"/>
  <c r="BM34" i="10"/>
  <c r="AL15" i="13"/>
  <c r="AK11" i="13"/>
  <c r="AN11" i="13"/>
  <c r="AG22" i="13"/>
  <c r="AD22" i="13"/>
  <c r="BU22" i="13"/>
  <c r="AZ40" i="10"/>
  <c r="AY36" i="10"/>
  <c r="BB36" i="10"/>
  <c r="BM57" i="11" l="1"/>
  <c r="J7" i="20"/>
  <c r="BG60" i="11"/>
  <c r="BI60" i="11" s="1"/>
  <c r="BI56" i="11"/>
  <c r="J23" i="32"/>
  <c r="I23" i="32" s="1"/>
  <c r="S21" i="32"/>
  <c r="S30" i="32" s="1"/>
  <c r="U30" i="32"/>
  <c r="U29" i="32" s="1"/>
  <c r="X77" i="35"/>
  <c r="W19" i="35"/>
  <c r="Z19" i="35" s="1"/>
  <c r="X79" i="35"/>
  <c r="AF30" i="35"/>
  <c r="W21" i="35"/>
  <c r="Z21" i="35" s="1"/>
  <c r="W28" i="35"/>
  <c r="X28" i="35" s="1"/>
  <c r="W86" i="35"/>
  <c r="X86" i="35" s="1"/>
  <c r="AF29" i="35"/>
  <c r="W29" i="35"/>
  <c r="X29" i="35" s="1"/>
  <c r="V31" i="35"/>
  <c r="AF88" i="35"/>
  <c r="V22" i="35"/>
  <c r="X20" i="35"/>
  <c r="AF59" i="35"/>
  <c r="X59" i="35"/>
  <c r="AF57" i="35"/>
  <c r="X57" i="35"/>
  <c r="AF28" i="35"/>
  <c r="X48" i="35"/>
  <c r="Z48" i="35"/>
  <c r="Z50" i="35"/>
  <c r="X50" i="35"/>
  <c r="AF27" i="35"/>
  <c r="V51" i="35"/>
  <c r="V60" i="35"/>
  <c r="AF56" i="35"/>
  <c r="AF58" i="35"/>
  <c r="X58" i="35"/>
  <c r="Z49" i="35"/>
  <c r="X49" i="35"/>
  <c r="Z18" i="35"/>
  <c r="X18" i="35"/>
  <c r="BB86" i="10"/>
  <c r="AZ90" i="10"/>
  <c r="BB90" i="10" s="1"/>
  <c r="O9" i="34"/>
  <c r="G9" i="34"/>
  <c r="Q19" i="34"/>
  <c r="Q18" i="34" s="1"/>
  <c r="O7" i="34"/>
  <c r="O19" i="34" s="1"/>
  <c r="O18" i="34" s="1"/>
  <c r="J8" i="32"/>
  <c r="I8" i="32" s="1"/>
  <c r="J8" i="34"/>
  <c r="L8" i="32"/>
  <c r="G8" i="32" s="1"/>
  <c r="L8" i="34"/>
  <c r="G8" i="34" s="1"/>
  <c r="J9" i="32"/>
  <c r="J9" i="34"/>
  <c r="J34" i="4"/>
  <c r="I34" i="4"/>
  <c r="H34" i="4"/>
  <c r="G44" i="4"/>
  <c r="F27" i="36"/>
  <c r="F36" i="36" s="1"/>
  <c r="F34" i="36"/>
  <c r="J75" i="39"/>
  <c r="J80" i="39"/>
  <c r="J84" i="39"/>
  <c r="J81" i="39"/>
  <c r="J71" i="39"/>
  <c r="J74" i="39"/>
  <c r="J73" i="39"/>
  <c r="J76" i="39"/>
  <c r="J72" i="39"/>
  <c r="J88" i="39"/>
  <c r="J79" i="39"/>
  <c r="H33" i="4"/>
  <c r="I33" i="4"/>
  <c r="J33" i="4"/>
  <c r="G45" i="4"/>
  <c r="L50" i="4" s="1"/>
  <c r="G47" i="4"/>
  <c r="X78" i="35"/>
  <c r="Z78" i="35"/>
  <c r="V92" i="35"/>
  <c r="V76" i="35" s="1"/>
  <c r="X87" i="35"/>
  <c r="AF87" i="35"/>
  <c r="AB12" i="24"/>
  <c r="I75" i="39"/>
  <c r="I84" i="39"/>
  <c r="I72" i="39"/>
  <c r="I81" i="39"/>
  <c r="I88" i="39"/>
  <c r="I73" i="39"/>
  <c r="I76" i="39"/>
  <c r="I71" i="39"/>
  <c r="I80" i="39"/>
  <c r="I79" i="39"/>
  <c r="I74" i="39"/>
  <c r="AG86" i="10"/>
  <c r="AE90" i="10"/>
  <c r="X90" i="10"/>
  <c r="Z90" i="10" s="1"/>
  <c r="AF87" i="10"/>
  <c r="AL90" i="10"/>
  <c r="AN90" i="10" s="1"/>
  <c r="AS90" i="10"/>
  <c r="AU90" i="10" s="1"/>
  <c r="BP86" i="10"/>
  <c r="BN90" i="10"/>
  <c r="BP90" i="10" s="1"/>
  <c r="BI86" i="10"/>
  <c r="BG90" i="10"/>
  <c r="BI90" i="10" s="1"/>
  <c r="AB55" i="32"/>
  <c r="I55" i="32"/>
  <c r="AA55" i="32"/>
  <c r="I57" i="32"/>
  <c r="AA57" i="32"/>
  <c r="AB57" i="32"/>
  <c r="Y64" i="32"/>
  <c r="Y63" i="32" s="1"/>
  <c r="AB21" i="32"/>
  <c r="I21" i="32"/>
  <c r="AA21" i="32"/>
  <c r="Y30" i="32"/>
  <c r="Y29" i="32" s="1"/>
  <c r="I9" i="32"/>
  <c r="Y7" i="32"/>
  <c r="Y19" i="32" s="1"/>
  <c r="Q7" i="32"/>
  <c r="AB9" i="32"/>
  <c r="AA9" i="32"/>
  <c r="Q19" i="32"/>
  <c r="G4" i="32"/>
  <c r="O4" i="32"/>
  <c r="AB4" i="32"/>
  <c r="I4" i="32"/>
  <c r="AA6" i="32"/>
  <c r="N11" i="31"/>
  <c r="K43" i="31"/>
  <c r="N6" i="31"/>
  <c r="I58" i="32"/>
  <c r="I64" i="32" s="1"/>
  <c r="J64" i="32"/>
  <c r="J63" i="32" s="1"/>
  <c r="AB4" i="24"/>
  <c r="BF88" i="10"/>
  <c r="U19" i="24"/>
  <c r="U18" i="24" s="1"/>
  <c r="I57" i="24"/>
  <c r="AA9" i="24"/>
  <c r="Y30" i="24"/>
  <c r="Y42" i="24" s="1"/>
  <c r="AA23" i="24"/>
  <c r="M30" i="24"/>
  <c r="M29" i="24" s="1"/>
  <c r="Q63" i="24"/>
  <c r="Y19" i="24"/>
  <c r="AB13" i="24"/>
  <c r="AL55" i="13"/>
  <c r="L51" i="13"/>
  <c r="Q30" i="13"/>
  <c r="AE5" i="10"/>
  <c r="BF87" i="10"/>
  <c r="AC5" i="10"/>
  <c r="AG5" i="10" s="1"/>
  <c r="BG51" i="13"/>
  <c r="BG55" i="13" s="1"/>
  <c r="Q42" i="24"/>
  <c r="M42" i="24"/>
  <c r="Y54" i="24"/>
  <c r="Y53" i="24" s="1"/>
  <c r="O30" i="24"/>
  <c r="AB57" i="24"/>
  <c r="Y64" i="24"/>
  <c r="AS51" i="13"/>
  <c r="AS55" i="13" s="1"/>
  <c r="X51" i="13"/>
  <c r="X55" i="13" s="1"/>
  <c r="AE51" i="13"/>
  <c r="AE55" i="13" s="1"/>
  <c r="BN51" i="13"/>
  <c r="BN55" i="13" s="1"/>
  <c r="L60" i="11"/>
  <c r="K55" i="13"/>
  <c r="AY60" i="11"/>
  <c r="BB60" i="11"/>
  <c r="AN60" i="11"/>
  <c r="AK60" i="11"/>
  <c r="AZ51" i="13"/>
  <c r="AZ55" i="13" s="1"/>
  <c r="Q25" i="13"/>
  <c r="P25" i="13" s="1"/>
  <c r="Q51" i="13"/>
  <c r="Q55" i="13" s="1"/>
  <c r="AN57" i="11"/>
  <c r="AK57" i="11"/>
  <c r="BI26" i="13"/>
  <c r="BF26" i="13"/>
  <c r="AG57" i="11"/>
  <c r="AD57" i="11"/>
  <c r="BM26" i="13"/>
  <c r="BP26" i="13"/>
  <c r="BB26" i="13"/>
  <c r="AY26" i="13"/>
  <c r="AR60" i="11"/>
  <c r="AU60" i="11"/>
  <c r="AY57" i="11"/>
  <c r="BB57" i="11"/>
  <c r="Z56" i="11"/>
  <c r="W56" i="11"/>
  <c r="X60" i="11"/>
  <c r="AR26" i="13"/>
  <c r="AU26" i="13"/>
  <c r="AE60" i="11"/>
  <c r="BP60" i="11"/>
  <c r="BM60" i="11"/>
  <c r="Q60" i="11"/>
  <c r="P60" i="11" s="1"/>
  <c r="BI57" i="11"/>
  <c r="BF57" i="11"/>
  <c r="J60" i="12"/>
  <c r="AK60" i="12"/>
  <c r="BM60" i="12"/>
  <c r="W60" i="12"/>
  <c r="AR60" i="12"/>
  <c r="AD60" i="12"/>
  <c r="AY60" i="12"/>
  <c r="BF60" i="12"/>
  <c r="S20" i="11"/>
  <c r="P54" i="13"/>
  <c r="AY30" i="11"/>
  <c r="BF54" i="13"/>
  <c r="S21" i="13"/>
  <c r="BS53" i="13"/>
  <c r="BT28" i="13"/>
  <c r="J53" i="13"/>
  <c r="Z21" i="13"/>
  <c r="W20" i="11"/>
  <c r="BS52" i="13"/>
  <c r="BT27" i="13"/>
  <c r="BS54" i="13"/>
  <c r="W54" i="13"/>
  <c r="BM54" i="13"/>
  <c r="AL25" i="10"/>
  <c r="AN25" i="10" s="1"/>
  <c r="BP53" i="13"/>
  <c r="AB11" i="24"/>
  <c r="AD89" i="10"/>
  <c r="AB55" i="24"/>
  <c r="AB10" i="24"/>
  <c r="W53" i="24"/>
  <c r="AB44" i="24"/>
  <c r="P59" i="12"/>
  <c r="AB23" i="24"/>
  <c r="S30" i="24"/>
  <c r="S42" i="24" s="1"/>
  <c r="I23" i="24"/>
  <c r="AR30" i="11"/>
  <c r="M34" i="16"/>
  <c r="I34" i="16" s="1"/>
  <c r="X34" i="16" s="1"/>
  <c r="G9" i="24"/>
  <c r="G10" i="24"/>
  <c r="U53" i="24"/>
  <c r="I44" i="24"/>
  <c r="G11" i="24"/>
  <c r="M33" i="16"/>
  <c r="G33" i="16" s="1"/>
  <c r="J43" i="16"/>
  <c r="I43" i="16" s="1"/>
  <c r="X43" i="16" s="1"/>
  <c r="J58" i="24"/>
  <c r="G58" i="24"/>
  <c r="X30" i="13"/>
  <c r="Z30" i="13" s="1"/>
  <c r="X25" i="13"/>
  <c r="W25" i="13" s="1"/>
  <c r="I55" i="24"/>
  <c r="L30" i="10"/>
  <c r="I90" i="10"/>
  <c r="P89" i="10"/>
  <c r="I10" i="24"/>
  <c r="I11" i="24"/>
  <c r="AR89" i="10"/>
  <c r="AK23" i="10"/>
  <c r="I10" i="16"/>
  <c r="X10" i="16" s="1"/>
  <c r="G9" i="16"/>
  <c r="I9" i="16"/>
  <c r="X9" i="16" s="1"/>
  <c r="J7" i="16"/>
  <c r="J8" i="24"/>
  <c r="M7" i="16"/>
  <c r="G7" i="16" s="1"/>
  <c r="L8" i="24"/>
  <c r="G8" i="24" s="1"/>
  <c r="J8" i="16"/>
  <c r="I8" i="16" s="1"/>
  <c r="X8" i="16" s="1"/>
  <c r="J9" i="24"/>
  <c r="Z23" i="10"/>
  <c r="AY87" i="10"/>
  <c r="AU52" i="13"/>
  <c r="AR52" i="13"/>
  <c r="AF88" i="10"/>
  <c r="AG88" i="10" s="1"/>
  <c r="K22" i="10"/>
  <c r="AG22" i="10"/>
  <c r="AD88" i="10"/>
  <c r="W89" i="10"/>
  <c r="AN23" i="10"/>
  <c r="AR88" i="10"/>
  <c r="AD23" i="10"/>
  <c r="BF89" i="10"/>
  <c r="AE25" i="10"/>
  <c r="S52" i="13"/>
  <c r="P23" i="10"/>
  <c r="AK89" i="10"/>
  <c r="I41" i="16"/>
  <c r="X41" i="16" s="1"/>
  <c r="AG52" i="13"/>
  <c r="O40" i="16"/>
  <c r="AR53" i="13"/>
  <c r="AY54" i="13"/>
  <c r="AR54" i="13"/>
  <c r="BF30" i="11"/>
  <c r="Z30" i="11"/>
  <c r="AY88" i="10"/>
  <c r="AY52" i="13"/>
  <c r="G9" i="20"/>
  <c r="K9" i="20" s="1"/>
  <c r="L9" i="20" s="1"/>
  <c r="AY89" i="10"/>
  <c r="AR87" i="10"/>
  <c r="Z26" i="10"/>
  <c r="X30" i="10"/>
  <c r="S56" i="11"/>
  <c r="P56" i="11"/>
  <c r="BN25" i="10"/>
  <c r="BP25" i="10" s="1"/>
  <c r="BI23" i="10"/>
  <c r="BG25" i="10"/>
  <c r="BI25" i="10" s="1"/>
  <c r="BB53" i="13"/>
  <c r="AY53" i="13"/>
  <c r="BI53" i="13"/>
  <c r="BF53" i="13"/>
  <c r="BB23" i="10"/>
  <c r="AZ25" i="10"/>
  <c r="BB25" i="10" s="1"/>
  <c r="S26" i="10"/>
  <c r="Q30" i="10"/>
  <c r="AU23" i="10"/>
  <c r="AS25" i="10"/>
  <c r="AU25" i="10" s="1"/>
  <c r="J8" i="20"/>
  <c r="J18" i="16"/>
  <c r="J31" i="16" s="1"/>
  <c r="J30" i="16" s="1"/>
  <c r="J6" i="20"/>
  <c r="G6" i="20"/>
  <c r="G8" i="20"/>
  <c r="K8" i="20" s="1"/>
  <c r="L8" i="20" s="1"/>
  <c r="E9" i="20"/>
  <c r="I17" i="16"/>
  <c r="X17" i="16" s="1"/>
  <c r="AK53" i="13"/>
  <c r="O5" i="16"/>
  <c r="O14" i="16" s="1"/>
  <c r="O13" i="16" s="1"/>
  <c r="W30" i="11"/>
  <c r="Z53" i="13"/>
  <c r="V45" i="16"/>
  <c r="V44" i="16" s="1"/>
  <c r="O20" i="15" s="1"/>
  <c r="Q25" i="10"/>
  <c r="S25" i="10" s="1"/>
  <c r="O36" i="16"/>
  <c r="O35" i="16" s="1"/>
  <c r="V36" i="16"/>
  <c r="V35" i="16" s="1"/>
  <c r="O19" i="15" s="1"/>
  <c r="X25" i="10"/>
  <c r="G8" i="16"/>
  <c r="G42" i="16"/>
  <c r="I42" i="16"/>
  <c r="X42" i="16" s="1"/>
  <c r="M45" i="16"/>
  <c r="V5" i="16"/>
  <c r="V14" i="16" s="1"/>
  <c r="V13" i="16" s="1"/>
  <c r="O17" i="15" s="1"/>
  <c r="I32" i="16"/>
  <c r="G32" i="16"/>
  <c r="G4" i="16"/>
  <c r="X37" i="16"/>
  <c r="G31" i="16"/>
  <c r="G30" i="16" s="1"/>
  <c r="K18" i="15" s="1"/>
  <c r="P18" i="15" s="1"/>
  <c r="O31" i="16"/>
  <c r="O30" i="16" s="1"/>
  <c r="BS57" i="11"/>
  <c r="P57" i="11"/>
  <c r="S57" i="11"/>
  <c r="X15" i="16"/>
  <c r="BP30" i="11"/>
  <c r="L55" i="10"/>
  <c r="W23" i="10"/>
  <c r="BP23" i="10"/>
  <c r="BM23" i="10"/>
  <c r="J86" i="10"/>
  <c r="BU22" i="10"/>
  <c r="S23" i="10"/>
  <c r="BS23" i="10"/>
  <c r="AK26" i="13"/>
  <c r="AN26" i="13"/>
  <c r="AL30" i="13"/>
  <c r="S58" i="12"/>
  <c r="P58" i="12"/>
  <c r="S88" i="10"/>
  <c r="P88" i="10"/>
  <c r="AD40" i="10"/>
  <c r="AG40" i="10"/>
  <c r="BI40" i="10"/>
  <c r="BF40" i="10"/>
  <c r="AY35" i="10"/>
  <c r="BB35" i="10"/>
  <c r="AD53" i="13"/>
  <c r="AG53" i="13"/>
  <c r="S15" i="13"/>
  <c r="P15" i="13"/>
  <c r="BI35" i="10"/>
  <c r="BF35" i="10"/>
  <c r="BI20" i="11"/>
  <c r="BF20" i="11"/>
  <c r="AY21" i="13"/>
  <c r="AZ25" i="13"/>
  <c r="BS56" i="11"/>
  <c r="AY15" i="13"/>
  <c r="BB15" i="13"/>
  <c r="AE25" i="13"/>
  <c r="AG21" i="13"/>
  <c r="AD21" i="13"/>
  <c r="BS21" i="13"/>
  <c r="AN20" i="11"/>
  <c r="AK20" i="11"/>
  <c r="BN30" i="13"/>
  <c r="AN40" i="10"/>
  <c r="AK40" i="10"/>
  <c r="Z15" i="13"/>
  <c r="W15" i="13"/>
  <c r="BI21" i="13"/>
  <c r="BF21" i="13"/>
  <c r="BG25" i="13"/>
  <c r="J28" i="13"/>
  <c r="L28" i="13"/>
  <c r="L53" i="13" s="1"/>
  <c r="AD54" i="13"/>
  <c r="AG54" i="13"/>
  <c r="AK21" i="13"/>
  <c r="AL25" i="13"/>
  <c r="AN21" i="13"/>
  <c r="BM26" i="10"/>
  <c r="BP26" i="10"/>
  <c r="BN30" i="10"/>
  <c r="BM87" i="10"/>
  <c r="Z52" i="13"/>
  <c r="W52" i="13"/>
  <c r="S35" i="10"/>
  <c r="P35" i="10"/>
  <c r="AG20" i="11"/>
  <c r="AD20" i="11"/>
  <c r="AK52" i="13"/>
  <c r="AN52" i="13"/>
  <c r="W87" i="10"/>
  <c r="Z40" i="10"/>
  <c r="W40" i="10"/>
  <c r="P57" i="12"/>
  <c r="S57" i="12"/>
  <c r="AR15" i="13"/>
  <c r="AU15" i="13"/>
  <c r="K30" i="13"/>
  <c r="J27" i="13"/>
  <c r="L27" i="13"/>
  <c r="L52" i="13" s="1"/>
  <c r="AU35" i="10"/>
  <c r="AR35" i="10"/>
  <c r="AS30" i="13"/>
  <c r="BM15" i="13"/>
  <c r="BP15" i="13"/>
  <c r="S40" i="10"/>
  <c r="P40" i="10"/>
  <c r="AR20" i="11"/>
  <c r="AU20" i="11"/>
  <c r="AS30" i="10"/>
  <c r="AU26" i="10"/>
  <c r="AR26" i="10"/>
  <c r="AN54" i="13"/>
  <c r="AK54" i="13"/>
  <c r="AR40" i="10"/>
  <c r="AU40" i="10"/>
  <c r="AD15" i="13"/>
  <c r="AG15" i="13"/>
  <c r="P30" i="13"/>
  <c r="S30" i="13"/>
  <c r="BM89" i="10"/>
  <c r="BS89" i="10"/>
  <c r="AZ30" i="13"/>
  <c r="BB20" i="11"/>
  <c r="AY20" i="11"/>
  <c r="BB40" i="10"/>
  <c r="AY40" i="10"/>
  <c r="BP20" i="11"/>
  <c r="BM20" i="11"/>
  <c r="AN26" i="10"/>
  <c r="AK26" i="10"/>
  <c r="AL30" i="10"/>
  <c r="AE30" i="13"/>
  <c r="AG26" i="13"/>
  <c r="BS26" i="13"/>
  <c r="AD26" i="13"/>
  <c r="AZ30" i="10"/>
  <c r="BB26" i="10"/>
  <c r="AY26" i="10"/>
  <c r="AK35" i="10"/>
  <c r="AN35" i="10"/>
  <c r="AN15" i="13"/>
  <c r="AK15" i="13"/>
  <c r="BG30" i="13"/>
  <c r="AG35" i="10"/>
  <c r="AD35" i="10"/>
  <c r="S87" i="10"/>
  <c r="BS87" i="10"/>
  <c r="P87" i="10"/>
  <c r="BP40" i="10"/>
  <c r="BM40" i="10"/>
  <c r="AD26" i="10"/>
  <c r="AG26" i="10"/>
  <c r="AE30" i="10"/>
  <c r="BS26" i="10"/>
  <c r="BF15" i="13"/>
  <c r="BI15" i="13"/>
  <c r="AD87" i="10"/>
  <c r="S53" i="13"/>
  <c r="BP21" i="13"/>
  <c r="BM21" i="13"/>
  <c r="BN25" i="13"/>
  <c r="BI26" i="10"/>
  <c r="BF26" i="10"/>
  <c r="BG30" i="10"/>
  <c r="AK87" i="10"/>
  <c r="L60" i="12"/>
  <c r="W35" i="10"/>
  <c r="Z35" i="10"/>
  <c r="BP35" i="10"/>
  <c r="BM35" i="10"/>
  <c r="AU21" i="13"/>
  <c r="AR21" i="13"/>
  <c r="AS25" i="13"/>
  <c r="X31" i="35" l="1"/>
  <c r="BF60" i="11"/>
  <c r="W22" i="35"/>
  <c r="U66" i="32"/>
  <c r="U65" i="32" s="1"/>
  <c r="X21" i="35"/>
  <c r="S29" i="32"/>
  <c r="S66" i="32"/>
  <c r="S65" i="32" s="1"/>
  <c r="I70" i="38"/>
  <c r="I88" i="38"/>
  <c r="H106" i="38"/>
  <c r="I125" i="38"/>
  <c r="I106" i="38"/>
  <c r="H197" i="38"/>
  <c r="I261" i="38"/>
  <c r="I258" i="38" s="1"/>
  <c r="H229" i="38"/>
  <c r="H70" i="38"/>
  <c r="H261" i="38"/>
  <c r="H152" i="38"/>
  <c r="I229" i="38"/>
  <c r="I197" i="38"/>
  <c r="I152" i="38"/>
  <c r="H125" i="38"/>
  <c r="H88" i="38"/>
  <c r="I45" i="39"/>
  <c r="H59" i="47" s="1"/>
  <c r="X19" i="35"/>
  <c r="W31" i="35"/>
  <c r="W51" i="35"/>
  <c r="Z47" i="35"/>
  <c r="X47" i="35"/>
  <c r="X51" i="35" s="1"/>
  <c r="X52" i="35" s="1"/>
  <c r="W60" i="35"/>
  <c r="X56" i="35"/>
  <c r="X60" i="35" s="1"/>
  <c r="L7" i="32"/>
  <c r="G7" i="32" s="1"/>
  <c r="L7" i="34"/>
  <c r="G7" i="34" s="1"/>
  <c r="J7" i="32"/>
  <c r="J7" i="34"/>
  <c r="S25" i="13"/>
  <c r="H258" i="38"/>
  <c r="H259" i="38"/>
  <c r="J70" i="39"/>
  <c r="I61" i="38"/>
  <c r="H165" i="38"/>
  <c r="I78" i="39"/>
  <c r="W76" i="35"/>
  <c r="V80" i="35"/>
  <c r="V97" i="35"/>
  <c r="V85" i="35" s="1"/>
  <c r="I70" i="39"/>
  <c r="H61" i="38"/>
  <c r="L47" i="4"/>
  <c r="G49" i="4"/>
  <c r="I47" i="4"/>
  <c r="I49" i="4" s="1"/>
  <c r="I45" i="4"/>
  <c r="H44" i="4"/>
  <c r="L34" i="4"/>
  <c r="J47" i="4"/>
  <c r="J49" i="4" s="1"/>
  <c r="J45" i="4"/>
  <c r="H47" i="4"/>
  <c r="H49" i="4" s="1"/>
  <c r="H45" i="4"/>
  <c r="L33" i="4"/>
  <c r="I44" i="4"/>
  <c r="I165" i="38"/>
  <c r="J78" i="39"/>
  <c r="J44" i="4"/>
  <c r="K87" i="10"/>
  <c r="BT87" i="10" s="1"/>
  <c r="AF90" i="10"/>
  <c r="AG90" i="10" s="1"/>
  <c r="AG87" i="10"/>
  <c r="L6" i="34"/>
  <c r="U66" i="24"/>
  <c r="AA4" i="32"/>
  <c r="Q18" i="32"/>
  <c r="Q66" i="32"/>
  <c r="Q65" i="32" s="1"/>
  <c r="Y66" i="32"/>
  <c r="Y65" i="32" s="1"/>
  <c r="Y18" i="32"/>
  <c r="O7" i="32"/>
  <c r="AA7" i="32" s="1"/>
  <c r="AB7" i="32"/>
  <c r="M58" i="24"/>
  <c r="AA58" i="24" s="1"/>
  <c r="K11" i="31"/>
  <c r="I43" i="31"/>
  <c r="R14" i="31"/>
  <c r="I7" i="32"/>
  <c r="L6" i="32"/>
  <c r="O42" i="24"/>
  <c r="I11" i="29"/>
  <c r="I13" i="29" s="1"/>
  <c r="O64" i="24"/>
  <c r="I26" i="29" s="1"/>
  <c r="I28" i="29" s="1"/>
  <c r="AA57" i="24"/>
  <c r="Y66" i="24"/>
  <c r="S64" i="24"/>
  <c r="S63" i="24" s="1"/>
  <c r="O54" i="24"/>
  <c r="S54" i="24"/>
  <c r="S53" i="24" s="1"/>
  <c r="L55" i="13"/>
  <c r="AY51" i="13"/>
  <c r="AD60" i="11"/>
  <c r="AG60" i="11"/>
  <c r="W60" i="11"/>
  <c r="Z60" i="11"/>
  <c r="AK25" i="10"/>
  <c r="BS51" i="13"/>
  <c r="BB51" i="13"/>
  <c r="AY55" i="13"/>
  <c r="Z25" i="13"/>
  <c r="I33" i="16"/>
  <c r="X33" i="16" s="1"/>
  <c r="BS86" i="10"/>
  <c r="AK88" i="10"/>
  <c r="S19" i="24"/>
  <c r="Y63" i="24"/>
  <c r="M36" i="16"/>
  <c r="M35" i="16" s="1"/>
  <c r="G34" i="16"/>
  <c r="G36" i="16" s="1"/>
  <c r="G35" i="16" s="1"/>
  <c r="K19" i="15" s="1"/>
  <c r="P19" i="15" s="1"/>
  <c r="AD52" i="13"/>
  <c r="I58" i="24"/>
  <c r="I9" i="24"/>
  <c r="L6" i="24"/>
  <c r="G64" i="24"/>
  <c r="G63" i="24" s="1"/>
  <c r="BT22" i="10"/>
  <c r="I54" i="24"/>
  <c r="AA54" i="24" s="1"/>
  <c r="W30" i="13"/>
  <c r="P55" i="13"/>
  <c r="P52" i="13"/>
  <c r="J40" i="16"/>
  <c r="J45" i="16" s="1"/>
  <c r="J44" i="16" s="1"/>
  <c r="AG23" i="10"/>
  <c r="I7" i="16"/>
  <c r="X7" i="16" s="1"/>
  <c r="J4" i="16"/>
  <c r="I4" i="16" s="1"/>
  <c r="X4" i="16" s="1"/>
  <c r="I8" i="24"/>
  <c r="AF25" i="10"/>
  <c r="S86" i="10"/>
  <c r="W30" i="10"/>
  <c r="L7" i="24"/>
  <c r="G7" i="24" s="1"/>
  <c r="P30" i="10"/>
  <c r="J7" i="24"/>
  <c r="Y18" i="24"/>
  <c r="AD25" i="10"/>
  <c r="J22" i="10"/>
  <c r="L22" i="10"/>
  <c r="L87" i="10" s="1"/>
  <c r="K23" i="10"/>
  <c r="K88" i="10" s="1"/>
  <c r="AR25" i="10"/>
  <c r="J52" i="13"/>
  <c r="J30" i="13"/>
  <c r="S56" i="12"/>
  <c r="P56" i="12"/>
  <c r="O21" i="15"/>
  <c r="Z25" i="10"/>
  <c r="AY25" i="10"/>
  <c r="Q90" i="10"/>
  <c r="P90" i="10" s="1"/>
  <c r="BF55" i="13"/>
  <c r="I18" i="16"/>
  <c r="X18" i="16" s="1"/>
  <c r="W86" i="10"/>
  <c r="J6" i="16"/>
  <c r="S30" i="10"/>
  <c r="M6" i="16"/>
  <c r="G6" i="16" s="1"/>
  <c r="Z30" i="10"/>
  <c r="BF25" i="10"/>
  <c r="Z51" i="13"/>
  <c r="W51" i="13"/>
  <c r="BI52" i="13"/>
  <c r="BF52" i="13"/>
  <c r="BU52" i="13"/>
  <c r="S51" i="13"/>
  <c r="P51" i="13"/>
  <c r="P86" i="10"/>
  <c r="BM25" i="10"/>
  <c r="F6" i="20"/>
  <c r="K6" i="20" s="1"/>
  <c r="P25" i="10"/>
  <c r="W88" i="10"/>
  <c r="S60" i="11"/>
  <c r="BI51" i="13"/>
  <c r="BF51" i="13"/>
  <c r="J5" i="16"/>
  <c r="E6" i="20"/>
  <c r="E10" i="20" s="1"/>
  <c r="G10" i="20"/>
  <c r="BM52" i="13"/>
  <c r="J9" i="20"/>
  <c r="J10" i="20" s="1"/>
  <c r="BP52" i="13"/>
  <c r="W25" i="10"/>
  <c r="G5" i="16"/>
  <c r="BS88" i="10"/>
  <c r="BM88" i="10"/>
  <c r="G40" i="16"/>
  <c r="G45" i="16" s="1"/>
  <c r="G44" i="16" s="1"/>
  <c r="K20" i="15" s="1"/>
  <c r="O45" i="16"/>
  <c r="X32" i="16"/>
  <c r="L30" i="13"/>
  <c r="BB30" i="10"/>
  <c r="AY30" i="10"/>
  <c r="BM51" i="13"/>
  <c r="BP51" i="13"/>
  <c r="AG25" i="13"/>
  <c r="AD25" i="13"/>
  <c r="BB25" i="13"/>
  <c r="AY25" i="13"/>
  <c r="AD86" i="10"/>
  <c r="AD30" i="10"/>
  <c r="AG30" i="10"/>
  <c r="BM30" i="13"/>
  <c r="BP30" i="13"/>
  <c r="BM25" i="13"/>
  <c r="BP25" i="13"/>
  <c r="Z55" i="13"/>
  <c r="W55" i="13"/>
  <c r="BI25" i="13"/>
  <c r="BF25" i="13"/>
  <c r="BF86" i="10"/>
  <c r="BM86" i="10"/>
  <c r="AR86" i="10"/>
  <c r="BT53" i="13"/>
  <c r="AK51" i="13"/>
  <c r="AN51" i="13"/>
  <c r="P60" i="12"/>
  <c r="S60" i="12"/>
  <c r="AK30" i="13"/>
  <c r="AN30" i="13"/>
  <c r="AD30" i="13"/>
  <c r="AG30" i="13"/>
  <c r="AN30" i="10"/>
  <c r="AK30" i="10"/>
  <c r="AK86" i="10"/>
  <c r="AY86" i="10"/>
  <c r="AR30" i="10"/>
  <c r="AU30" i="10"/>
  <c r="AR30" i="13"/>
  <c r="AU30" i="13"/>
  <c r="AR51" i="13"/>
  <c r="AU51" i="13"/>
  <c r="BF30" i="10"/>
  <c r="BI30" i="10"/>
  <c r="BF30" i="13"/>
  <c r="BI30" i="13"/>
  <c r="AD51" i="13"/>
  <c r="AG51" i="13"/>
  <c r="AN25" i="13"/>
  <c r="AK25" i="13"/>
  <c r="AU25" i="13"/>
  <c r="AR25" i="13"/>
  <c r="BP30" i="10"/>
  <c r="BM30" i="10"/>
  <c r="BB30" i="13"/>
  <c r="AY30" i="13"/>
  <c r="X62" i="35" l="1"/>
  <c r="X22" i="35"/>
  <c r="X23" i="35"/>
  <c r="X33" i="35"/>
  <c r="I259" i="38"/>
  <c r="H163" i="38"/>
  <c r="I216" i="48"/>
  <c r="I217" i="48"/>
  <c r="I162" i="47"/>
  <c r="I162" i="38"/>
  <c r="R162" i="38" s="1"/>
  <c r="H215" i="47"/>
  <c r="H216" i="47"/>
  <c r="H216" i="48"/>
  <c r="H217" i="48"/>
  <c r="I215" i="47"/>
  <c r="I216" i="47"/>
  <c r="H162" i="38"/>
  <c r="H162" i="47"/>
  <c r="H59" i="38"/>
  <c r="I163" i="38"/>
  <c r="L45" i="4"/>
  <c r="I59" i="38"/>
  <c r="AB58" i="24"/>
  <c r="AF85" i="35"/>
  <c r="W85" i="35"/>
  <c r="V89" i="35"/>
  <c r="W80" i="35"/>
  <c r="X76" i="35"/>
  <c r="X80" i="35" s="1"/>
  <c r="X81" i="35" s="1"/>
  <c r="Z76" i="35"/>
  <c r="G6" i="34"/>
  <c r="M6" i="34"/>
  <c r="M19" i="34" s="1"/>
  <c r="M18" i="34" s="1"/>
  <c r="O19" i="32"/>
  <c r="H43" i="31"/>
  <c r="I11" i="31"/>
  <c r="H11" i="31" s="1"/>
  <c r="M64" i="32"/>
  <c r="AB58" i="32"/>
  <c r="AA58" i="32"/>
  <c r="I6" i="32"/>
  <c r="G6" i="32"/>
  <c r="R7" i="31"/>
  <c r="K14" i="31"/>
  <c r="R6" i="31"/>
  <c r="O53" i="24"/>
  <c r="I23" i="29"/>
  <c r="I25" i="29" s="1"/>
  <c r="J25" i="29" s="1"/>
  <c r="K25" i="29" s="1"/>
  <c r="O63" i="24"/>
  <c r="M6" i="24"/>
  <c r="AA6" i="24" s="1"/>
  <c r="S66" i="24"/>
  <c r="AB8" i="24"/>
  <c r="AB9" i="24"/>
  <c r="M64" i="24"/>
  <c r="M63" i="24" s="1"/>
  <c r="BB55" i="13"/>
  <c r="BI55" i="13"/>
  <c r="S55" i="13"/>
  <c r="I36" i="16"/>
  <c r="X36" i="16" s="1"/>
  <c r="I40" i="16"/>
  <c r="X40" i="16" s="1"/>
  <c r="S18" i="24"/>
  <c r="AG25" i="10"/>
  <c r="G6" i="24"/>
  <c r="I6" i="24"/>
  <c r="BT23" i="10"/>
  <c r="J88" i="10"/>
  <c r="J64" i="24"/>
  <c r="J63" i="24" s="1"/>
  <c r="I7" i="24"/>
  <c r="J23" i="10"/>
  <c r="L23" i="10"/>
  <c r="L88" i="10" s="1"/>
  <c r="BT88" i="10"/>
  <c r="M14" i="16"/>
  <c r="M47" i="16" s="1"/>
  <c r="M46" i="16" s="1"/>
  <c r="K25" i="10"/>
  <c r="J25" i="10" s="1"/>
  <c r="J87" i="10"/>
  <c r="BT52" i="13"/>
  <c r="J55" i="13"/>
  <c r="S90" i="10"/>
  <c r="W90" i="10"/>
  <c r="J14" i="16"/>
  <c r="J13" i="16" s="1"/>
  <c r="P20" i="15"/>
  <c r="G14" i="16"/>
  <c r="G13" i="16" s="1"/>
  <c r="K17" i="15" s="1"/>
  <c r="P17" i="15" s="1"/>
  <c r="F10" i="20"/>
  <c r="I6" i="16"/>
  <c r="X6" i="16" s="1"/>
  <c r="I5" i="16"/>
  <c r="X5" i="16" s="1"/>
  <c r="L6" i="20"/>
  <c r="K10" i="20"/>
  <c r="O47" i="16"/>
  <c r="O46" i="16" s="1"/>
  <c r="AG55" i="13"/>
  <c r="AD55" i="13"/>
  <c r="BF90" i="10"/>
  <c r="AY90" i="10"/>
  <c r="BM55" i="13"/>
  <c r="BP55" i="13"/>
  <c r="AR90" i="10"/>
  <c r="AD90" i="10"/>
  <c r="AK90" i="10"/>
  <c r="AR55" i="13"/>
  <c r="AU55" i="13"/>
  <c r="BM90" i="10"/>
  <c r="AN55" i="13"/>
  <c r="AK55" i="13"/>
  <c r="R162" i="47" l="1"/>
  <c r="W89" i="35"/>
  <c r="X85" i="35"/>
  <c r="X89" i="35" s="1"/>
  <c r="R19" i="32"/>
  <c r="O18" i="32"/>
  <c r="O66" i="32"/>
  <c r="O65" i="32" s="1"/>
  <c r="M63" i="32"/>
  <c r="I14" i="31"/>
  <c r="K6" i="31"/>
  <c r="I6" i="31" s="1"/>
  <c r="H6" i="31" s="1"/>
  <c r="K7" i="31"/>
  <c r="AB7" i="24"/>
  <c r="I45" i="16"/>
  <c r="X45" i="16" s="1"/>
  <c r="M19" i="24"/>
  <c r="M66" i="24" s="1"/>
  <c r="Q19" i="24"/>
  <c r="I4" i="24"/>
  <c r="O19" i="24"/>
  <c r="G4" i="24"/>
  <c r="AB6" i="24"/>
  <c r="L25" i="10"/>
  <c r="I64" i="24"/>
  <c r="M13" i="16"/>
  <c r="L90" i="10"/>
  <c r="K90" i="10"/>
  <c r="J90" i="10" s="1"/>
  <c r="K21" i="15"/>
  <c r="I14" i="16"/>
  <c r="X14" i="16" s="1"/>
  <c r="P21" i="15"/>
  <c r="C23" i="3"/>
  <c r="K28" i="3" s="1"/>
  <c r="C24" i="2"/>
  <c r="K29" i="2" s="1"/>
  <c r="K7" i="5"/>
  <c r="K6" i="5"/>
  <c r="L7" i="5"/>
  <c r="F30" i="5" s="1"/>
  <c r="L6" i="5"/>
  <c r="F28" i="5" s="1"/>
  <c r="H28" i="5" s="1"/>
  <c r="G7" i="5"/>
  <c r="G6" i="5"/>
  <c r="K5" i="5"/>
  <c r="G5" i="5"/>
  <c r="K4" i="5"/>
  <c r="G4" i="5"/>
  <c r="G8" i="5" s="1"/>
  <c r="L5" i="5"/>
  <c r="F26" i="5" s="1"/>
  <c r="H26" i="5" s="1"/>
  <c r="L4" i="5"/>
  <c r="I8" i="5"/>
  <c r="C2" i="3"/>
  <c r="C4" i="3" s="1"/>
  <c r="C2" i="2"/>
  <c r="C4" i="2"/>
  <c r="F8" i="3"/>
  <c r="A10" i="3"/>
  <c r="A11" i="3"/>
  <c r="A12" i="3"/>
  <c r="A13" i="3"/>
  <c r="A14" i="3"/>
  <c r="A15" i="3"/>
  <c r="A16" i="3"/>
  <c r="A17" i="3"/>
  <c r="A9" i="3"/>
  <c r="F8" i="2"/>
  <c r="A10" i="2"/>
  <c r="A11" i="2"/>
  <c r="A12" i="2"/>
  <c r="A13" i="2"/>
  <c r="A14" i="2"/>
  <c r="A15" i="2"/>
  <c r="A16" i="2"/>
  <c r="A17" i="2"/>
  <c r="A9" i="2"/>
  <c r="I43" i="3"/>
  <c r="G43" i="3"/>
  <c r="E43" i="3"/>
  <c r="I37" i="3"/>
  <c r="G37" i="3"/>
  <c r="E37" i="3"/>
  <c r="J36" i="3"/>
  <c r="C37" i="3"/>
  <c r="C42" i="3"/>
  <c r="J42" i="3"/>
  <c r="C42" i="2"/>
  <c r="I43" i="2"/>
  <c r="G43" i="2"/>
  <c r="E43" i="2"/>
  <c r="I37" i="2"/>
  <c r="G37" i="2"/>
  <c r="E37" i="2"/>
  <c r="C37" i="2"/>
  <c r="J36" i="2"/>
  <c r="J37" i="2"/>
  <c r="E30" i="3"/>
  <c r="G30" i="3"/>
  <c r="I30" i="3"/>
  <c r="J29" i="3"/>
  <c r="I32" i="2"/>
  <c r="G32" i="2"/>
  <c r="E32" i="2"/>
  <c r="J28" i="2"/>
  <c r="E19" i="2"/>
  <c r="C29" i="2"/>
  <c r="F17" i="5"/>
  <c r="F16" i="5"/>
  <c r="F15" i="5"/>
  <c r="F14" i="5"/>
  <c r="D17" i="5"/>
  <c r="J20" i="3"/>
  <c r="I20" i="3"/>
  <c r="H20" i="3"/>
  <c r="G20" i="3"/>
  <c r="F20" i="3"/>
  <c r="E20" i="3"/>
  <c r="C28" i="3"/>
  <c r="D20" i="3"/>
  <c r="C20" i="3"/>
  <c r="J19" i="3"/>
  <c r="I19" i="3"/>
  <c r="H19" i="3"/>
  <c r="G19" i="3"/>
  <c r="F19" i="3"/>
  <c r="E19" i="3"/>
  <c r="C27" i="3"/>
  <c r="D19" i="3"/>
  <c r="C19" i="3"/>
  <c r="B20" i="3"/>
  <c r="B19" i="3"/>
  <c r="J21" i="2"/>
  <c r="I21" i="2"/>
  <c r="H21" i="2"/>
  <c r="G21" i="2"/>
  <c r="F21" i="2"/>
  <c r="E21" i="2"/>
  <c r="C31" i="2"/>
  <c r="D21" i="2"/>
  <c r="C21" i="2"/>
  <c r="J20" i="2"/>
  <c r="I20" i="2"/>
  <c r="H20" i="2"/>
  <c r="G20" i="2"/>
  <c r="F20" i="2"/>
  <c r="E20" i="2"/>
  <c r="C30" i="2"/>
  <c r="J30" i="2"/>
  <c r="D20" i="2"/>
  <c r="C20" i="2"/>
  <c r="I19" i="2"/>
  <c r="H19" i="2"/>
  <c r="G19" i="2"/>
  <c r="F19" i="2"/>
  <c r="D19" i="2"/>
  <c r="C19" i="2"/>
  <c r="B21" i="2"/>
  <c r="B20" i="2"/>
  <c r="B19" i="2"/>
  <c r="C30" i="3"/>
  <c r="C41" i="3"/>
  <c r="J34" i="3"/>
  <c r="J35" i="3"/>
  <c r="J42" i="2"/>
  <c r="C32" i="2"/>
  <c r="J31" i="2"/>
  <c r="C14" i="5"/>
  <c r="D14" i="5"/>
  <c r="J28" i="3"/>
  <c r="J27" i="3"/>
  <c r="J29" i="2"/>
  <c r="C17" i="5"/>
  <c r="C16" i="5"/>
  <c r="E16" i="5" s="1"/>
  <c r="C43" i="3"/>
  <c r="J41" i="3"/>
  <c r="J43" i="3"/>
  <c r="C45" i="3"/>
  <c r="J30" i="3"/>
  <c r="J37" i="3"/>
  <c r="K36" i="3"/>
  <c r="K35" i="3"/>
  <c r="K34" i="3"/>
  <c r="J32" i="2"/>
  <c r="C41" i="2"/>
  <c r="J41" i="2"/>
  <c r="J43" i="2"/>
  <c r="C45" i="2"/>
  <c r="C43" i="2"/>
  <c r="C15" i="5"/>
  <c r="E15" i="5" s="1"/>
  <c r="K37" i="3"/>
  <c r="K42" i="3"/>
  <c r="I8" i="29" l="1"/>
  <c r="I10" i="29" s="1"/>
  <c r="J10" i="29" s="1"/>
  <c r="K10" i="29" s="1"/>
  <c r="R19" i="24"/>
  <c r="R18" i="24" s="1"/>
  <c r="K36" i="2"/>
  <c r="K37" i="2" s="1"/>
  <c r="K42" i="2" s="1"/>
  <c r="K28" i="2"/>
  <c r="K31" i="2"/>
  <c r="K30" i="2"/>
  <c r="K32" i="2"/>
  <c r="K41" i="2" s="1"/>
  <c r="K43" i="2" s="1"/>
  <c r="G15" i="5" s="1"/>
  <c r="H15" i="5" s="1"/>
  <c r="G25" i="5" s="1"/>
  <c r="H25" i="5" s="1"/>
  <c r="R18" i="32"/>
  <c r="P71" i="32" s="1"/>
  <c r="R66" i="32"/>
  <c r="R65" i="32" s="1"/>
  <c r="H14" i="31"/>
  <c r="I7" i="31"/>
  <c r="H7" i="31" s="1"/>
  <c r="O66" i="24"/>
  <c r="M18" i="24"/>
  <c r="Q66" i="24"/>
  <c r="Q18" i="24"/>
  <c r="O18" i="24"/>
  <c r="K27" i="3"/>
  <c r="K29" i="3"/>
  <c r="G14" i="5"/>
  <c r="E8" i="5"/>
  <c r="E17" i="5"/>
  <c r="L8" i="5"/>
  <c r="E14" i="5"/>
  <c r="D18" i="5"/>
  <c r="C18" i="5"/>
  <c r="C8" i="5"/>
  <c r="K8" i="5"/>
  <c r="C46" i="2" l="1"/>
  <c r="C47" i="2" s="1"/>
  <c r="H14" i="5"/>
  <c r="G23" i="5" s="1"/>
  <c r="R66" i="24"/>
  <c r="R65" i="24" s="1"/>
  <c r="H23" i="5"/>
  <c r="F32" i="5"/>
  <c r="H30" i="5"/>
  <c r="H32" i="5" s="1"/>
  <c r="G17" i="5"/>
  <c r="H17" i="5" s="1"/>
  <c r="G29" i="5" s="1"/>
  <c r="H29" i="5" s="1"/>
  <c r="K30" i="3"/>
  <c r="E18" i="5"/>
  <c r="G16" i="5" l="1"/>
  <c r="K41" i="3"/>
  <c r="K43" i="3" s="1"/>
  <c r="C46" i="3" s="1"/>
  <c r="C47" i="3" s="1"/>
  <c r="H16" i="5" l="1"/>
  <c r="G27" i="5" s="1"/>
  <c r="G18" i="5"/>
  <c r="H27" i="5" l="1"/>
  <c r="H31" i="5" s="1"/>
  <c r="G31" i="5"/>
  <c r="H18" i="5"/>
  <c r="I23" i="16" l="1"/>
  <c r="J47" i="16"/>
  <c r="J46" i="16" s="1"/>
  <c r="I31" i="16" l="1"/>
  <c r="I47" i="16" s="1"/>
  <c r="G47" i="16"/>
  <c r="G46" i="16" s="1"/>
  <c r="H47" i="16"/>
  <c r="X23" i="16"/>
  <c r="V47" i="16" s="1"/>
  <c r="V46" i="16" s="1"/>
  <c r="X31" i="16" l="1"/>
  <c r="L10" i="20"/>
  <c r="AL65" i="10" l="1"/>
  <c r="AK65" i="10" s="1"/>
  <c r="AK62" i="10"/>
  <c r="AN62" i="10"/>
  <c r="AN63" i="10"/>
  <c r="AK63" i="10"/>
  <c r="AK61" i="10"/>
  <c r="AN61" i="10"/>
  <c r="AN65" i="10" l="1"/>
  <c r="M65" i="24" l="1"/>
  <c r="O29" i="24"/>
  <c r="O65" i="24"/>
  <c r="Q29" i="24"/>
  <c r="Q65" i="24"/>
  <c r="U29" i="24"/>
  <c r="U65" i="24"/>
  <c r="S29" i="24"/>
  <c r="S65" i="24"/>
  <c r="W29" i="24"/>
  <c r="W65" i="24"/>
  <c r="Y29" i="24"/>
  <c r="Y65" i="24"/>
  <c r="M66" i="32"/>
  <c r="M65" i="32" s="1"/>
  <c r="M42" i="32"/>
  <c r="F45" i="39" l="1"/>
  <c r="E59" i="47" s="1"/>
  <c r="D119" i="49" l="1"/>
  <c r="D120" i="49"/>
  <c r="D113" i="49"/>
  <c r="D114" i="49"/>
  <c r="K114" i="49" s="1"/>
  <c r="D115" i="49"/>
  <c r="K115" i="49" s="1"/>
  <c r="D116" i="49"/>
  <c r="K116" i="49" s="1"/>
  <c r="D117" i="49"/>
  <c r="D118" i="49"/>
  <c r="K118" i="49" l="1"/>
  <c r="G118" i="49"/>
  <c r="J118" i="49" s="1"/>
  <c r="K117" i="49"/>
  <c r="G117" i="49"/>
  <c r="J117" i="49" s="1"/>
  <c r="AA116" i="49"/>
  <c r="AD116" i="49" s="1"/>
  <c r="Q116" i="49"/>
  <c r="T116" i="49" s="1"/>
  <c r="V116" i="49"/>
  <c r="Y116" i="49" s="1"/>
  <c r="AF116" i="49"/>
  <c r="AI116" i="49" s="1"/>
  <c r="AA115" i="49"/>
  <c r="AD115" i="49" s="1"/>
  <c r="Q115" i="49"/>
  <c r="T115" i="49" s="1"/>
  <c r="V115" i="49"/>
  <c r="Y115" i="49" s="1"/>
  <c r="AF115" i="49"/>
  <c r="AI115" i="49" s="1"/>
  <c r="Q114" i="49"/>
  <c r="T114" i="49" s="1"/>
  <c r="AF114" i="49"/>
  <c r="AI114" i="49" s="1"/>
  <c r="V114" i="49"/>
  <c r="Y114" i="49" s="1"/>
  <c r="AA114" i="49"/>
  <c r="AD114" i="49" s="1"/>
  <c r="K113" i="49"/>
  <c r="D112" i="49"/>
  <c r="K120" i="49"/>
  <c r="G120" i="49"/>
  <c r="J120" i="49" s="1"/>
  <c r="G119" i="49"/>
  <c r="J119" i="49" s="1"/>
  <c r="K119" i="49"/>
  <c r="AK115" i="49" l="1"/>
  <c r="AA120" i="49"/>
  <c r="AD120" i="49" s="1"/>
  <c r="V120" i="49"/>
  <c r="Y120" i="49" s="1"/>
  <c r="Q120" i="49"/>
  <c r="T120" i="49" s="1"/>
  <c r="AF120" i="49"/>
  <c r="AI120" i="49" s="1"/>
  <c r="AF113" i="49"/>
  <c r="V113" i="49"/>
  <c r="AA113" i="49"/>
  <c r="Q113" i="49"/>
  <c r="T113" i="49" s="1"/>
  <c r="AK116" i="49"/>
  <c r="AK114" i="49"/>
  <c r="J112" i="49"/>
  <c r="AA117" i="49"/>
  <c r="AD117" i="49" s="1"/>
  <c r="Q117" i="49"/>
  <c r="T117" i="49" s="1"/>
  <c r="V117" i="49"/>
  <c r="Y117" i="49" s="1"/>
  <c r="AF117" i="49"/>
  <c r="AI117" i="49" s="1"/>
  <c r="K112" i="49"/>
  <c r="AA119" i="49"/>
  <c r="AD119" i="49" s="1"/>
  <c r="V119" i="49"/>
  <c r="Y119" i="49" s="1"/>
  <c r="Q119" i="49"/>
  <c r="AF119" i="49"/>
  <c r="AI119" i="49" s="1"/>
  <c r="AF118" i="49"/>
  <c r="AI118" i="49" s="1"/>
  <c r="V118" i="49"/>
  <c r="Y118" i="49" s="1"/>
  <c r="Q118" i="49"/>
  <c r="T118" i="49" s="1"/>
  <c r="AA118" i="49"/>
  <c r="AD118" i="49" s="1"/>
  <c r="AK113" i="49" l="1"/>
  <c r="Q112" i="49"/>
  <c r="T119" i="49"/>
  <c r="T112" i="49" s="1"/>
  <c r="AD113" i="49"/>
  <c r="AD112" i="49" s="1"/>
  <c r="AA112" i="49"/>
  <c r="AK117" i="49"/>
  <c r="Y113" i="49"/>
  <c r="Y112" i="49" s="1"/>
  <c r="V112" i="49"/>
  <c r="AI113" i="49"/>
  <c r="AI112" i="49" s="1"/>
  <c r="AF112" i="49"/>
  <c r="AK118" i="49"/>
  <c r="AK120" i="49"/>
  <c r="AK119" i="49"/>
  <c r="AK112" i="49" l="1"/>
  <c r="J66" i="32" l="1"/>
  <c r="J65" i="32" s="1"/>
  <c r="I66" i="32"/>
  <c r="H66" i="32"/>
  <c r="G65" i="32"/>
  <c r="G66" i="32"/>
  <c r="L65" i="32"/>
  <c r="L66" i="32"/>
  <c r="J66" i="24"/>
  <c r="J65" i="24" s="1"/>
  <c r="L66" i="24"/>
  <c r="L65" i="24" s="1"/>
  <c r="I66" i="24"/>
  <c r="G66" i="24"/>
  <c r="G65" i="24" s="1"/>
  <c r="H66"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tc={F2AA6B29-2D9C-4885-AF6E-90F4BE743EFB}</author>
  </authors>
  <commentList>
    <comment ref="C28" authorId="0" shapeId="0" xr:uid="{F2AA6B29-2D9C-4885-AF6E-90F4BE743EFB}">
      <text>
        <t xml:space="preserve">[스레드 댓글]
사용 중인 버전의 Excel에서 이 스레드 댓글을 읽을 수 있지만 파일을 이후 버전의 Excel에서 열면 편집 내용이 모두 제거됩니다. 자세한 정보: https://go.microsoft.com/fwlink/?linkid=870924.
댓글:
    The amount already paid for the dropped project has been reflected in Daecheon Busan.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tc={094FB362-702D-4086-A7C3-923B1E787288}</author>
  </authors>
  <commentList>
    <comment ref="C28" authorId="0" shapeId="0" xr:uid="{094FB362-702D-4086-A7C3-923B1E787288}">
      <text>
        <t xml:space="preserve">[스레드 댓글]
사용 중인 버전의 Excel에서 이 스레드 댓글을 읽을 수 있지만 파일을 이후 버전의 Excel에서 열면 편집 내용이 모두 제거됩니다. 자세한 정보: https://go.microsoft.com/fwlink/?linkid=870924.
댓글:
    The amount already paid for the dropped project has been reflected in Daecheon Busan.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tc={7FBF583A-CF02-42FD-8EDA-5AB731065C7E}</author>
    <author>tc={B0D92E0F-AF65-4288-AF4F-B825ADC22321}</author>
  </authors>
  <commentList>
    <comment ref="C11" authorId="0" shapeId="0" xr:uid="{7FBF583A-CF02-42FD-8EDA-5AB731065C7E}">
      <text>
        <t>[스레드 댓글]
사용 중인 버전의 Excel에서 이 스레드 댓글을 읽을 수 있지만 파일을 이후 버전의 Excel에서 열면 편집 내용이 모두 제거됩니다. 자세한 정보: https://go.microsoft.com/fwlink/?linkid=870924.
댓글:
    1site 776.03kW
2site 266.96kW
로 발전사업허가 신청 총 1,042.99kW</t>
      </text>
    </comment>
    <comment ref="D16" authorId="1" shapeId="0" xr:uid="{B0D92E0F-AF65-4288-AF4F-B825ADC22321}">
      <text>
        <t>[스레드 댓글]
사용 중인 버전의 Excel에서 이 스레드 댓글을 읽을 수 있지만 파일을 이후 버전의 Excel에서 열면 편집 내용이 모두 제거됩니다. 자세한 정보: https://go.microsoft.com/fwlink/?linkid=870924.
댓글:
    발전용량 변경 406kWp-&gt; 300kWp-&gt; 386kWp</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tc={80539C37-E0CD-473F-9528-21E6F835AACF}</author>
    <author>tc={622D0E82-701D-4970-B6A0-62AD95244445}</author>
    <author>tc={AE325832-6B12-4F25-84F1-D909A0CB69FD}</author>
  </authors>
  <commentList>
    <comment ref="D34" authorId="0" shapeId="0" xr:uid="{80539C37-E0CD-473F-9528-21E6F835AACF}">
      <text>
        <t xml:space="preserve">[스레드 댓글]
사용 중인 버전의 Excel에서 이 스레드 댓글을 읽을 수 있지만 파일을 이후 버전의 Excel에서 열면 편집 내용이 모두 제거됩니다. 자세한 정보: https://go.microsoft.com/fwlink/?linkid=870924.
댓글:
    Drop Project
답글:
    Transfer Sep. amount to Daecheon Busan </t>
      </text>
    </comment>
    <comment ref="D38" authorId="1" shapeId="0" xr:uid="{622D0E82-701D-4970-B6A0-62AD95244445}">
      <text>
        <t>[스레드 댓글]
사용 중인 버전의 Excel에서 이 스레드 댓글을 읽을 수 있지만 파일을 이후 버전의 Excel에서 열면 편집 내용이 모두 제거됩니다. 자세한 정보: https://go.microsoft.com/fwlink/?linkid=870924.
댓글:
    Drop Project</t>
      </text>
    </comment>
    <comment ref="D39" authorId="2" shapeId="0" xr:uid="{AE325832-6B12-4F25-84F1-D909A0CB69FD}">
      <text>
        <t>[스레드 댓글]
사용 중인 버전의 Excel에서 이 스레드 댓글을 읽을 수 있지만 파일을 이후 버전의 Excel에서 열면 편집 내용이 모두 제거됩니다. 자세한 정보: https://go.microsoft.com/fwlink/?linkid=870924.
댓글:
    Drop Project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distributed generation</author>
  </authors>
  <commentList>
    <comment ref="E60" authorId="0" shapeId="0" xr:uid="{6F199C83-C3FC-4384-A7E7-CA1CEFC1208F}">
      <text>
        <r>
          <rPr>
            <b/>
            <sz val="9"/>
            <color indexed="81"/>
            <rFont val="Tahoma"/>
            <family val="2"/>
          </rPr>
          <t>KRW</t>
        </r>
      </text>
    </comment>
    <comment ref="J60" authorId="0" shapeId="0" xr:uid="{F0ECE34F-1245-475D-8D50-9812F485053E}">
      <text>
        <r>
          <rPr>
            <b/>
            <sz val="9"/>
            <color indexed="81"/>
            <rFont val="Tahoma"/>
            <family val="2"/>
          </rPr>
          <t>KRW</t>
        </r>
      </text>
    </comment>
    <comment ref="K60" authorId="0" shapeId="0" xr:uid="{CF35FF55-5E27-4DFD-BC7B-92062C1088AC}">
      <text>
        <r>
          <rPr>
            <b/>
            <sz val="9"/>
            <color indexed="81"/>
            <rFont val="Tahoma"/>
            <family val="2"/>
          </rPr>
          <t>KRW</t>
        </r>
      </text>
    </comment>
    <comment ref="L60" authorId="0" shapeId="0" xr:uid="{19B7FD85-AAD5-4C8A-AEF4-9E7F5433E176}">
      <text>
        <r>
          <rPr>
            <b/>
            <sz val="9"/>
            <color indexed="81"/>
            <rFont val="Tahoma"/>
            <family val="2"/>
          </rPr>
          <t>KRW</t>
        </r>
      </text>
    </comment>
    <comment ref="M60" authorId="0" shapeId="0" xr:uid="{4B00E31D-3996-4643-914C-8432497D6235}">
      <text>
        <r>
          <rPr>
            <b/>
            <sz val="9"/>
            <color indexed="81"/>
            <rFont val="Tahoma"/>
            <family val="2"/>
          </rPr>
          <t>KRW</t>
        </r>
      </text>
    </comment>
    <comment ref="N60" authorId="0" shapeId="0" xr:uid="{F1F5F758-7ACC-43A1-B25C-5162298AF381}">
      <text>
        <r>
          <rPr>
            <b/>
            <sz val="9"/>
            <color indexed="81"/>
            <rFont val="Tahoma"/>
            <family val="2"/>
          </rPr>
          <t>KRW</t>
        </r>
      </text>
    </comment>
    <comment ref="O60" authorId="0" shapeId="0" xr:uid="{F10A5332-F1C9-43EA-A6DB-BE441CAD9CBA}">
      <text>
        <r>
          <rPr>
            <b/>
            <sz val="9"/>
            <color indexed="81"/>
            <rFont val="Tahoma"/>
            <family val="2"/>
          </rPr>
          <t>KRW</t>
        </r>
      </text>
    </comment>
    <comment ref="P60" authorId="0" shapeId="0" xr:uid="{227CD8FB-917B-4995-8EF3-F434182DE149}">
      <text>
        <r>
          <rPr>
            <b/>
            <sz val="9"/>
            <color indexed="81"/>
            <rFont val="Tahoma"/>
            <family val="2"/>
          </rPr>
          <t>KRW</t>
        </r>
      </text>
    </comment>
    <comment ref="Q60" authorId="0" shapeId="0" xr:uid="{F532256F-AFEC-434E-A1CA-B565DE2F70A0}">
      <text>
        <r>
          <rPr>
            <b/>
            <sz val="9"/>
            <color indexed="81"/>
            <rFont val="Tahoma"/>
            <family val="2"/>
          </rPr>
          <t>KRW</t>
        </r>
      </text>
    </comment>
    <comment ref="T60" authorId="0" shapeId="0" xr:uid="{B34D828A-A291-45CE-94A8-0CBC93AE4F04}">
      <text>
        <r>
          <rPr>
            <b/>
            <sz val="9"/>
            <color indexed="81"/>
            <rFont val="Tahoma"/>
            <family val="2"/>
          </rPr>
          <t>KRW</t>
        </r>
      </text>
    </comment>
    <comment ref="Y60" authorId="0" shapeId="0" xr:uid="{2326EC0B-EEE2-41D5-8380-21C497ADCD4D}">
      <text>
        <r>
          <rPr>
            <b/>
            <sz val="9"/>
            <color indexed="81"/>
            <rFont val="Tahoma"/>
            <family val="2"/>
          </rPr>
          <t>KRW</t>
        </r>
      </text>
    </comment>
    <comment ref="E69" authorId="0" shapeId="0" xr:uid="{1FDECA36-AC98-47A8-85E5-B70DFAB13DE5}">
      <text>
        <r>
          <rPr>
            <b/>
            <sz val="9"/>
            <color indexed="81"/>
            <rFont val="Tahoma"/>
            <family val="2"/>
          </rPr>
          <t>KRW</t>
        </r>
      </text>
    </comment>
    <comment ref="J69" authorId="0" shapeId="0" xr:uid="{D25ECF4A-589A-4233-A7BB-9FF6FA0EBA19}">
      <text>
        <r>
          <rPr>
            <b/>
            <sz val="9"/>
            <color indexed="81"/>
            <rFont val="Tahoma"/>
            <family val="2"/>
          </rPr>
          <t>KRW</t>
        </r>
      </text>
    </comment>
    <comment ref="K69" authorId="0" shapeId="0" xr:uid="{783BE7BA-5DF5-47B4-A50F-63A6F4C08D37}">
      <text>
        <r>
          <rPr>
            <b/>
            <sz val="9"/>
            <color indexed="81"/>
            <rFont val="Tahoma"/>
            <family val="2"/>
          </rPr>
          <t>KRW</t>
        </r>
      </text>
    </comment>
    <comment ref="L69" authorId="0" shapeId="0" xr:uid="{B55893CD-3059-4DAF-85E4-E55C63D7D271}">
      <text>
        <r>
          <rPr>
            <b/>
            <sz val="9"/>
            <color indexed="81"/>
            <rFont val="Tahoma"/>
            <family val="2"/>
          </rPr>
          <t>KRW</t>
        </r>
      </text>
    </comment>
    <comment ref="M69" authorId="0" shapeId="0" xr:uid="{96BA8C28-606E-4689-9B61-2FF61E0B7C75}">
      <text>
        <r>
          <rPr>
            <b/>
            <sz val="9"/>
            <color indexed="81"/>
            <rFont val="Tahoma"/>
            <family val="2"/>
          </rPr>
          <t>KRW</t>
        </r>
      </text>
    </comment>
    <comment ref="N69" authorId="0" shapeId="0" xr:uid="{16E28CC2-EDEB-4B20-A4DC-301DF9F4BEAB}">
      <text>
        <r>
          <rPr>
            <b/>
            <sz val="9"/>
            <color indexed="81"/>
            <rFont val="Tahoma"/>
            <family val="2"/>
          </rPr>
          <t>KRW</t>
        </r>
      </text>
    </comment>
    <comment ref="O69" authorId="0" shapeId="0" xr:uid="{30E5D468-812F-45C6-AD16-3937C815DA91}">
      <text>
        <r>
          <rPr>
            <b/>
            <sz val="9"/>
            <color indexed="81"/>
            <rFont val="Tahoma"/>
            <family val="2"/>
          </rPr>
          <t>KRW</t>
        </r>
      </text>
    </comment>
    <comment ref="P69" authorId="0" shapeId="0" xr:uid="{AF1061F9-212D-49EF-A530-B2569FE91AA0}">
      <text>
        <r>
          <rPr>
            <b/>
            <sz val="9"/>
            <color indexed="81"/>
            <rFont val="Tahoma"/>
            <family val="2"/>
          </rPr>
          <t>KRW</t>
        </r>
      </text>
    </comment>
    <comment ref="Q69" authorId="0" shapeId="0" xr:uid="{010BBD4A-1A52-4539-B877-560E0BE88B3A}">
      <text>
        <r>
          <rPr>
            <b/>
            <sz val="9"/>
            <color indexed="81"/>
            <rFont val="Tahoma"/>
            <family val="2"/>
          </rPr>
          <t>KRW</t>
        </r>
      </text>
    </comment>
    <comment ref="T69" authorId="0" shapeId="0" xr:uid="{9A619FBE-EDF3-4129-94FE-B274BA91BC5C}">
      <text>
        <r>
          <rPr>
            <b/>
            <sz val="9"/>
            <color indexed="81"/>
            <rFont val="Tahoma"/>
            <family val="2"/>
          </rPr>
          <t>KRW</t>
        </r>
      </text>
    </comment>
    <comment ref="Y69" authorId="0" shapeId="0" xr:uid="{C66CC49B-F34D-4903-BB9D-E3F9479CE8DA}">
      <text>
        <r>
          <rPr>
            <b/>
            <sz val="9"/>
            <color indexed="81"/>
            <rFont val="Tahoma"/>
            <family val="2"/>
          </rPr>
          <t>KRW</t>
        </r>
      </text>
    </comment>
    <comment ref="E87" authorId="0" shapeId="0" xr:uid="{CE81A378-ADB9-4729-B4E4-2C993AC942E8}">
      <text>
        <r>
          <rPr>
            <b/>
            <sz val="9"/>
            <color indexed="81"/>
            <rFont val="Tahoma"/>
            <family val="2"/>
          </rPr>
          <t>KRW</t>
        </r>
      </text>
    </comment>
    <comment ref="F87" authorId="0" shapeId="0" xr:uid="{164175D1-C3FF-439F-B9E6-C234677ADE8D}">
      <text>
        <r>
          <rPr>
            <b/>
            <sz val="9"/>
            <color indexed="81"/>
            <rFont val="Tahoma"/>
            <family val="2"/>
          </rPr>
          <t>KRW</t>
        </r>
      </text>
    </comment>
    <comment ref="G87" authorId="0" shapeId="0" xr:uid="{5CF79A5B-6B0A-40A6-8412-731694DCFB62}">
      <text>
        <r>
          <rPr>
            <b/>
            <sz val="9"/>
            <color indexed="81"/>
            <rFont val="Tahoma"/>
            <family val="2"/>
          </rPr>
          <t>KRW</t>
        </r>
      </text>
    </comment>
    <comment ref="H87" authorId="0" shapeId="0" xr:uid="{E682A974-C6C0-4343-A83B-6117166DC2D3}">
      <text>
        <r>
          <rPr>
            <b/>
            <sz val="9"/>
            <color indexed="81"/>
            <rFont val="Tahoma"/>
            <family val="2"/>
          </rPr>
          <t>KRW</t>
        </r>
      </text>
    </comment>
    <comment ref="I87" authorId="0" shapeId="0" xr:uid="{16A26B88-E84F-4779-8B90-68094D7E81F4}">
      <text>
        <r>
          <rPr>
            <b/>
            <sz val="9"/>
            <color indexed="81"/>
            <rFont val="Tahoma"/>
            <family val="2"/>
          </rPr>
          <t>KRW</t>
        </r>
      </text>
    </comment>
    <comment ref="J87" authorId="0" shapeId="0" xr:uid="{C7CE8BEC-2EDA-42E8-B1D3-7F19A01F3284}">
      <text>
        <r>
          <rPr>
            <b/>
            <sz val="9"/>
            <color indexed="81"/>
            <rFont val="Tahoma"/>
            <family val="2"/>
          </rPr>
          <t>KRW</t>
        </r>
      </text>
    </comment>
    <comment ref="K87" authorId="0" shapeId="0" xr:uid="{02AAECDB-3285-4563-BC02-AC12D92DBA20}">
      <text>
        <r>
          <rPr>
            <b/>
            <sz val="9"/>
            <color indexed="81"/>
            <rFont val="Tahoma"/>
            <family val="2"/>
          </rPr>
          <t>KRW</t>
        </r>
      </text>
    </comment>
    <comment ref="L87" authorId="0" shapeId="0" xr:uid="{E0F42FF5-30A2-4F8A-8A73-2C9D0AB3576E}">
      <text>
        <r>
          <rPr>
            <b/>
            <sz val="9"/>
            <color indexed="81"/>
            <rFont val="Tahoma"/>
            <family val="2"/>
          </rPr>
          <t>KRW</t>
        </r>
      </text>
    </comment>
    <comment ref="M87" authorId="0" shapeId="0" xr:uid="{B53F8C10-D757-47CA-AF4B-51065D63A88E}">
      <text>
        <r>
          <rPr>
            <b/>
            <sz val="9"/>
            <color indexed="81"/>
            <rFont val="Tahoma"/>
            <family val="2"/>
          </rPr>
          <t>KRW</t>
        </r>
      </text>
    </comment>
    <comment ref="N87" authorId="0" shapeId="0" xr:uid="{1F2B749E-9B61-4B0D-AC95-5109CE39A488}">
      <text>
        <r>
          <rPr>
            <b/>
            <sz val="9"/>
            <color indexed="81"/>
            <rFont val="Tahoma"/>
            <family val="2"/>
          </rPr>
          <t>KRW</t>
        </r>
      </text>
    </comment>
    <comment ref="O87" authorId="0" shapeId="0" xr:uid="{7AD6F633-27EF-480D-9CE5-9409DB6C75D5}">
      <text>
        <r>
          <rPr>
            <b/>
            <sz val="9"/>
            <color indexed="81"/>
            <rFont val="Tahoma"/>
            <family val="2"/>
          </rPr>
          <t>KRW</t>
        </r>
      </text>
    </comment>
    <comment ref="P87" authorId="0" shapeId="0" xr:uid="{96CF15AE-7A2A-478B-92A3-2023C2D6E8CB}">
      <text>
        <r>
          <rPr>
            <b/>
            <sz val="9"/>
            <color indexed="81"/>
            <rFont val="Tahoma"/>
            <family val="2"/>
          </rPr>
          <t>KRW</t>
        </r>
      </text>
    </comment>
    <comment ref="Q87" authorId="0" shapeId="0" xr:uid="{E85617D2-E8BF-4101-9796-0C704576D13A}">
      <text>
        <r>
          <rPr>
            <b/>
            <sz val="9"/>
            <color indexed="81"/>
            <rFont val="Tahoma"/>
            <family val="2"/>
          </rPr>
          <t>KRW</t>
        </r>
      </text>
    </comment>
    <comment ref="T87" authorId="0" shapeId="0" xr:uid="{49F4AFF1-F0D7-4CFB-A64C-089219AB30F6}">
      <text>
        <r>
          <rPr>
            <b/>
            <sz val="9"/>
            <color indexed="81"/>
            <rFont val="Tahoma"/>
            <family val="2"/>
          </rPr>
          <t>KRW</t>
        </r>
      </text>
    </comment>
    <comment ref="U87" authorId="0" shapeId="0" xr:uid="{DC4EDF4C-C4B7-41A8-91BE-BEAA649EC167}">
      <text>
        <r>
          <rPr>
            <b/>
            <sz val="9"/>
            <color indexed="81"/>
            <rFont val="Tahoma"/>
            <family val="2"/>
          </rPr>
          <t>KRW</t>
        </r>
      </text>
    </comment>
    <comment ref="V87" authorId="0" shapeId="0" xr:uid="{72A8EFD9-5AB8-494B-A4C4-C74F427FFB24}">
      <text>
        <r>
          <rPr>
            <b/>
            <sz val="9"/>
            <color indexed="81"/>
            <rFont val="Tahoma"/>
            <family val="2"/>
          </rPr>
          <t>KRW</t>
        </r>
      </text>
    </comment>
    <comment ref="W87" authorId="0" shapeId="0" xr:uid="{3A40DFD7-7CEB-4458-B6B5-9FBAAF87EF16}">
      <text>
        <r>
          <rPr>
            <b/>
            <sz val="9"/>
            <color indexed="81"/>
            <rFont val="Tahoma"/>
            <family val="2"/>
          </rPr>
          <t>KRW</t>
        </r>
      </text>
    </comment>
    <comment ref="X87" authorId="0" shapeId="0" xr:uid="{AA298EC9-C85C-4045-8A67-34E81CEEC6D3}">
      <text>
        <r>
          <rPr>
            <b/>
            <sz val="9"/>
            <color indexed="81"/>
            <rFont val="Tahoma"/>
            <family val="2"/>
          </rPr>
          <t>KRW</t>
        </r>
      </text>
    </comment>
    <comment ref="Y87" authorId="0" shapeId="0" xr:uid="{5956BAA8-C634-4186-8861-4F282B18938D}">
      <text>
        <r>
          <rPr>
            <b/>
            <sz val="9"/>
            <color indexed="81"/>
            <rFont val="Tahoma"/>
            <family val="2"/>
          </rPr>
          <t>KRW</t>
        </r>
      </text>
    </comment>
    <comment ref="E105" authorId="0" shapeId="0" xr:uid="{B34844D3-34C1-4791-957C-EB0F43160DD1}">
      <text>
        <r>
          <rPr>
            <b/>
            <sz val="9"/>
            <color indexed="81"/>
            <rFont val="Tahoma"/>
            <family val="2"/>
          </rPr>
          <t>KRW</t>
        </r>
      </text>
    </comment>
    <comment ref="J105" authorId="0" shapeId="0" xr:uid="{24A1A523-05C7-4E6B-91EB-00CD4B79504A}">
      <text>
        <r>
          <rPr>
            <b/>
            <sz val="9"/>
            <color indexed="81"/>
            <rFont val="Tahoma"/>
            <family val="2"/>
          </rPr>
          <t>KRW</t>
        </r>
      </text>
    </comment>
    <comment ref="K105" authorId="0" shapeId="0" xr:uid="{E8B40F1A-FEB9-4157-987E-19228BAC0A49}">
      <text>
        <r>
          <rPr>
            <b/>
            <sz val="9"/>
            <color indexed="81"/>
            <rFont val="Tahoma"/>
            <family val="2"/>
          </rPr>
          <t>KRW</t>
        </r>
      </text>
    </comment>
    <comment ref="L105" authorId="0" shapeId="0" xr:uid="{33A9C5DA-5AC0-40DA-ADAA-BF03054D9CB5}">
      <text>
        <r>
          <rPr>
            <b/>
            <sz val="9"/>
            <color indexed="81"/>
            <rFont val="Tahoma"/>
            <family val="2"/>
          </rPr>
          <t>KRW</t>
        </r>
      </text>
    </comment>
    <comment ref="M105" authorId="0" shapeId="0" xr:uid="{FE9D99A1-13FE-468C-91EC-C78CE62C229D}">
      <text>
        <r>
          <rPr>
            <b/>
            <sz val="9"/>
            <color indexed="81"/>
            <rFont val="Tahoma"/>
            <family val="2"/>
          </rPr>
          <t>KRW</t>
        </r>
      </text>
    </comment>
    <comment ref="N105" authorId="0" shapeId="0" xr:uid="{014B528E-3D00-4558-922D-AC68709FE178}">
      <text>
        <r>
          <rPr>
            <b/>
            <sz val="9"/>
            <color indexed="81"/>
            <rFont val="Tahoma"/>
            <family val="2"/>
          </rPr>
          <t>KRW</t>
        </r>
      </text>
    </comment>
    <comment ref="O105" authorId="0" shapeId="0" xr:uid="{CD094F8A-5FD0-46A5-8067-5FC2DE8220DF}">
      <text>
        <r>
          <rPr>
            <b/>
            <sz val="9"/>
            <color indexed="81"/>
            <rFont val="Tahoma"/>
            <family val="2"/>
          </rPr>
          <t>KRW</t>
        </r>
      </text>
    </comment>
    <comment ref="P105" authorId="0" shapeId="0" xr:uid="{288EB4FF-AFD8-4A72-97A9-0465BDF8760A}">
      <text>
        <r>
          <rPr>
            <b/>
            <sz val="9"/>
            <color indexed="81"/>
            <rFont val="Tahoma"/>
            <family val="2"/>
          </rPr>
          <t>KRW</t>
        </r>
      </text>
    </comment>
    <comment ref="Q105" authorId="0" shapeId="0" xr:uid="{FF1AF7BA-2EEE-4CC9-AA59-A0493D830CED}">
      <text>
        <r>
          <rPr>
            <b/>
            <sz val="9"/>
            <color indexed="81"/>
            <rFont val="Tahoma"/>
            <family val="2"/>
          </rPr>
          <t>KRW</t>
        </r>
      </text>
    </comment>
    <comment ref="T105" authorId="0" shapeId="0" xr:uid="{0A2CCBA2-1177-4AA8-93BE-797FA2586F2B}">
      <text>
        <r>
          <rPr>
            <b/>
            <sz val="9"/>
            <color indexed="81"/>
            <rFont val="Tahoma"/>
            <family val="2"/>
          </rPr>
          <t>KRW</t>
        </r>
      </text>
    </comment>
    <comment ref="Y105" authorId="0" shapeId="0" xr:uid="{E504BADD-4CBC-4295-BAD2-8477D05DC4A4}">
      <text>
        <r>
          <rPr>
            <b/>
            <sz val="9"/>
            <color indexed="81"/>
            <rFont val="Tahoma"/>
            <family val="2"/>
          </rPr>
          <t>KRW</t>
        </r>
      </text>
    </comment>
    <comment ref="E123" authorId="0" shapeId="0" xr:uid="{9AB0AA1A-6729-49F5-9311-234287363064}">
      <text>
        <r>
          <rPr>
            <b/>
            <sz val="9"/>
            <color indexed="81"/>
            <rFont val="Tahoma"/>
            <family val="2"/>
          </rPr>
          <t xml:space="preserve">KRW
</t>
        </r>
      </text>
    </comment>
    <comment ref="J123" authorId="0" shapeId="0" xr:uid="{F754C292-2635-40D3-B06B-414FD0EC42ED}">
      <text>
        <r>
          <rPr>
            <b/>
            <sz val="9"/>
            <color indexed="81"/>
            <rFont val="Tahoma"/>
            <family val="2"/>
          </rPr>
          <t xml:space="preserve">KRW
</t>
        </r>
      </text>
    </comment>
    <comment ref="K123" authorId="0" shapeId="0" xr:uid="{FA25B542-2D20-4AE0-8728-425CDD22D83B}">
      <text>
        <r>
          <rPr>
            <b/>
            <sz val="9"/>
            <color indexed="81"/>
            <rFont val="Tahoma"/>
            <family val="2"/>
          </rPr>
          <t xml:space="preserve">KRW
</t>
        </r>
      </text>
    </comment>
    <comment ref="L123" authorId="0" shapeId="0" xr:uid="{846AEAE8-CD1F-403B-9E2C-DC85ECC2F588}">
      <text>
        <r>
          <rPr>
            <b/>
            <sz val="9"/>
            <color indexed="81"/>
            <rFont val="Tahoma"/>
            <family val="2"/>
          </rPr>
          <t xml:space="preserve">KRW
</t>
        </r>
      </text>
    </comment>
    <comment ref="M123" authorId="0" shapeId="0" xr:uid="{E02C8F74-3EB9-45A4-9CE4-A398DCDB5EA7}">
      <text>
        <r>
          <rPr>
            <b/>
            <sz val="9"/>
            <color indexed="81"/>
            <rFont val="Tahoma"/>
            <family val="2"/>
          </rPr>
          <t xml:space="preserve">KRW
</t>
        </r>
      </text>
    </comment>
    <comment ref="N123" authorId="0" shapeId="0" xr:uid="{C4530196-5F4D-4617-9232-0600C2F6ABA3}">
      <text>
        <r>
          <rPr>
            <b/>
            <sz val="9"/>
            <color indexed="81"/>
            <rFont val="Tahoma"/>
            <family val="2"/>
          </rPr>
          <t xml:space="preserve">KRW
</t>
        </r>
      </text>
    </comment>
    <comment ref="O123" authorId="0" shapeId="0" xr:uid="{97228BC6-7E81-4A9B-82B5-D43871D57DA3}">
      <text>
        <r>
          <rPr>
            <b/>
            <sz val="9"/>
            <color indexed="81"/>
            <rFont val="Tahoma"/>
            <family val="2"/>
          </rPr>
          <t xml:space="preserve">KRW
</t>
        </r>
      </text>
    </comment>
    <comment ref="P123" authorId="0" shapeId="0" xr:uid="{1A729C21-067F-4634-8ABA-A6FFE3097413}">
      <text>
        <r>
          <rPr>
            <b/>
            <sz val="9"/>
            <color indexed="81"/>
            <rFont val="Tahoma"/>
            <family val="2"/>
          </rPr>
          <t xml:space="preserve">KRW
</t>
        </r>
      </text>
    </comment>
    <comment ref="Q123" authorId="0" shapeId="0" xr:uid="{E4A33EAF-11D9-476B-A28E-29D18476DCD1}">
      <text>
        <r>
          <rPr>
            <b/>
            <sz val="9"/>
            <color indexed="81"/>
            <rFont val="Tahoma"/>
            <family val="2"/>
          </rPr>
          <t xml:space="preserve">KRW
</t>
        </r>
      </text>
    </comment>
    <comment ref="T123" authorId="0" shapeId="0" xr:uid="{C3DCC668-4AA6-427C-9524-5095043FA0EA}">
      <text>
        <r>
          <rPr>
            <b/>
            <sz val="9"/>
            <color indexed="81"/>
            <rFont val="Tahoma"/>
            <family val="2"/>
          </rPr>
          <t xml:space="preserve">KRW
</t>
        </r>
      </text>
    </comment>
    <comment ref="Y123" authorId="0" shapeId="0" xr:uid="{8BB2B468-91F8-444E-8217-C4CDC1ED7458}">
      <text>
        <r>
          <rPr>
            <b/>
            <sz val="9"/>
            <color indexed="81"/>
            <rFont val="Tahoma"/>
            <family val="2"/>
          </rPr>
          <t xml:space="preserve">KRW
</t>
        </r>
      </text>
    </comment>
    <comment ref="E151" authorId="0" shapeId="0" xr:uid="{F5DC3E80-073A-4F91-87E9-4C0CCB5C74F9}">
      <text>
        <r>
          <rPr>
            <b/>
            <sz val="9"/>
            <color indexed="81"/>
            <rFont val="Tahoma"/>
            <family val="2"/>
          </rPr>
          <t>KRW</t>
        </r>
      </text>
    </comment>
    <comment ref="F151" authorId="0" shapeId="0" xr:uid="{16125643-C02F-4BB4-AF68-EF82B15EC972}">
      <text>
        <r>
          <rPr>
            <b/>
            <sz val="9"/>
            <color indexed="81"/>
            <rFont val="Tahoma"/>
            <family val="2"/>
          </rPr>
          <t>KRW</t>
        </r>
      </text>
    </comment>
    <comment ref="G151" authorId="0" shapeId="0" xr:uid="{238C98E7-4524-42FE-B148-4B9D3A939F51}">
      <text>
        <r>
          <rPr>
            <b/>
            <sz val="9"/>
            <color indexed="81"/>
            <rFont val="Tahoma"/>
            <family val="2"/>
          </rPr>
          <t>KRW</t>
        </r>
      </text>
    </comment>
    <comment ref="H151" authorId="0" shapeId="0" xr:uid="{025FB786-728A-4630-872D-3ADDB93A957E}">
      <text>
        <r>
          <rPr>
            <b/>
            <sz val="9"/>
            <color indexed="81"/>
            <rFont val="Tahoma"/>
            <family val="2"/>
          </rPr>
          <t>KRW</t>
        </r>
      </text>
    </comment>
    <comment ref="I151" authorId="0" shapeId="0" xr:uid="{A1F09868-1C2B-4227-B6BA-DADC1BE54318}">
      <text>
        <r>
          <rPr>
            <b/>
            <sz val="9"/>
            <color indexed="81"/>
            <rFont val="Tahoma"/>
            <family val="2"/>
          </rPr>
          <t>KRW</t>
        </r>
      </text>
    </comment>
    <comment ref="J151" authorId="0" shapeId="0" xr:uid="{3787C59D-DACA-48B5-B3F9-B78CE2924080}">
      <text>
        <r>
          <rPr>
            <b/>
            <sz val="9"/>
            <color indexed="81"/>
            <rFont val="Tahoma"/>
            <family val="2"/>
          </rPr>
          <t>KRW</t>
        </r>
      </text>
    </comment>
    <comment ref="K151" authorId="0" shapeId="0" xr:uid="{BC127BA3-D109-4705-ADC9-26CE61B189FC}">
      <text>
        <r>
          <rPr>
            <b/>
            <sz val="9"/>
            <color indexed="81"/>
            <rFont val="Tahoma"/>
            <family val="2"/>
          </rPr>
          <t>KRW</t>
        </r>
      </text>
    </comment>
    <comment ref="L151" authorId="0" shapeId="0" xr:uid="{82498A2E-2DB2-4B0C-8A4E-E842B6A2FFE8}">
      <text>
        <r>
          <rPr>
            <b/>
            <sz val="9"/>
            <color indexed="81"/>
            <rFont val="Tahoma"/>
            <family val="2"/>
          </rPr>
          <t>KRW</t>
        </r>
      </text>
    </comment>
    <comment ref="M151" authorId="0" shapeId="0" xr:uid="{21AFA23A-D388-4FA5-A97A-E3DD02949D01}">
      <text>
        <r>
          <rPr>
            <b/>
            <sz val="9"/>
            <color indexed="81"/>
            <rFont val="Tahoma"/>
            <family val="2"/>
          </rPr>
          <t>KRW</t>
        </r>
      </text>
    </comment>
    <comment ref="N151" authorId="0" shapeId="0" xr:uid="{B2A796B3-CD3A-4D38-A92A-CCCA2F041349}">
      <text>
        <r>
          <rPr>
            <b/>
            <sz val="9"/>
            <color indexed="81"/>
            <rFont val="Tahoma"/>
            <family val="2"/>
          </rPr>
          <t>KRW</t>
        </r>
      </text>
    </comment>
    <comment ref="O151" authorId="0" shapeId="0" xr:uid="{B68E9EB0-4C1C-4943-8FBF-6DA36B107B61}">
      <text>
        <r>
          <rPr>
            <b/>
            <sz val="9"/>
            <color indexed="81"/>
            <rFont val="Tahoma"/>
            <family val="2"/>
          </rPr>
          <t>KRW</t>
        </r>
      </text>
    </comment>
    <comment ref="P151" authorId="0" shapeId="0" xr:uid="{3CF9FE9E-97F5-4D70-A17C-97E545D0E2EC}">
      <text>
        <r>
          <rPr>
            <b/>
            <sz val="9"/>
            <color indexed="81"/>
            <rFont val="Tahoma"/>
            <family val="2"/>
          </rPr>
          <t>KRW</t>
        </r>
      </text>
    </comment>
    <comment ref="Q151" authorId="0" shapeId="0" xr:uid="{AC7074A9-677C-429E-BF46-8471470448C4}">
      <text>
        <r>
          <rPr>
            <b/>
            <sz val="9"/>
            <color indexed="81"/>
            <rFont val="Tahoma"/>
            <family val="2"/>
          </rPr>
          <t>KRW</t>
        </r>
      </text>
    </comment>
    <comment ref="T151" authorId="0" shapeId="0" xr:uid="{192D2DC1-9FFF-4E4B-A1AF-1D53B213F5DF}">
      <text>
        <r>
          <rPr>
            <b/>
            <sz val="9"/>
            <color indexed="81"/>
            <rFont val="Tahoma"/>
            <family val="2"/>
          </rPr>
          <t>KRW</t>
        </r>
      </text>
    </comment>
    <comment ref="U151" authorId="0" shapeId="0" xr:uid="{16BB1E9C-1685-4C89-A862-5490F536F983}">
      <text>
        <r>
          <rPr>
            <b/>
            <sz val="9"/>
            <color indexed="81"/>
            <rFont val="Tahoma"/>
            <family val="2"/>
          </rPr>
          <t>KRW</t>
        </r>
      </text>
    </comment>
    <comment ref="V151" authorId="0" shapeId="0" xr:uid="{8191E7F8-311D-4E48-8A53-670A00047A6B}">
      <text>
        <r>
          <rPr>
            <b/>
            <sz val="9"/>
            <color indexed="81"/>
            <rFont val="Tahoma"/>
            <family val="2"/>
          </rPr>
          <t>KRW</t>
        </r>
      </text>
    </comment>
    <comment ref="W151" authorId="0" shapeId="0" xr:uid="{ACF777DF-9CBB-43A1-BD03-C98E8E52CDE9}">
      <text>
        <r>
          <rPr>
            <b/>
            <sz val="9"/>
            <color indexed="81"/>
            <rFont val="Tahoma"/>
            <family val="2"/>
          </rPr>
          <t>KRW</t>
        </r>
      </text>
    </comment>
    <comment ref="X151" authorId="0" shapeId="0" xr:uid="{8A508EDE-5784-436A-9A91-6BB18036C12E}">
      <text>
        <r>
          <rPr>
            <b/>
            <sz val="9"/>
            <color indexed="81"/>
            <rFont val="Tahoma"/>
            <family val="2"/>
          </rPr>
          <t>KRW</t>
        </r>
      </text>
    </comment>
    <comment ref="Y151" authorId="0" shapeId="0" xr:uid="{54F6A060-4D54-4FBF-8C34-114D5CBF5209}">
      <text>
        <r>
          <rPr>
            <b/>
            <sz val="9"/>
            <color indexed="81"/>
            <rFont val="Tahoma"/>
            <family val="2"/>
          </rPr>
          <t>KRW</t>
        </r>
      </text>
    </comment>
    <comment ref="E164" authorId="0" shapeId="0" xr:uid="{34A496F4-9EAD-4E76-9F27-E490B5D520A4}">
      <text>
        <r>
          <rPr>
            <b/>
            <sz val="9"/>
            <color indexed="81"/>
            <rFont val="Tahoma"/>
            <family val="2"/>
          </rPr>
          <t>KRW</t>
        </r>
      </text>
    </comment>
    <comment ref="J164" authorId="0" shapeId="0" xr:uid="{B92B7FC8-2E44-4AF5-986C-EA2E3A5D0EF4}">
      <text>
        <r>
          <rPr>
            <b/>
            <sz val="9"/>
            <color indexed="81"/>
            <rFont val="Tahoma"/>
            <family val="2"/>
          </rPr>
          <t>KRW</t>
        </r>
      </text>
    </comment>
    <comment ref="K164" authorId="0" shapeId="0" xr:uid="{B2ACF6E4-D7BE-4EB6-9911-1F9B23AE75C4}">
      <text>
        <r>
          <rPr>
            <b/>
            <sz val="9"/>
            <color indexed="81"/>
            <rFont val="Tahoma"/>
            <family val="2"/>
          </rPr>
          <t>KRW</t>
        </r>
      </text>
    </comment>
    <comment ref="L164" authorId="0" shapeId="0" xr:uid="{EA032EFC-DDE9-469F-9643-3E3DF567328A}">
      <text>
        <r>
          <rPr>
            <b/>
            <sz val="9"/>
            <color indexed="81"/>
            <rFont val="Tahoma"/>
            <family val="2"/>
          </rPr>
          <t>KRW</t>
        </r>
      </text>
    </comment>
    <comment ref="M164" authorId="0" shapeId="0" xr:uid="{3C43308F-9B8A-4A2C-85F8-214246339590}">
      <text>
        <r>
          <rPr>
            <b/>
            <sz val="9"/>
            <color indexed="81"/>
            <rFont val="Tahoma"/>
            <family val="2"/>
          </rPr>
          <t>KRW</t>
        </r>
      </text>
    </comment>
    <comment ref="N164" authorId="0" shapeId="0" xr:uid="{4AF757CD-9EEF-4267-AFED-FD9B6B2D8D68}">
      <text>
        <r>
          <rPr>
            <b/>
            <sz val="9"/>
            <color indexed="81"/>
            <rFont val="Tahoma"/>
            <family val="2"/>
          </rPr>
          <t>KRW</t>
        </r>
      </text>
    </comment>
    <comment ref="O164" authorId="0" shapeId="0" xr:uid="{CC18BEAE-91A7-46E6-9ED7-11BA87F2123D}">
      <text>
        <r>
          <rPr>
            <b/>
            <sz val="9"/>
            <color indexed="81"/>
            <rFont val="Tahoma"/>
            <family val="2"/>
          </rPr>
          <t>KRW</t>
        </r>
      </text>
    </comment>
    <comment ref="P164" authorId="0" shapeId="0" xr:uid="{473195DB-2AE8-4E8D-A765-A812C591AE1F}">
      <text>
        <r>
          <rPr>
            <b/>
            <sz val="9"/>
            <color indexed="81"/>
            <rFont val="Tahoma"/>
            <family val="2"/>
          </rPr>
          <t>KRW</t>
        </r>
      </text>
    </comment>
    <comment ref="Q164" authorId="0" shapeId="0" xr:uid="{F999E1C8-5E0B-4992-A548-D384252CD807}">
      <text>
        <r>
          <rPr>
            <b/>
            <sz val="9"/>
            <color indexed="81"/>
            <rFont val="Tahoma"/>
            <family val="2"/>
          </rPr>
          <t>KRW</t>
        </r>
      </text>
    </comment>
    <comment ref="T164" authorId="0" shapeId="0" xr:uid="{F268A36B-923D-4068-AD04-910305937187}">
      <text>
        <r>
          <rPr>
            <b/>
            <sz val="9"/>
            <color indexed="81"/>
            <rFont val="Tahoma"/>
            <family val="2"/>
          </rPr>
          <t>KRW</t>
        </r>
      </text>
    </comment>
    <comment ref="Y164" authorId="0" shapeId="0" xr:uid="{EEFA1BDC-A40F-467D-9000-569047DADC1A}">
      <text>
        <r>
          <rPr>
            <b/>
            <sz val="9"/>
            <color indexed="81"/>
            <rFont val="Tahoma"/>
            <family val="2"/>
          </rPr>
          <t>KRW</t>
        </r>
      </text>
    </comment>
    <comment ref="E196" authorId="0" shapeId="0" xr:uid="{6049C4F1-3FFA-4277-AA70-6E2066A088E8}">
      <text>
        <r>
          <rPr>
            <b/>
            <sz val="9"/>
            <color indexed="81"/>
            <rFont val="Tahoma"/>
            <family val="2"/>
          </rPr>
          <t>KRW</t>
        </r>
      </text>
    </comment>
    <comment ref="J196" authorId="0" shapeId="0" xr:uid="{E6B037BF-1F9B-45B6-908D-114F8AF39E35}">
      <text>
        <r>
          <rPr>
            <b/>
            <sz val="9"/>
            <color indexed="81"/>
            <rFont val="Tahoma"/>
            <family val="2"/>
          </rPr>
          <t>KRW</t>
        </r>
      </text>
    </comment>
    <comment ref="K196" authorId="0" shapeId="0" xr:uid="{5141B46D-D98E-4AD0-9C51-BBDAAB07E445}">
      <text>
        <r>
          <rPr>
            <b/>
            <sz val="9"/>
            <color indexed="81"/>
            <rFont val="Tahoma"/>
            <family val="2"/>
          </rPr>
          <t>KRW</t>
        </r>
      </text>
    </comment>
    <comment ref="L196" authorId="0" shapeId="0" xr:uid="{DEFF8F08-D7B3-4C20-A1EC-177B376C0FFC}">
      <text>
        <r>
          <rPr>
            <b/>
            <sz val="9"/>
            <color indexed="81"/>
            <rFont val="Tahoma"/>
            <family val="2"/>
          </rPr>
          <t>KRW</t>
        </r>
      </text>
    </comment>
    <comment ref="M196" authorId="0" shapeId="0" xr:uid="{DB2952E4-81CC-4750-A1C5-AAD5CE47B8F2}">
      <text>
        <r>
          <rPr>
            <b/>
            <sz val="9"/>
            <color indexed="81"/>
            <rFont val="Tahoma"/>
            <family val="2"/>
          </rPr>
          <t>KRW</t>
        </r>
      </text>
    </comment>
    <comment ref="N196" authorId="0" shapeId="0" xr:uid="{E56901D8-DAE2-4E5F-821C-C86F279EC3AE}">
      <text>
        <r>
          <rPr>
            <b/>
            <sz val="9"/>
            <color indexed="81"/>
            <rFont val="Tahoma"/>
            <family val="2"/>
          </rPr>
          <t>KRW</t>
        </r>
      </text>
    </comment>
    <comment ref="O196" authorId="0" shapeId="0" xr:uid="{64503CAF-24DD-4F21-ADA1-B815F6CEDE57}">
      <text>
        <r>
          <rPr>
            <b/>
            <sz val="9"/>
            <color indexed="81"/>
            <rFont val="Tahoma"/>
            <family val="2"/>
          </rPr>
          <t>KRW</t>
        </r>
      </text>
    </comment>
    <comment ref="P196" authorId="0" shapeId="0" xr:uid="{FCE6C7BA-69C3-440A-9C93-DA5691AA1EFC}">
      <text>
        <r>
          <rPr>
            <b/>
            <sz val="9"/>
            <color indexed="81"/>
            <rFont val="Tahoma"/>
            <family val="2"/>
          </rPr>
          <t>KRW</t>
        </r>
      </text>
    </comment>
    <comment ref="Q196" authorId="0" shapeId="0" xr:uid="{AD8ADCEE-C501-4DE2-8451-949825598926}">
      <text>
        <r>
          <rPr>
            <b/>
            <sz val="9"/>
            <color indexed="81"/>
            <rFont val="Tahoma"/>
            <family val="2"/>
          </rPr>
          <t>KRW</t>
        </r>
      </text>
    </comment>
    <comment ref="T196" authorId="0" shapeId="0" xr:uid="{B4A6FF17-5EE2-45BC-AFBF-DBF2818FD52F}">
      <text>
        <r>
          <rPr>
            <b/>
            <sz val="9"/>
            <color indexed="81"/>
            <rFont val="Tahoma"/>
            <family val="2"/>
          </rPr>
          <t>KRW</t>
        </r>
      </text>
    </comment>
    <comment ref="Y196" authorId="0" shapeId="0" xr:uid="{A96925E0-399A-4F80-A3B5-32ECFC9CE35F}">
      <text>
        <r>
          <rPr>
            <b/>
            <sz val="9"/>
            <color indexed="81"/>
            <rFont val="Tahoma"/>
            <family val="2"/>
          </rPr>
          <t>KRW</t>
        </r>
      </text>
    </comment>
    <comment ref="E260" authorId="0" shapeId="0" xr:uid="{2B961072-B757-40DA-9C45-970ECA4C502C}">
      <text>
        <r>
          <rPr>
            <b/>
            <sz val="9"/>
            <color indexed="81"/>
            <rFont val="Tahoma"/>
            <family val="2"/>
          </rPr>
          <t>KRW</t>
        </r>
      </text>
    </comment>
    <comment ref="J260" authorId="0" shapeId="0" xr:uid="{03BD5C26-B0F3-41CF-B83E-E626C514D2F6}">
      <text>
        <r>
          <rPr>
            <b/>
            <sz val="9"/>
            <color indexed="81"/>
            <rFont val="Tahoma"/>
            <family val="2"/>
          </rPr>
          <t>KRW</t>
        </r>
      </text>
    </comment>
    <comment ref="K260" authorId="0" shapeId="0" xr:uid="{8133B7EE-E15C-4DB0-8E51-DBDECDCA2347}">
      <text>
        <r>
          <rPr>
            <b/>
            <sz val="9"/>
            <color indexed="81"/>
            <rFont val="Tahoma"/>
            <family val="2"/>
          </rPr>
          <t>KRW</t>
        </r>
      </text>
    </comment>
    <comment ref="L260" authorId="0" shapeId="0" xr:uid="{AC9A3AE1-9992-4FC7-BB98-39AD88F8E5DC}">
      <text>
        <r>
          <rPr>
            <b/>
            <sz val="9"/>
            <color indexed="81"/>
            <rFont val="Tahoma"/>
            <family val="2"/>
          </rPr>
          <t>KRW</t>
        </r>
      </text>
    </comment>
    <comment ref="M260" authorId="0" shapeId="0" xr:uid="{8C315E2C-C38B-4D01-8D11-2AE59E4F13C2}">
      <text>
        <r>
          <rPr>
            <b/>
            <sz val="9"/>
            <color indexed="81"/>
            <rFont val="Tahoma"/>
            <family val="2"/>
          </rPr>
          <t>KRW</t>
        </r>
      </text>
    </comment>
    <comment ref="N260" authorId="0" shapeId="0" xr:uid="{5ADC72B9-3E22-4DC6-B649-75AED86C2018}">
      <text>
        <r>
          <rPr>
            <b/>
            <sz val="9"/>
            <color indexed="81"/>
            <rFont val="Tahoma"/>
            <family val="2"/>
          </rPr>
          <t>KRW</t>
        </r>
      </text>
    </comment>
    <comment ref="O260" authorId="0" shapeId="0" xr:uid="{F4473DD9-F0F1-4F7C-8FAE-BC84014FA8ED}">
      <text>
        <r>
          <rPr>
            <b/>
            <sz val="9"/>
            <color indexed="81"/>
            <rFont val="Tahoma"/>
            <family val="2"/>
          </rPr>
          <t>KRW</t>
        </r>
      </text>
    </comment>
    <comment ref="P260" authorId="0" shapeId="0" xr:uid="{E7ED7154-9F0F-4089-8575-BEBE67E9DF0E}">
      <text>
        <r>
          <rPr>
            <b/>
            <sz val="9"/>
            <color indexed="81"/>
            <rFont val="Tahoma"/>
            <family val="2"/>
          </rPr>
          <t>KRW</t>
        </r>
      </text>
    </comment>
    <comment ref="Q260" authorId="0" shapeId="0" xr:uid="{EA48DF71-E84F-432D-A5DD-0C8AE33196BD}">
      <text>
        <r>
          <rPr>
            <b/>
            <sz val="9"/>
            <color indexed="81"/>
            <rFont val="Tahoma"/>
            <family val="2"/>
          </rPr>
          <t>KRW</t>
        </r>
      </text>
    </comment>
    <comment ref="T260" authorId="0" shapeId="0" xr:uid="{33B89D5C-6AE9-48C8-9884-1A33A6F9A1F5}">
      <text>
        <r>
          <rPr>
            <b/>
            <sz val="9"/>
            <color indexed="81"/>
            <rFont val="Tahoma"/>
            <family val="2"/>
          </rPr>
          <t>KRW</t>
        </r>
      </text>
    </comment>
    <comment ref="Y260" authorId="0" shapeId="0" xr:uid="{4C7D517D-597C-4666-B0E8-A2C213954F1B}">
      <text>
        <r>
          <rPr>
            <b/>
            <sz val="9"/>
            <color indexed="81"/>
            <rFont val="Tahoma"/>
            <family val="2"/>
          </rPr>
          <t>KRW</t>
        </r>
      </text>
    </comment>
    <comment ref="E294" authorId="0" shapeId="0" xr:uid="{0211DC56-2B48-4EDF-B411-E33F8166ECF9}">
      <text>
        <r>
          <rPr>
            <b/>
            <sz val="9"/>
            <color indexed="81"/>
            <rFont val="Tahoma"/>
            <family val="2"/>
          </rPr>
          <t>KRW</t>
        </r>
      </text>
    </comment>
    <comment ref="J294" authorId="0" shapeId="0" xr:uid="{71C3626D-771A-4E27-90F6-805F78D4F8E5}">
      <text>
        <r>
          <rPr>
            <b/>
            <sz val="9"/>
            <color indexed="81"/>
            <rFont val="Tahoma"/>
            <family val="2"/>
          </rPr>
          <t>KRW</t>
        </r>
      </text>
    </comment>
    <comment ref="K294" authorId="0" shapeId="0" xr:uid="{4AFD7C1A-E80A-4088-BDB7-B167BF352EFB}">
      <text>
        <r>
          <rPr>
            <b/>
            <sz val="9"/>
            <color indexed="81"/>
            <rFont val="Tahoma"/>
            <family val="2"/>
          </rPr>
          <t>KRW</t>
        </r>
      </text>
    </comment>
    <comment ref="L294" authorId="0" shapeId="0" xr:uid="{E1A0836F-88C9-49A6-B38F-B4FAC43D00BC}">
      <text>
        <r>
          <rPr>
            <b/>
            <sz val="9"/>
            <color indexed="81"/>
            <rFont val="Tahoma"/>
            <family val="2"/>
          </rPr>
          <t>KRW</t>
        </r>
      </text>
    </comment>
    <comment ref="M294" authorId="0" shapeId="0" xr:uid="{273A976F-7D08-4969-B83C-CE3238B0BFFE}">
      <text>
        <r>
          <rPr>
            <b/>
            <sz val="9"/>
            <color indexed="81"/>
            <rFont val="Tahoma"/>
            <family val="2"/>
          </rPr>
          <t>KRW</t>
        </r>
      </text>
    </comment>
    <comment ref="N294" authorId="0" shapeId="0" xr:uid="{E5C2CBED-8237-4191-A237-B4DD34B0ADD9}">
      <text>
        <r>
          <rPr>
            <b/>
            <sz val="9"/>
            <color indexed="81"/>
            <rFont val="Tahoma"/>
            <family val="2"/>
          </rPr>
          <t>KRW</t>
        </r>
      </text>
    </comment>
    <comment ref="O294" authorId="0" shapeId="0" xr:uid="{A7D5D7D7-40A7-4A63-9744-BF64C8BE9757}">
      <text>
        <r>
          <rPr>
            <b/>
            <sz val="9"/>
            <color indexed="81"/>
            <rFont val="Tahoma"/>
            <family val="2"/>
          </rPr>
          <t>KRW</t>
        </r>
      </text>
    </comment>
    <comment ref="P294" authorId="0" shapeId="0" xr:uid="{750D12EB-68F2-48FF-B58C-2ABBABB8DFB6}">
      <text>
        <r>
          <rPr>
            <b/>
            <sz val="9"/>
            <color indexed="81"/>
            <rFont val="Tahoma"/>
            <family val="2"/>
          </rPr>
          <t>KRW</t>
        </r>
      </text>
    </comment>
    <comment ref="Q294" authorId="0" shapeId="0" xr:uid="{EC120CBF-3F91-499F-9F7A-22EA20EEA30E}">
      <text>
        <r>
          <rPr>
            <b/>
            <sz val="9"/>
            <color indexed="81"/>
            <rFont val="Tahoma"/>
            <family val="2"/>
          </rPr>
          <t>KRW</t>
        </r>
      </text>
    </comment>
    <comment ref="T294" authorId="0" shapeId="0" xr:uid="{A8F04BD1-731E-4F64-9ABD-538E202F0D86}">
      <text>
        <r>
          <rPr>
            <b/>
            <sz val="9"/>
            <color indexed="81"/>
            <rFont val="Tahoma"/>
            <family val="2"/>
          </rPr>
          <t>KRW</t>
        </r>
      </text>
    </comment>
    <comment ref="Y294" authorId="0" shapeId="0" xr:uid="{9B723FD0-B786-4479-B5A2-B722BA200D98}">
      <text>
        <r>
          <rPr>
            <b/>
            <sz val="9"/>
            <color indexed="81"/>
            <rFont val="Tahoma"/>
            <family val="2"/>
          </rPr>
          <t>KRW</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distributed generation</author>
  </authors>
  <commentList>
    <comment ref="E60" authorId="0" shapeId="0" xr:uid="{DEA68E5B-82D0-4CE6-9448-C50CD4908853}">
      <text>
        <r>
          <rPr>
            <b/>
            <sz val="9"/>
            <color indexed="81"/>
            <rFont val="Tahoma"/>
            <family val="2"/>
          </rPr>
          <t>KRW</t>
        </r>
      </text>
    </comment>
    <comment ref="J60" authorId="0" shapeId="0" xr:uid="{FE13135B-9803-48F7-B872-4E5A594969E4}">
      <text>
        <r>
          <rPr>
            <b/>
            <sz val="9"/>
            <color indexed="81"/>
            <rFont val="Tahoma"/>
            <family val="2"/>
          </rPr>
          <t>KRW</t>
        </r>
      </text>
    </comment>
    <comment ref="K60" authorId="0" shapeId="0" xr:uid="{C5D59FA0-96F9-4E2E-9E51-5FE140F594E4}">
      <text>
        <r>
          <rPr>
            <b/>
            <sz val="9"/>
            <color indexed="81"/>
            <rFont val="Tahoma"/>
            <family val="2"/>
          </rPr>
          <t>KRW</t>
        </r>
      </text>
    </comment>
    <comment ref="L60" authorId="0" shapeId="0" xr:uid="{81035E74-1258-4D30-87E4-5021441ECD13}">
      <text>
        <r>
          <rPr>
            <b/>
            <sz val="9"/>
            <color indexed="81"/>
            <rFont val="Tahoma"/>
            <family val="2"/>
          </rPr>
          <t>KRW</t>
        </r>
      </text>
    </comment>
    <comment ref="M60" authorId="0" shapeId="0" xr:uid="{0739ECA5-B57C-4698-B938-1D3DBBF8B6C1}">
      <text>
        <r>
          <rPr>
            <b/>
            <sz val="9"/>
            <color indexed="81"/>
            <rFont val="Tahoma"/>
            <family val="2"/>
          </rPr>
          <t>KRW</t>
        </r>
      </text>
    </comment>
    <comment ref="N60" authorId="0" shapeId="0" xr:uid="{D85DA351-F60C-4140-8C8A-348866FB9998}">
      <text>
        <r>
          <rPr>
            <b/>
            <sz val="9"/>
            <color indexed="81"/>
            <rFont val="Tahoma"/>
            <family val="2"/>
          </rPr>
          <t>KRW</t>
        </r>
      </text>
    </comment>
    <comment ref="O60" authorId="0" shapeId="0" xr:uid="{60B29C6E-D178-431B-B860-20795B50C443}">
      <text>
        <r>
          <rPr>
            <b/>
            <sz val="9"/>
            <color indexed="81"/>
            <rFont val="Tahoma"/>
            <family val="2"/>
          </rPr>
          <t>KRW</t>
        </r>
      </text>
    </comment>
    <comment ref="P60" authorId="0" shapeId="0" xr:uid="{A7FF778D-D69B-4479-9FB1-02E5D4706FAB}">
      <text>
        <r>
          <rPr>
            <b/>
            <sz val="9"/>
            <color indexed="81"/>
            <rFont val="Tahoma"/>
            <family val="2"/>
          </rPr>
          <t>KRW</t>
        </r>
      </text>
    </comment>
    <comment ref="Q60" authorId="0" shapeId="0" xr:uid="{77800581-B97B-4BCE-BE6B-E4D9DEE1AD18}">
      <text>
        <r>
          <rPr>
            <b/>
            <sz val="9"/>
            <color indexed="81"/>
            <rFont val="Tahoma"/>
            <family val="2"/>
          </rPr>
          <t>KRW</t>
        </r>
      </text>
    </comment>
    <comment ref="T60" authorId="0" shapeId="0" xr:uid="{D677300F-434A-4C9F-B64B-044BA3776C51}">
      <text>
        <r>
          <rPr>
            <b/>
            <sz val="9"/>
            <color indexed="81"/>
            <rFont val="Tahoma"/>
            <family val="2"/>
          </rPr>
          <t>KRW</t>
        </r>
      </text>
    </comment>
    <comment ref="Y60" authorId="0" shapeId="0" xr:uid="{B6F34294-B0A6-4882-953C-C181465B5844}">
      <text>
        <r>
          <rPr>
            <b/>
            <sz val="9"/>
            <color indexed="81"/>
            <rFont val="Tahoma"/>
            <family val="2"/>
          </rPr>
          <t>KRW</t>
        </r>
      </text>
    </comment>
    <comment ref="E69" authorId="0" shapeId="0" xr:uid="{DD2D20E0-9337-43D0-9C9B-34D37FAF0438}">
      <text>
        <r>
          <rPr>
            <b/>
            <sz val="9"/>
            <color indexed="81"/>
            <rFont val="Tahoma"/>
            <family val="2"/>
          </rPr>
          <t>KRW</t>
        </r>
      </text>
    </comment>
    <comment ref="J69" authorId="0" shapeId="0" xr:uid="{FAAFA35B-1590-4C7A-842A-CEDE124E8F68}">
      <text>
        <r>
          <rPr>
            <b/>
            <sz val="9"/>
            <color indexed="81"/>
            <rFont val="Tahoma"/>
            <family val="2"/>
          </rPr>
          <t>KRW</t>
        </r>
      </text>
    </comment>
    <comment ref="K69" authorId="0" shapeId="0" xr:uid="{7817C3DB-E63F-427F-A158-303FBD3A8AE0}">
      <text>
        <r>
          <rPr>
            <b/>
            <sz val="9"/>
            <color indexed="81"/>
            <rFont val="Tahoma"/>
            <family val="2"/>
          </rPr>
          <t>KRW</t>
        </r>
      </text>
    </comment>
    <comment ref="L69" authorId="0" shapeId="0" xr:uid="{A42FF514-1F79-4D96-AA88-2AC1DFB5EDEC}">
      <text>
        <r>
          <rPr>
            <b/>
            <sz val="9"/>
            <color indexed="81"/>
            <rFont val="Tahoma"/>
            <family val="2"/>
          </rPr>
          <t>KRW</t>
        </r>
      </text>
    </comment>
    <comment ref="M69" authorId="0" shapeId="0" xr:uid="{FC5A43E4-5595-4CD9-B793-B404D5391BD7}">
      <text>
        <r>
          <rPr>
            <b/>
            <sz val="9"/>
            <color indexed="81"/>
            <rFont val="Tahoma"/>
            <family val="2"/>
          </rPr>
          <t>KRW</t>
        </r>
      </text>
    </comment>
    <comment ref="N69" authorId="0" shapeId="0" xr:uid="{2BB1457E-8EB9-4085-8C38-ECF3A7839772}">
      <text>
        <r>
          <rPr>
            <b/>
            <sz val="9"/>
            <color indexed="81"/>
            <rFont val="Tahoma"/>
            <family val="2"/>
          </rPr>
          <t>KRW</t>
        </r>
      </text>
    </comment>
    <comment ref="O69" authorId="0" shapeId="0" xr:uid="{9B97699F-AF9C-42B4-A72A-2CE0E2001C30}">
      <text>
        <r>
          <rPr>
            <b/>
            <sz val="9"/>
            <color indexed="81"/>
            <rFont val="Tahoma"/>
            <family val="2"/>
          </rPr>
          <t>KRW</t>
        </r>
      </text>
    </comment>
    <comment ref="P69" authorId="0" shapeId="0" xr:uid="{DF3859B5-D1E0-45D1-9F93-20EEA8C24EB9}">
      <text>
        <r>
          <rPr>
            <b/>
            <sz val="9"/>
            <color indexed="81"/>
            <rFont val="Tahoma"/>
            <family val="2"/>
          </rPr>
          <t>KRW</t>
        </r>
      </text>
    </comment>
    <comment ref="Q69" authorId="0" shapeId="0" xr:uid="{9CB37FCE-5CE0-48C8-B36C-8EC7CAA07ED3}">
      <text>
        <r>
          <rPr>
            <b/>
            <sz val="9"/>
            <color indexed="81"/>
            <rFont val="Tahoma"/>
            <family val="2"/>
          </rPr>
          <t>KRW</t>
        </r>
      </text>
    </comment>
    <comment ref="T69" authorId="0" shapeId="0" xr:uid="{778391DC-6C36-40A5-9FEA-4B5F7A7C3CBB}">
      <text>
        <r>
          <rPr>
            <b/>
            <sz val="9"/>
            <color indexed="81"/>
            <rFont val="Tahoma"/>
            <family val="2"/>
          </rPr>
          <t>KRW</t>
        </r>
      </text>
    </comment>
    <comment ref="Y69" authorId="0" shapeId="0" xr:uid="{AEBB5410-2CBE-4966-A083-DFC9DF409875}">
      <text>
        <r>
          <rPr>
            <b/>
            <sz val="9"/>
            <color indexed="81"/>
            <rFont val="Tahoma"/>
            <family val="2"/>
          </rPr>
          <t>KRW</t>
        </r>
      </text>
    </comment>
    <comment ref="E87" authorId="0" shapeId="0" xr:uid="{ED2B51AA-D1CA-4F16-8BD2-499AC4E348F4}">
      <text>
        <r>
          <rPr>
            <b/>
            <sz val="9"/>
            <color indexed="81"/>
            <rFont val="Tahoma"/>
            <family val="2"/>
          </rPr>
          <t>KRW</t>
        </r>
      </text>
    </comment>
    <comment ref="F87" authorId="0" shapeId="0" xr:uid="{B7E0816A-0F38-40CA-9625-9F3AA1A1B9DA}">
      <text>
        <r>
          <rPr>
            <b/>
            <sz val="9"/>
            <color indexed="81"/>
            <rFont val="Tahoma"/>
            <family val="2"/>
          </rPr>
          <t>KRW</t>
        </r>
      </text>
    </comment>
    <comment ref="G87" authorId="0" shapeId="0" xr:uid="{75F6AC32-FADD-4A53-B49A-8CF35FFF7A09}">
      <text>
        <r>
          <rPr>
            <b/>
            <sz val="9"/>
            <color indexed="81"/>
            <rFont val="Tahoma"/>
            <family val="2"/>
          </rPr>
          <t>KRW</t>
        </r>
      </text>
    </comment>
    <comment ref="H87" authorId="0" shapeId="0" xr:uid="{45C2AA80-59B7-4101-9847-AE08AEA08BDA}">
      <text>
        <r>
          <rPr>
            <b/>
            <sz val="9"/>
            <color indexed="81"/>
            <rFont val="Tahoma"/>
            <family val="2"/>
          </rPr>
          <t>KRW</t>
        </r>
      </text>
    </comment>
    <comment ref="I87" authorId="0" shapeId="0" xr:uid="{580A57C5-1410-40D2-9D82-EFD7D7813E06}">
      <text>
        <r>
          <rPr>
            <b/>
            <sz val="9"/>
            <color indexed="81"/>
            <rFont val="Tahoma"/>
            <family val="2"/>
          </rPr>
          <t>KRW</t>
        </r>
      </text>
    </comment>
    <comment ref="J87" authorId="0" shapeId="0" xr:uid="{BCB5E7B0-7C9A-4843-8E74-B3B29FA84EDA}">
      <text>
        <r>
          <rPr>
            <b/>
            <sz val="9"/>
            <color indexed="81"/>
            <rFont val="Tahoma"/>
            <family val="2"/>
          </rPr>
          <t>KRW</t>
        </r>
      </text>
    </comment>
    <comment ref="K87" authorId="0" shapeId="0" xr:uid="{A7E6E2A9-1AFD-4827-9D8C-2409C0206C1D}">
      <text>
        <r>
          <rPr>
            <b/>
            <sz val="9"/>
            <color indexed="81"/>
            <rFont val="Tahoma"/>
            <family val="2"/>
          </rPr>
          <t>KRW</t>
        </r>
      </text>
    </comment>
    <comment ref="L87" authorId="0" shapeId="0" xr:uid="{872F0BC0-6326-4A3D-A4B7-3F6DF3468548}">
      <text>
        <r>
          <rPr>
            <b/>
            <sz val="9"/>
            <color indexed="81"/>
            <rFont val="Tahoma"/>
            <family val="2"/>
          </rPr>
          <t>KRW</t>
        </r>
      </text>
    </comment>
    <comment ref="M87" authorId="0" shapeId="0" xr:uid="{3E9345EA-DE77-48F5-9808-DCDA8073E842}">
      <text>
        <r>
          <rPr>
            <b/>
            <sz val="9"/>
            <color indexed="81"/>
            <rFont val="Tahoma"/>
            <family val="2"/>
          </rPr>
          <t>KRW</t>
        </r>
      </text>
    </comment>
    <comment ref="N87" authorId="0" shapeId="0" xr:uid="{BD2FAA39-5F4E-4400-8FBD-456FDD7C00ED}">
      <text>
        <r>
          <rPr>
            <b/>
            <sz val="9"/>
            <color indexed="81"/>
            <rFont val="Tahoma"/>
            <family val="2"/>
          </rPr>
          <t>KRW</t>
        </r>
      </text>
    </comment>
    <comment ref="O87" authorId="0" shapeId="0" xr:uid="{610058B7-1457-457B-911E-BF79D37860E4}">
      <text>
        <r>
          <rPr>
            <b/>
            <sz val="9"/>
            <color indexed="81"/>
            <rFont val="Tahoma"/>
            <family val="2"/>
          </rPr>
          <t>KRW</t>
        </r>
      </text>
    </comment>
    <comment ref="P87" authorId="0" shapeId="0" xr:uid="{9F988CB7-03B3-4095-BB10-ED68A84A45F1}">
      <text>
        <r>
          <rPr>
            <b/>
            <sz val="9"/>
            <color indexed="81"/>
            <rFont val="Tahoma"/>
            <family val="2"/>
          </rPr>
          <t>KRW</t>
        </r>
      </text>
    </comment>
    <comment ref="Q87" authorId="0" shapeId="0" xr:uid="{F8BAC8C4-E976-4528-A1A5-B456EAED454D}">
      <text>
        <r>
          <rPr>
            <b/>
            <sz val="9"/>
            <color indexed="81"/>
            <rFont val="Tahoma"/>
            <family val="2"/>
          </rPr>
          <t>KRW</t>
        </r>
      </text>
    </comment>
    <comment ref="T87" authorId="0" shapeId="0" xr:uid="{866292DD-5F7B-41EA-A476-A64704F3A34F}">
      <text>
        <r>
          <rPr>
            <b/>
            <sz val="9"/>
            <color indexed="81"/>
            <rFont val="Tahoma"/>
            <family val="2"/>
          </rPr>
          <t>KRW</t>
        </r>
      </text>
    </comment>
    <comment ref="U87" authorId="0" shapeId="0" xr:uid="{40842664-7E1F-4A78-A91C-6514520FA70E}">
      <text>
        <r>
          <rPr>
            <b/>
            <sz val="9"/>
            <color indexed="81"/>
            <rFont val="Tahoma"/>
            <family val="2"/>
          </rPr>
          <t>KRW</t>
        </r>
      </text>
    </comment>
    <comment ref="V87" authorId="0" shapeId="0" xr:uid="{EFABA4DA-3511-4037-8473-2ECFE8483253}">
      <text>
        <r>
          <rPr>
            <b/>
            <sz val="9"/>
            <color indexed="81"/>
            <rFont val="Tahoma"/>
            <family val="2"/>
          </rPr>
          <t>KRW</t>
        </r>
      </text>
    </comment>
    <comment ref="W87" authorId="0" shapeId="0" xr:uid="{312F2C52-F385-48BA-8FF1-B6503D3ADEFC}">
      <text>
        <r>
          <rPr>
            <b/>
            <sz val="9"/>
            <color indexed="81"/>
            <rFont val="Tahoma"/>
            <family val="2"/>
          </rPr>
          <t>KRW</t>
        </r>
      </text>
    </comment>
    <comment ref="X87" authorId="0" shapeId="0" xr:uid="{32A26D09-11EC-4691-93E1-1C0E96313866}">
      <text>
        <r>
          <rPr>
            <b/>
            <sz val="9"/>
            <color indexed="81"/>
            <rFont val="Tahoma"/>
            <family val="2"/>
          </rPr>
          <t>KRW</t>
        </r>
      </text>
    </comment>
    <comment ref="Y87" authorId="0" shapeId="0" xr:uid="{69E15B61-513A-4970-9E7E-B9A05239F7B5}">
      <text>
        <r>
          <rPr>
            <b/>
            <sz val="9"/>
            <color indexed="81"/>
            <rFont val="Tahoma"/>
            <family val="2"/>
          </rPr>
          <t>KRW</t>
        </r>
      </text>
    </comment>
    <comment ref="E105" authorId="0" shapeId="0" xr:uid="{C23178C1-8862-4376-94C6-2BBBA03C484A}">
      <text>
        <r>
          <rPr>
            <b/>
            <sz val="9"/>
            <color indexed="81"/>
            <rFont val="Tahoma"/>
            <family val="2"/>
          </rPr>
          <t>KRW</t>
        </r>
      </text>
    </comment>
    <comment ref="J105" authorId="0" shapeId="0" xr:uid="{D8AF7F2B-2870-4E2A-8EDB-77A123706B79}">
      <text>
        <r>
          <rPr>
            <b/>
            <sz val="9"/>
            <color indexed="81"/>
            <rFont val="Tahoma"/>
            <family val="2"/>
          </rPr>
          <t>KRW</t>
        </r>
      </text>
    </comment>
    <comment ref="K105" authorId="0" shapeId="0" xr:uid="{1612FF9B-0007-48DF-B569-4BC081D046B5}">
      <text>
        <r>
          <rPr>
            <b/>
            <sz val="9"/>
            <color indexed="81"/>
            <rFont val="Tahoma"/>
            <family val="2"/>
          </rPr>
          <t>KRW</t>
        </r>
      </text>
    </comment>
    <comment ref="L105" authorId="0" shapeId="0" xr:uid="{B1B764A4-1A56-424C-BC95-C34AB06B48F2}">
      <text>
        <r>
          <rPr>
            <b/>
            <sz val="9"/>
            <color indexed="81"/>
            <rFont val="Tahoma"/>
            <family val="2"/>
          </rPr>
          <t>KRW</t>
        </r>
      </text>
    </comment>
    <comment ref="M105" authorId="0" shapeId="0" xr:uid="{D16048A8-C820-44BF-92C3-F8BA7CE425B2}">
      <text>
        <r>
          <rPr>
            <b/>
            <sz val="9"/>
            <color indexed="81"/>
            <rFont val="Tahoma"/>
            <family val="2"/>
          </rPr>
          <t>KRW</t>
        </r>
      </text>
    </comment>
    <comment ref="N105" authorId="0" shapeId="0" xr:uid="{75FA4C14-CAB9-46A4-AF4F-30654CCB07CE}">
      <text>
        <r>
          <rPr>
            <b/>
            <sz val="9"/>
            <color indexed="81"/>
            <rFont val="Tahoma"/>
            <family val="2"/>
          </rPr>
          <t>KRW</t>
        </r>
      </text>
    </comment>
    <comment ref="O105" authorId="0" shapeId="0" xr:uid="{C2E12283-B32F-4459-A7D5-CC7D4AA9E881}">
      <text>
        <r>
          <rPr>
            <b/>
            <sz val="9"/>
            <color indexed="81"/>
            <rFont val="Tahoma"/>
            <family val="2"/>
          </rPr>
          <t>KRW</t>
        </r>
      </text>
    </comment>
    <comment ref="P105" authorId="0" shapeId="0" xr:uid="{57051F44-C57C-44A9-80D8-AA22A94940BE}">
      <text>
        <r>
          <rPr>
            <b/>
            <sz val="9"/>
            <color indexed="81"/>
            <rFont val="Tahoma"/>
            <family val="2"/>
          </rPr>
          <t>KRW</t>
        </r>
      </text>
    </comment>
    <comment ref="Q105" authorId="0" shapeId="0" xr:uid="{E6B4C79A-68E0-4928-98E3-49ECE8D0D480}">
      <text>
        <r>
          <rPr>
            <b/>
            <sz val="9"/>
            <color indexed="81"/>
            <rFont val="Tahoma"/>
            <family val="2"/>
          </rPr>
          <t>KRW</t>
        </r>
      </text>
    </comment>
    <comment ref="T105" authorId="0" shapeId="0" xr:uid="{DA6F6ABB-74FA-4067-9203-3A5CC2685D01}">
      <text>
        <r>
          <rPr>
            <b/>
            <sz val="9"/>
            <color indexed="81"/>
            <rFont val="Tahoma"/>
            <family val="2"/>
          </rPr>
          <t>KRW</t>
        </r>
      </text>
    </comment>
    <comment ref="Y105" authorId="0" shapeId="0" xr:uid="{E4DA15D5-251F-46FF-B28F-C086638DC3EC}">
      <text>
        <r>
          <rPr>
            <b/>
            <sz val="9"/>
            <color indexed="81"/>
            <rFont val="Tahoma"/>
            <family val="2"/>
          </rPr>
          <t>KRW</t>
        </r>
      </text>
    </comment>
    <comment ref="E123" authorId="0" shapeId="0" xr:uid="{B87E9E2A-B222-4C88-A258-F7CAB61BDD6C}">
      <text>
        <r>
          <rPr>
            <b/>
            <sz val="9"/>
            <color indexed="81"/>
            <rFont val="Tahoma"/>
            <family val="2"/>
          </rPr>
          <t xml:space="preserve">KRW
</t>
        </r>
      </text>
    </comment>
    <comment ref="J123" authorId="0" shapeId="0" xr:uid="{620DCB66-3B1A-4A8E-A648-1CE1709D690B}">
      <text>
        <r>
          <rPr>
            <b/>
            <sz val="9"/>
            <color indexed="81"/>
            <rFont val="Tahoma"/>
            <family val="2"/>
          </rPr>
          <t xml:space="preserve">KRW
</t>
        </r>
      </text>
    </comment>
    <comment ref="K123" authorId="0" shapeId="0" xr:uid="{02720EBC-0A9A-4992-AD3B-8DBC84041899}">
      <text>
        <r>
          <rPr>
            <b/>
            <sz val="9"/>
            <color indexed="81"/>
            <rFont val="Tahoma"/>
            <family val="2"/>
          </rPr>
          <t xml:space="preserve">KRW
</t>
        </r>
      </text>
    </comment>
    <comment ref="L123" authorId="0" shapeId="0" xr:uid="{14B72CE9-9316-4A91-A718-085DA3E023A1}">
      <text>
        <r>
          <rPr>
            <b/>
            <sz val="9"/>
            <color indexed="81"/>
            <rFont val="Tahoma"/>
            <family val="2"/>
          </rPr>
          <t xml:space="preserve">KRW
</t>
        </r>
      </text>
    </comment>
    <comment ref="M123" authorId="0" shapeId="0" xr:uid="{EFEE436D-8E32-41C7-A1B0-2E8390D1FC29}">
      <text>
        <r>
          <rPr>
            <b/>
            <sz val="9"/>
            <color indexed="81"/>
            <rFont val="Tahoma"/>
            <family val="2"/>
          </rPr>
          <t xml:space="preserve">KRW
</t>
        </r>
      </text>
    </comment>
    <comment ref="N123" authorId="0" shapeId="0" xr:uid="{7B4D3554-EBC1-4820-B96A-168F0B4929B7}">
      <text>
        <r>
          <rPr>
            <b/>
            <sz val="9"/>
            <color indexed="81"/>
            <rFont val="Tahoma"/>
            <family val="2"/>
          </rPr>
          <t xml:space="preserve">KRW
</t>
        </r>
      </text>
    </comment>
    <comment ref="O123" authorId="0" shapeId="0" xr:uid="{AF49DEBB-3837-4029-9C0A-F3545103A7FE}">
      <text>
        <r>
          <rPr>
            <b/>
            <sz val="9"/>
            <color indexed="81"/>
            <rFont val="Tahoma"/>
            <family val="2"/>
          </rPr>
          <t xml:space="preserve">KRW
</t>
        </r>
      </text>
    </comment>
    <comment ref="P123" authorId="0" shapeId="0" xr:uid="{495A84D3-9B60-4644-85A7-1FC8D1C62047}">
      <text>
        <r>
          <rPr>
            <b/>
            <sz val="9"/>
            <color indexed="81"/>
            <rFont val="Tahoma"/>
            <family val="2"/>
          </rPr>
          <t xml:space="preserve">KRW
</t>
        </r>
      </text>
    </comment>
    <comment ref="Q123" authorId="0" shapeId="0" xr:uid="{2CBEF229-A470-41FC-81E1-B798F2B1C08A}">
      <text>
        <r>
          <rPr>
            <b/>
            <sz val="9"/>
            <color indexed="81"/>
            <rFont val="Tahoma"/>
            <family val="2"/>
          </rPr>
          <t xml:space="preserve">KRW
</t>
        </r>
      </text>
    </comment>
    <comment ref="T123" authorId="0" shapeId="0" xr:uid="{975E17B8-15C6-4C56-BFBC-6A689FF1E80B}">
      <text>
        <r>
          <rPr>
            <b/>
            <sz val="9"/>
            <color indexed="81"/>
            <rFont val="Tahoma"/>
            <family val="2"/>
          </rPr>
          <t xml:space="preserve">KRW
</t>
        </r>
      </text>
    </comment>
    <comment ref="Y123" authorId="0" shapeId="0" xr:uid="{2C79EE2A-4C22-4C8E-B0CE-F7F374226E24}">
      <text>
        <r>
          <rPr>
            <b/>
            <sz val="9"/>
            <color indexed="81"/>
            <rFont val="Tahoma"/>
            <family val="2"/>
          </rPr>
          <t xml:space="preserve">KRW
</t>
        </r>
      </text>
    </comment>
    <comment ref="E151" authorId="0" shapeId="0" xr:uid="{DAA216DE-77C3-4E50-AA82-0471A360DD4A}">
      <text>
        <r>
          <rPr>
            <b/>
            <sz val="9"/>
            <color indexed="81"/>
            <rFont val="Tahoma"/>
            <family val="2"/>
          </rPr>
          <t>KRW</t>
        </r>
      </text>
    </comment>
    <comment ref="F151" authorId="0" shapeId="0" xr:uid="{669E11CF-D772-4A7F-B0E4-BFB1DF20D1F7}">
      <text>
        <r>
          <rPr>
            <b/>
            <sz val="9"/>
            <color indexed="81"/>
            <rFont val="Tahoma"/>
            <family val="2"/>
          </rPr>
          <t>KRW</t>
        </r>
      </text>
    </comment>
    <comment ref="G151" authorId="0" shapeId="0" xr:uid="{88DD973F-E698-4A59-851B-E8FFAEC3919A}">
      <text>
        <r>
          <rPr>
            <b/>
            <sz val="9"/>
            <color indexed="81"/>
            <rFont val="Tahoma"/>
            <family val="2"/>
          </rPr>
          <t>KRW</t>
        </r>
      </text>
    </comment>
    <comment ref="H151" authorId="0" shapeId="0" xr:uid="{1D35181E-BA96-46A4-9761-4B27F985A6EA}">
      <text>
        <r>
          <rPr>
            <b/>
            <sz val="9"/>
            <color indexed="81"/>
            <rFont val="Tahoma"/>
            <family val="2"/>
          </rPr>
          <t>KRW</t>
        </r>
      </text>
    </comment>
    <comment ref="I151" authorId="0" shapeId="0" xr:uid="{FB7CFBAE-5D5F-4A5E-BAF2-A306900DAC7C}">
      <text>
        <r>
          <rPr>
            <b/>
            <sz val="9"/>
            <color indexed="81"/>
            <rFont val="Tahoma"/>
            <family val="2"/>
          </rPr>
          <t>KRW</t>
        </r>
      </text>
    </comment>
    <comment ref="J151" authorId="0" shapeId="0" xr:uid="{B5BDC890-3BD4-42B4-87FE-FF312DB71C4B}">
      <text>
        <r>
          <rPr>
            <b/>
            <sz val="9"/>
            <color indexed="81"/>
            <rFont val="Tahoma"/>
            <family val="2"/>
          </rPr>
          <t>KRW</t>
        </r>
      </text>
    </comment>
    <comment ref="K151" authorId="0" shapeId="0" xr:uid="{C7C9A740-80FD-4A63-A538-8357BF0EE4DD}">
      <text>
        <r>
          <rPr>
            <b/>
            <sz val="9"/>
            <color indexed="81"/>
            <rFont val="Tahoma"/>
            <family val="2"/>
          </rPr>
          <t>KRW</t>
        </r>
      </text>
    </comment>
    <comment ref="L151" authorId="0" shapeId="0" xr:uid="{16EF7A00-C547-4DFA-9196-77A32222D883}">
      <text>
        <r>
          <rPr>
            <b/>
            <sz val="9"/>
            <color indexed="81"/>
            <rFont val="Tahoma"/>
            <family val="2"/>
          </rPr>
          <t>KRW</t>
        </r>
      </text>
    </comment>
    <comment ref="M151" authorId="0" shapeId="0" xr:uid="{52B9B8CC-8B3B-4222-8433-297458D9CD99}">
      <text>
        <r>
          <rPr>
            <b/>
            <sz val="9"/>
            <color indexed="81"/>
            <rFont val="Tahoma"/>
            <family val="2"/>
          </rPr>
          <t>KRW</t>
        </r>
      </text>
    </comment>
    <comment ref="N151" authorId="0" shapeId="0" xr:uid="{2253B167-562E-4453-BB0D-BFB0AD8E13FA}">
      <text>
        <r>
          <rPr>
            <b/>
            <sz val="9"/>
            <color indexed="81"/>
            <rFont val="Tahoma"/>
            <family val="2"/>
          </rPr>
          <t>KRW</t>
        </r>
      </text>
    </comment>
    <comment ref="O151" authorId="0" shapeId="0" xr:uid="{F75B4E2D-5626-4191-A22B-5399891F7C93}">
      <text>
        <r>
          <rPr>
            <b/>
            <sz val="9"/>
            <color indexed="81"/>
            <rFont val="Tahoma"/>
            <family val="2"/>
          </rPr>
          <t>KRW</t>
        </r>
      </text>
    </comment>
    <comment ref="P151" authorId="0" shapeId="0" xr:uid="{B0A9644C-9307-44DE-B2C8-802E4FCE266B}">
      <text>
        <r>
          <rPr>
            <b/>
            <sz val="9"/>
            <color indexed="81"/>
            <rFont val="Tahoma"/>
            <family val="2"/>
          </rPr>
          <t>KRW</t>
        </r>
      </text>
    </comment>
    <comment ref="Q151" authorId="0" shapeId="0" xr:uid="{C1E88E41-9EB6-4EBC-91E9-8FDEDD9F67B5}">
      <text>
        <r>
          <rPr>
            <b/>
            <sz val="9"/>
            <color indexed="81"/>
            <rFont val="Tahoma"/>
            <family val="2"/>
          </rPr>
          <t>KRW</t>
        </r>
      </text>
    </comment>
    <comment ref="T151" authorId="0" shapeId="0" xr:uid="{16E063CC-D29B-4A5E-896E-62CA93916443}">
      <text>
        <r>
          <rPr>
            <b/>
            <sz val="9"/>
            <color indexed="81"/>
            <rFont val="Tahoma"/>
            <family val="2"/>
          </rPr>
          <t>KRW</t>
        </r>
      </text>
    </comment>
    <comment ref="U151" authorId="0" shapeId="0" xr:uid="{9710BB73-177E-441F-ACB4-F08AF780CBFA}">
      <text>
        <r>
          <rPr>
            <b/>
            <sz val="9"/>
            <color indexed="81"/>
            <rFont val="Tahoma"/>
            <family val="2"/>
          </rPr>
          <t>KRW</t>
        </r>
      </text>
    </comment>
    <comment ref="V151" authorId="0" shapeId="0" xr:uid="{067E1C03-DB19-4E28-B694-D7AE729465A2}">
      <text>
        <r>
          <rPr>
            <b/>
            <sz val="9"/>
            <color indexed="81"/>
            <rFont val="Tahoma"/>
            <family val="2"/>
          </rPr>
          <t>KRW</t>
        </r>
      </text>
    </comment>
    <comment ref="W151" authorId="0" shapeId="0" xr:uid="{81C3E77E-D6AF-4D12-A559-AEE417F29820}">
      <text>
        <r>
          <rPr>
            <b/>
            <sz val="9"/>
            <color indexed="81"/>
            <rFont val="Tahoma"/>
            <family val="2"/>
          </rPr>
          <t>KRW</t>
        </r>
      </text>
    </comment>
    <comment ref="X151" authorId="0" shapeId="0" xr:uid="{8FD2260D-3ACD-4D91-A724-6BCC9A8C4E58}">
      <text>
        <r>
          <rPr>
            <b/>
            <sz val="9"/>
            <color indexed="81"/>
            <rFont val="Tahoma"/>
            <family val="2"/>
          </rPr>
          <t>KRW</t>
        </r>
      </text>
    </comment>
    <comment ref="Y151" authorId="0" shapeId="0" xr:uid="{4C36B4A9-CD04-427C-B10A-D909BE732620}">
      <text>
        <r>
          <rPr>
            <b/>
            <sz val="9"/>
            <color indexed="81"/>
            <rFont val="Tahoma"/>
            <family val="2"/>
          </rPr>
          <t>KRW</t>
        </r>
      </text>
    </comment>
    <comment ref="E164" authorId="0" shapeId="0" xr:uid="{7EE7E333-403A-4D47-8CBE-7A46B66D3064}">
      <text>
        <r>
          <rPr>
            <b/>
            <sz val="9"/>
            <color indexed="81"/>
            <rFont val="Tahoma"/>
            <family val="2"/>
          </rPr>
          <t>KRW</t>
        </r>
      </text>
    </comment>
    <comment ref="J164" authorId="0" shapeId="0" xr:uid="{9FE1BFF9-FDF0-4EC7-B447-A94AE61D1097}">
      <text>
        <r>
          <rPr>
            <b/>
            <sz val="9"/>
            <color indexed="81"/>
            <rFont val="Tahoma"/>
            <family val="2"/>
          </rPr>
          <t>KRW</t>
        </r>
      </text>
    </comment>
    <comment ref="K164" authorId="0" shapeId="0" xr:uid="{F77BE170-F554-4DC1-BD94-136032D11EC9}">
      <text>
        <r>
          <rPr>
            <b/>
            <sz val="9"/>
            <color indexed="81"/>
            <rFont val="Tahoma"/>
            <family val="2"/>
          </rPr>
          <t>KRW</t>
        </r>
      </text>
    </comment>
    <comment ref="L164" authorId="0" shapeId="0" xr:uid="{7A2BFF89-9920-4C19-86E6-4AEB28577742}">
      <text>
        <r>
          <rPr>
            <b/>
            <sz val="9"/>
            <color indexed="81"/>
            <rFont val="Tahoma"/>
            <family val="2"/>
          </rPr>
          <t>KRW</t>
        </r>
      </text>
    </comment>
    <comment ref="M164" authorId="0" shapeId="0" xr:uid="{36C50F4B-DEC1-4A15-9581-36580CCAFEF2}">
      <text>
        <r>
          <rPr>
            <b/>
            <sz val="9"/>
            <color indexed="81"/>
            <rFont val="Tahoma"/>
            <family val="2"/>
          </rPr>
          <t>KRW</t>
        </r>
      </text>
    </comment>
    <comment ref="N164" authorId="0" shapeId="0" xr:uid="{C08314EE-E281-4444-83A0-63DA3AF98D10}">
      <text>
        <r>
          <rPr>
            <b/>
            <sz val="9"/>
            <color indexed="81"/>
            <rFont val="Tahoma"/>
            <family val="2"/>
          </rPr>
          <t>KRW</t>
        </r>
      </text>
    </comment>
    <comment ref="O164" authorId="0" shapeId="0" xr:uid="{D83B9FA7-33DB-4FD7-A16E-016A791CE1E6}">
      <text>
        <r>
          <rPr>
            <b/>
            <sz val="9"/>
            <color indexed="81"/>
            <rFont val="Tahoma"/>
            <family val="2"/>
          </rPr>
          <t>KRW</t>
        </r>
      </text>
    </comment>
    <comment ref="P164" authorId="0" shapeId="0" xr:uid="{C15FDC9A-EEEE-4419-8A00-27175D847CC8}">
      <text>
        <r>
          <rPr>
            <b/>
            <sz val="9"/>
            <color indexed="81"/>
            <rFont val="Tahoma"/>
            <family val="2"/>
          </rPr>
          <t>KRW</t>
        </r>
      </text>
    </comment>
    <comment ref="Q164" authorId="0" shapeId="0" xr:uid="{83C387FC-0A12-4DCC-9EAE-04D5FA1A2957}">
      <text>
        <r>
          <rPr>
            <b/>
            <sz val="9"/>
            <color indexed="81"/>
            <rFont val="Tahoma"/>
            <family val="2"/>
          </rPr>
          <t>KRW</t>
        </r>
      </text>
    </comment>
    <comment ref="T164" authorId="0" shapeId="0" xr:uid="{BE40E108-F1D5-4D09-9945-2B3C47C93F42}">
      <text>
        <r>
          <rPr>
            <b/>
            <sz val="9"/>
            <color indexed="81"/>
            <rFont val="Tahoma"/>
            <family val="2"/>
          </rPr>
          <t>KRW</t>
        </r>
      </text>
    </comment>
    <comment ref="Y164" authorId="0" shapeId="0" xr:uid="{0DEE96E2-087A-4660-9EA7-DC4A645D260C}">
      <text>
        <r>
          <rPr>
            <b/>
            <sz val="9"/>
            <color indexed="81"/>
            <rFont val="Tahoma"/>
            <family val="2"/>
          </rPr>
          <t>KRW</t>
        </r>
      </text>
    </comment>
    <comment ref="E182" authorId="0" shapeId="0" xr:uid="{3B9E9EAB-EE93-488A-9581-D629394ACB94}">
      <text>
        <r>
          <rPr>
            <b/>
            <sz val="9"/>
            <color indexed="81"/>
            <rFont val="Tahoma"/>
            <family val="2"/>
          </rPr>
          <t>KRW</t>
        </r>
      </text>
    </comment>
    <comment ref="J182" authorId="0" shapeId="0" xr:uid="{D3D6D97D-5A36-46DD-B19E-29A937440E7D}">
      <text>
        <r>
          <rPr>
            <b/>
            <sz val="9"/>
            <color indexed="81"/>
            <rFont val="Tahoma"/>
            <family val="2"/>
          </rPr>
          <t>KRW</t>
        </r>
      </text>
    </comment>
    <comment ref="K182" authorId="0" shapeId="0" xr:uid="{26E611D0-72CA-44F8-B347-4CA82A18D790}">
      <text>
        <r>
          <rPr>
            <b/>
            <sz val="9"/>
            <color indexed="81"/>
            <rFont val="Tahoma"/>
            <family val="2"/>
          </rPr>
          <t>KRW</t>
        </r>
      </text>
    </comment>
    <comment ref="L182" authorId="0" shapeId="0" xr:uid="{2FD1F110-7FE6-4DC6-BFA9-98829E294DD1}">
      <text>
        <r>
          <rPr>
            <b/>
            <sz val="9"/>
            <color indexed="81"/>
            <rFont val="Tahoma"/>
            <family val="2"/>
          </rPr>
          <t>KRW</t>
        </r>
      </text>
    </comment>
    <comment ref="M182" authorId="0" shapeId="0" xr:uid="{7C729A37-D0D0-4577-860E-70FED3ADC4B6}">
      <text>
        <r>
          <rPr>
            <b/>
            <sz val="9"/>
            <color indexed="81"/>
            <rFont val="Tahoma"/>
            <family val="2"/>
          </rPr>
          <t>KRW</t>
        </r>
      </text>
    </comment>
    <comment ref="N182" authorId="0" shapeId="0" xr:uid="{D2DFD1DA-F8FA-4E42-8F14-C9991D9FCD25}">
      <text>
        <r>
          <rPr>
            <b/>
            <sz val="9"/>
            <color indexed="81"/>
            <rFont val="Tahoma"/>
            <family val="2"/>
          </rPr>
          <t>KRW</t>
        </r>
      </text>
    </comment>
    <comment ref="O182" authorId="0" shapeId="0" xr:uid="{D4EED237-1D07-4550-84CF-3E7D60AA85C9}">
      <text>
        <r>
          <rPr>
            <b/>
            <sz val="9"/>
            <color indexed="81"/>
            <rFont val="Tahoma"/>
            <family val="2"/>
          </rPr>
          <t>KRW</t>
        </r>
      </text>
    </comment>
    <comment ref="P182" authorId="0" shapeId="0" xr:uid="{B15F7F56-0360-4B1F-8128-F55EE554A4BB}">
      <text>
        <r>
          <rPr>
            <b/>
            <sz val="9"/>
            <color indexed="81"/>
            <rFont val="Tahoma"/>
            <family val="2"/>
          </rPr>
          <t>KRW</t>
        </r>
      </text>
    </comment>
    <comment ref="Q182" authorId="0" shapeId="0" xr:uid="{EEB53A5E-0DAE-4684-AD3F-8FF361A21B7D}">
      <text>
        <r>
          <rPr>
            <b/>
            <sz val="9"/>
            <color indexed="81"/>
            <rFont val="Tahoma"/>
            <family val="2"/>
          </rPr>
          <t>KRW</t>
        </r>
      </text>
    </comment>
    <comment ref="T182" authorId="0" shapeId="0" xr:uid="{CB7287B7-C48C-4216-B49A-B026E8200523}">
      <text>
        <r>
          <rPr>
            <b/>
            <sz val="9"/>
            <color indexed="81"/>
            <rFont val="Tahoma"/>
            <family val="2"/>
          </rPr>
          <t>KRW</t>
        </r>
      </text>
    </comment>
    <comment ref="Y182" authorId="0" shapeId="0" xr:uid="{0E1FF11C-B104-430A-AC20-207FD12CEDD5}">
      <text>
        <r>
          <rPr>
            <b/>
            <sz val="9"/>
            <color indexed="81"/>
            <rFont val="Tahoma"/>
            <family val="2"/>
          </rPr>
          <t>KRW</t>
        </r>
      </text>
    </comment>
    <comment ref="E217" authorId="0" shapeId="0" xr:uid="{14BC984E-B335-4BDB-B8E3-D44714444A57}">
      <text>
        <r>
          <rPr>
            <b/>
            <sz val="9"/>
            <color indexed="81"/>
            <rFont val="Tahoma"/>
            <family val="2"/>
          </rPr>
          <t>KRW</t>
        </r>
      </text>
    </comment>
    <comment ref="J217" authorId="0" shapeId="0" xr:uid="{3E096F2B-7BE6-49DF-A959-173EC7753091}">
      <text>
        <r>
          <rPr>
            <b/>
            <sz val="9"/>
            <color indexed="81"/>
            <rFont val="Tahoma"/>
            <family val="2"/>
          </rPr>
          <t>KRW</t>
        </r>
      </text>
    </comment>
    <comment ref="K217" authorId="0" shapeId="0" xr:uid="{2DA62438-11D9-478D-998C-5ECC1124AFF9}">
      <text>
        <r>
          <rPr>
            <b/>
            <sz val="9"/>
            <color indexed="81"/>
            <rFont val="Tahoma"/>
            <family val="2"/>
          </rPr>
          <t>KRW</t>
        </r>
      </text>
    </comment>
    <comment ref="L217" authorId="0" shapeId="0" xr:uid="{6CC281FA-0E34-4560-A469-C0F991121F5C}">
      <text>
        <r>
          <rPr>
            <b/>
            <sz val="9"/>
            <color indexed="81"/>
            <rFont val="Tahoma"/>
            <family val="2"/>
          </rPr>
          <t>KRW</t>
        </r>
      </text>
    </comment>
    <comment ref="M217" authorId="0" shapeId="0" xr:uid="{E67CC65E-D32C-4C8B-8978-D13ECE010A33}">
      <text>
        <r>
          <rPr>
            <b/>
            <sz val="9"/>
            <color indexed="81"/>
            <rFont val="Tahoma"/>
            <family val="2"/>
          </rPr>
          <t>KRW</t>
        </r>
      </text>
    </comment>
    <comment ref="N217" authorId="0" shapeId="0" xr:uid="{ABAE0D8F-4BED-45AC-B0E5-FA2FF620E6EE}">
      <text>
        <r>
          <rPr>
            <b/>
            <sz val="9"/>
            <color indexed="81"/>
            <rFont val="Tahoma"/>
            <family val="2"/>
          </rPr>
          <t>KRW</t>
        </r>
      </text>
    </comment>
    <comment ref="O217" authorId="0" shapeId="0" xr:uid="{D819B3E5-5E77-4F43-A23D-C881CC56C76D}">
      <text>
        <r>
          <rPr>
            <b/>
            <sz val="9"/>
            <color indexed="81"/>
            <rFont val="Tahoma"/>
            <family val="2"/>
          </rPr>
          <t>KRW</t>
        </r>
      </text>
    </comment>
    <comment ref="P217" authorId="0" shapeId="0" xr:uid="{D8EE2FF7-EF37-440D-929E-A529BE63C132}">
      <text>
        <r>
          <rPr>
            <b/>
            <sz val="9"/>
            <color indexed="81"/>
            <rFont val="Tahoma"/>
            <family val="2"/>
          </rPr>
          <t>KRW</t>
        </r>
      </text>
    </comment>
    <comment ref="Q217" authorId="0" shapeId="0" xr:uid="{EE660EEC-D33D-4341-997D-AD3DC2DF8F16}">
      <text>
        <r>
          <rPr>
            <b/>
            <sz val="9"/>
            <color indexed="81"/>
            <rFont val="Tahoma"/>
            <family val="2"/>
          </rPr>
          <t>KRW</t>
        </r>
      </text>
    </comment>
    <comment ref="T217" authorId="0" shapeId="0" xr:uid="{D7D17078-1FFB-44DD-8BAD-F50F15D321C1}">
      <text>
        <r>
          <rPr>
            <b/>
            <sz val="9"/>
            <color indexed="81"/>
            <rFont val="Tahoma"/>
            <family val="2"/>
          </rPr>
          <t>KRW</t>
        </r>
      </text>
    </comment>
    <comment ref="Y217" authorId="0" shapeId="0" xr:uid="{252FFD0E-28F0-4FA9-A3C7-99DC7ADD417A}">
      <text>
        <r>
          <rPr>
            <b/>
            <sz val="9"/>
            <color indexed="81"/>
            <rFont val="Tahoma"/>
            <family val="2"/>
          </rPr>
          <t>KRW</t>
        </r>
      </text>
    </comment>
    <comment ref="E234" authorId="0" shapeId="0" xr:uid="{DA5B3D6D-94FA-4541-807C-3DEE733ACA89}">
      <text>
        <r>
          <rPr>
            <b/>
            <sz val="9"/>
            <color indexed="81"/>
            <rFont val="Tahoma"/>
            <family val="2"/>
          </rPr>
          <t>KRW</t>
        </r>
      </text>
    </comment>
    <comment ref="J234" authorId="0" shapeId="0" xr:uid="{3796A576-2789-49AE-B881-9B0E4F769640}">
      <text>
        <r>
          <rPr>
            <b/>
            <sz val="9"/>
            <color indexed="81"/>
            <rFont val="Tahoma"/>
            <family val="2"/>
          </rPr>
          <t>KRW</t>
        </r>
      </text>
    </comment>
    <comment ref="K234" authorId="0" shapeId="0" xr:uid="{8CF0DF7B-3379-44F3-B816-FEF3C928FA37}">
      <text>
        <r>
          <rPr>
            <b/>
            <sz val="9"/>
            <color indexed="81"/>
            <rFont val="Tahoma"/>
            <family val="2"/>
          </rPr>
          <t>KRW</t>
        </r>
      </text>
    </comment>
    <comment ref="L234" authorId="0" shapeId="0" xr:uid="{F7F7F134-F93B-40CA-8F68-125A9AA8AD58}">
      <text>
        <r>
          <rPr>
            <b/>
            <sz val="9"/>
            <color indexed="81"/>
            <rFont val="Tahoma"/>
            <family val="2"/>
          </rPr>
          <t>KRW</t>
        </r>
      </text>
    </comment>
    <comment ref="M234" authorId="0" shapeId="0" xr:uid="{365FFC5F-B016-4C48-9AC6-8B810C54902F}">
      <text>
        <r>
          <rPr>
            <b/>
            <sz val="9"/>
            <color indexed="81"/>
            <rFont val="Tahoma"/>
            <family val="2"/>
          </rPr>
          <t>KRW</t>
        </r>
      </text>
    </comment>
    <comment ref="N234" authorId="0" shapeId="0" xr:uid="{A21BD03C-71BD-455B-BC16-0E73B967C7E1}">
      <text>
        <r>
          <rPr>
            <b/>
            <sz val="9"/>
            <color indexed="81"/>
            <rFont val="Tahoma"/>
            <family val="2"/>
          </rPr>
          <t>KRW</t>
        </r>
      </text>
    </comment>
    <comment ref="O234" authorId="0" shapeId="0" xr:uid="{29E33345-E193-47C2-B2E5-24DB5B8F1BC6}">
      <text>
        <r>
          <rPr>
            <b/>
            <sz val="9"/>
            <color indexed="81"/>
            <rFont val="Tahoma"/>
            <family val="2"/>
          </rPr>
          <t>KRW</t>
        </r>
      </text>
    </comment>
    <comment ref="P234" authorId="0" shapeId="0" xr:uid="{C7F30D90-F8CE-445C-AFEB-46DA7FA2B21A}">
      <text>
        <r>
          <rPr>
            <b/>
            <sz val="9"/>
            <color indexed="81"/>
            <rFont val="Tahoma"/>
            <family val="2"/>
          </rPr>
          <t>KRW</t>
        </r>
      </text>
    </comment>
    <comment ref="Q234" authorId="0" shapeId="0" xr:uid="{B1F56476-28DF-497D-A7F0-81D98E9C62D5}">
      <text>
        <r>
          <rPr>
            <b/>
            <sz val="9"/>
            <color indexed="81"/>
            <rFont val="Tahoma"/>
            <family val="2"/>
          </rPr>
          <t>KRW</t>
        </r>
      </text>
    </comment>
    <comment ref="T234" authorId="0" shapeId="0" xr:uid="{7F44D3CF-9C19-4970-B0FD-588118809EBF}">
      <text>
        <r>
          <rPr>
            <b/>
            <sz val="9"/>
            <color indexed="81"/>
            <rFont val="Tahoma"/>
            <family val="2"/>
          </rPr>
          <t>KRW</t>
        </r>
      </text>
    </comment>
    <comment ref="Y234" authorId="0" shapeId="0" xr:uid="{93E62DB4-99E3-4F1A-B185-2027D8047558}">
      <text>
        <r>
          <rPr>
            <b/>
            <sz val="9"/>
            <color indexed="81"/>
            <rFont val="Tahoma"/>
            <family val="2"/>
          </rPr>
          <t>KRW</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tc={5E146BF6-8E05-4D6C-A239-569C20E0A7D6}</author>
  </authors>
  <commentList>
    <comment ref="B22" authorId="0" shapeId="0" xr:uid="{5E146BF6-8E05-4D6C-A239-569C20E0A7D6}">
      <text>
        <t>[스레드 댓글]
사용 중인 버전의 Excel에서 이 스레드 댓글을 읽을 수 있지만 파일을 이후 버전의 Excel에서 열면 편집 내용이 모두 제거됩니다. 자세한 정보: https://go.microsoft.com/fwlink/?linkid=870924.
댓글:
    1은 190.08kW , 2는 380.80kW로 전체 570.88임</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tc={27EE2500-840B-414C-B3DC-8CD6D8229C68}</author>
    <author>tc={DC3C2E0F-7B8F-49B7-80D7-4055BC828096}</author>
    <author>tc={9D7F21EC-526C-4F16-97EB-5E9CE52FE2F2}</author>
  </authors>
  <commentList>
    <comment ref="C29" authorId="0" shapeId="0" xr:uid="{27EE2500-840B-414C-B3DC-8CD6D8229C68}">
      <text>
        <t>[스레드 댓글]
사용 중인 버전의 Excel에서 이 스레드 댓글을 읽을 수 있지만 파일을 이후 버전의 Excel에서 열면 편집 내용이 모두 제거됩니다. 자세한 정보: https://go.microsoft.com/fwlink/?linkid=870924.
댓글:
    동성메탈 임차250612_54,539,100 EBL 250717_54,539,100 지급분 Drop에 따른 Daechon Busan Milestone3에 반영 함</t>
      </text>
    </comment>
    <comment ref="C49" authorId="1" shapeId="0" xr:uid="{DC3C2E0F-7B8F-49B7-80D7-4055BC828096}">
      <text>
        <t>[스레드 댓글]
사용 중인 버전의 Excel에서 이 스레드 댓글을 읽을 수 있지만 파일을 이후 버전의 Excel에서 열면 편집 내용이 모두 제거됩니다. 자세한 정보: https://go.microsoft.com/fwlink/?linkid=870924.
댓글:
    계약서는 228kW로 되어 있음</t>
      </text>
    </comment>
    <comment ref="C50" authorId="2" shapeId="0" xr:uid="{9D7F21EC-526C-4F16-97EB-5E9CE52FE2F2}">
      <text>
        <t>[스레드 댓글]
사용 중인 버전의 Excel에서 이 스레드 댓글을 읽을 수 있지만 파일을 이후 버전의 Excel에서 열면 편집 내용이 모두 제거됩니다. 자세한 정보: https://go.microsoft.com/fwlink/?linkid=870924.
댓글:
    계약서 금액은 241kW로 되어 있음</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distributed generation</author>
  </authors>
  <commentList>
    <comment ref="E60" authorId="0" shapeId="0" xr:uid="{2EFFDD9F-57D1-4D9D-9163-171626C9567E}">
      <text>
        <r>
          <rPr>
            <b/>
            <sz val="9"/>
            <color indexed="81"/>
            <rFont val="Tahoma"/>
            <family val="2"/>
          </rPr>
          <t>KRW</t>
        </r>
      </text>
    </comment>
    <comment ref="J60" authorId="0" shapeId="0" xr:uid="{9B65602A-F764-416E-9CAB-14FB4363C6C1}">
      <text>
        <r>
          <rPr>
            <b/>
            <sz val="9"/>
            <color indexed="81"/>
            <rFont val="Tahoma"/>
            <family val="2"/>
          </rPr>
          <t>KRW</t>
        </r>
      </text>
    </comment>
    <comment ref="K60" authorId="0" shapeId="0" xr:uid="{943BD379-6D5B-4225-B144-3A8EFAC09F97}">
      <text>
        <r>
          <rPr>
            <b/>
            <sz val="9"/>
            <color indexed="81"/>
            <rFont val="Tahoma"/>
            <family val="2"/>
          </rPr>
          <t>KRW</t>
        </r>
      </text>
    </comment>
    <comment ref="L60" authorId="0" shapeId="0" xr:uid="{BDE9D783-9649-40C6-B2CC-3F3FF6642E97}">
      <text>
        <r>
          <rPr>
            <b/>
            <sz val="9"/>
            <color indexed="81"/>
            <rFont val="Tahoma"/>
            <family val="2"/>
          </rPr>
          <t>KRW</t>
        </r>
      </text>
    </comment>
    <comment ref="M60" authorId="0" shapeId="0" xr:uid="{1721097A-D624-44EB-9BA6-633CC3E64836}">
      <text>
        <r>
          <rPr>
            <b/>
            <sz val="9"/>
            <color indexed="81"/>
            <rFont val="Tahoma"/>
            <family val="2"/>
          </rPr>
          <t>KRW</t>
        </r>
      </text>
    </comment>
    <comment ref="N60" authorId="0" shapeId="0" xr:uid="{2BC9B376-6289-40CA-B32F-385BC22A3447}">
      <text>
        <r>
          <rPr>
            <b/>
            <sz val="9"/>
            <color indexed="81"/>
            <rFont val="Tahoma"/>
            <family val="2"/>
          </rPr>
          <t>KRW</t>
        </r>
      </text>
    </comment>
    <comment ref="O60" authorId="0" shapeId="0" xr:uid="{72125DAB-78E1-496C-AEE3-CF87D5C88DE9}">
      <text>
        <r>
          <rPr>
            <b/>
            <sz val="9"/>
            <color indexed="81"/>
            <rFont val="Tahoma"/>
            <family val="2"/>
          </rPr>
          <t>KRW</t>
        </r>
      </text>
    </comment>
    <comment ref="P60" authorId="0" shapeId="0" xr:uid="{12162462-077E-422A-930F-86B009A64443}">
      <text>
        <r>
          <rPr>
            <b/>
            <sz val="9"/>
            <color indexed="81"/>
            <rFont val="Tahoma"/>
            <family val="2"/>
          </rPr>
          <t>KRW</t>
        </r>
      </text>
    </comment>
    <comment ref="Q60" authorId="0" shapeId="0" xr:uid="{03BE66D2-20B5-423D-A089-B00BDFB0A88B}">
      <text>
        <r>
          <rPr>
            <b/>
            <sz val="9"/>
            <color indexed="81"/>
            <rFont val="Tahoma"/>
            <family val="2"/>
          </rPr>
          <t>KRW</t>
        </r>
      </text>
    </comment>
    <comment ref="T60" authorId="0" shapeId="0" xr:uid="{BAAFED4F-CEEE-4892-AA20-1674E005372C}">
      <text>
        <r>
          <rPr>
            <b/>
            <sz val="9"/>
            <color indexed="81"/>
            <rFont val="Tahoma"/>
            <family val="2"/>
          </rPr>
          <t>KRW</t>
        </r>
      </text>
    </comment>
    <comment ref="Y60" authorId="0" shapeId="0" xr:uid="{47EA0CD0-5D38-4FFB-B2D2-9A54EC21D8FB}">
      <text>
        <r>
          <rPr>
            <b/>
            <sz val="9"/>
            <color indexed="81"/>
            <rFont val="Tahoma"/>
            <family val="2"/>
          </rPr>
          <t>KRW</t>
        </r>
      </text>
    </comment>
    <comment ref="E69" authorId="0" shapeId="0" xr:uid="{B13DC312-9CAC-470B-ACA4-C896FE491DD6}">
      <text>
        <r>
          <rPr>
            <b/>
            <sz val="9"/>
            <color indexed="81"/>
            <rFont val="Tahoma"/>
            <family val="2"/>
          </rPr>
          <t>KRW</t>
        </r>
      </text>
    </comment>
    <comment ref="J69" authorId="0" shapeId="0" xr:uid="{CFC9CE66-65E6-400B-9B11-7B01E77FD007}">
      <text>
        <r>
          <rPr>
            <b/>
            <sz val="9"/>
            <color indexed="81"/>
            <rFont val="Tahoma"/>
            <family val="2"/>
          </rPr>
          <t>KRW</t>
        </r>
      </text>
    </comment>
    <comment ref="K69" authorId="0" shapeId="0" xr:uid="{A48C293A-F7DB-44DE-813A-3C5FC33C7F3A}">
      <text>
        <r>
          <rPr>
            <b/>
            <sz val="9"/>
            <color indexed="81"/>
            <rFont val="Tahoma"/>
            <family val="2"/>
          </rPr>
          <t>KRW</t>
        </r>
      </text>
    </comment>
    <comment ref="L69" authorId="0" shapeId="0" xr:uid="{B9816243-CBED-4A19-8C42-E5F51A233A6C}">
      <text>
        <r>
          <rPr>
            <b/>
            <sz val="9"/>
            <color indexed="81"/>
            <rFont val="Tahoma"/>
            <family val="2"/>
          </rPr>
          <t>KRW</t>
        </r>
      </text>
    </comment>
    <comment ref="M69" authorId="0" shapeId="0" xr:uid="{A43AD0DD-EE7C-48E8-A990-D52CD3709949}">
      <text>
        <r>
          <rPr>
            <b/>
            <sz val="9"/>
            <color indexed="81"/>
            <rFont val="Tahoma"/>
            <family val="2"/>
          </rPr>
          <t>KRW</t>
        </r>
      </text>
    </comment>
    <comment ref="N69" authorId="0" shapeId="0" xr:uid="{B810F757-294D-4283-A44F-5C9E380E20C4}">
      <text>
        <r>
          <rPr>
            <b/>
            <sz val="9"/>
            <color indexed="81"/>
            <rFont val="Tahoma"/>
            <family val="2"/>
          </rPr>
          <t>KRW</t>
        </r>
      </text>
    </comment>
    <comment ref="O69" authorId="0" shapeId="0" xr:uid="{E6493505-7211-45EA-8804-547277B11847}">
      <text>
        <r>
          <rPr>
            <b/>
            <sz val="9"/>
            <color indexed="81"/>
            <rFont val="Tahoma"/>
            <family val="2"/>
          </rPr>
          <t>KRW</t>
        </r>
      </text>
    </comment>
    <comment ref="P69" authorId="0" shapeId="0" xr:uid="{04B4998F-2299-45E1-A528-1261D49247B8}">
      <text>
        <r>
          <rPr>
            <b/>
            <sz val="9"/>
            <color indexed="81"/>
            <rFont val="Tahoma"/>
            <family val="2"/>
          </rPr>
          <t>KRW</t>
        </r>
      </text>
    </comment>
    <comment ref="Q69" authorId="0" shapeId="0" xr:uid="{DA81A848-ADB4-4312-8386-998846643C6B}">
      <text>
        <r>
          <rPr>
            <b/>
            <sz val="9"/>
            <color indexed="81"/>
            <rFont val="Tahoma"/>
            <family val="2"/>
          </rPr>
          <t>KRW</t>
        </r>
      </text>
    </comment>
    <comment ref="T69" authorId="0" shapeId="0" xr:uid="{36E3616A-CE08-459F-B729-96CE082DBC65}">
      <text>
        <r>
          <rPr>
            <b/>
            <sz val="9"/>
            <color indexed="81"/>
            <rFont val="Tahoma"/>
            <family val="2"/>
          </rPr>
          <t>KRW</t>
        </r>
      </text>
    </comment>
    <comment ref="Y69" authorId="0" shapeId="0" xr:uid="{B6FED991-E9EF-46F1-886E-19D069640508}">
      <text>
        <r>
          <rPr>
            <b/>
            <sz val="9"/>
            <color indexed="81"/>
            <rFont val="Tahoma"/>
            <family val="2"/>
          </rPr>
          <t>KRW</t>
        </r>
      </text>
    </comment>
    <comment ref="E87" authorId="0" shapeId="0" xr:uid="{8841B37B-1D0F-47B1-ABDB-B849CC078AA7}">
      <text>
        <r>
          <rPr>
            <b/>
            <sz val="9"/>
            <color indexed="81"/>
            <rFont val="Tahoma"/>
            <family val="2"/>
          </rPr>
          <t>KRW</t>
        </r>
      </text>
    </comment>
    <comment ref="F87" authorId="0" shapeId="0" xr:uid="{4156428F-AF88-47CC-8E16-685D9CDDD604}">
      <text>
        <r>
          <rPr>
            <b/>
            <sz val="9"/>
            <color indexed="81"/>
            <rFont val="Tahoma"/>
            <family val="2"/>
          </rPr>
          <t>KRW</t>
        </r>
      </text>
    </comment>
    <comment ref="G87" authorId="0" shapeId="0" xr:uid="{A21EBB67-C95C-4B14-B797-5E0EF464CBF3}">
      <text>
        <r>
          <rPr>
            <b/>
            <sz val="9"/>
            <color indexed="81"/>
            <rFont val="Tahoma"/>
            <family val="2"/>
          </rPr>
          <t>KRW</t>
        </r>
      </text>
    </comment>
    <comment ref="H87" authorId="0" shapeId="0" xr:uid="{1F4F48F0-443B-42E7-8261-FF56FCA43BCF}">
      <text>
        <r>
          <rPr>
            <b/>
            <sz val="9"/>
            <color indexed="81"/>
            <rFont val="Tahoma"/>
            <family val="2"/>
          </rPr>
          <t>KRW</t>
        </r>
      </text>
    </comment>
    <comment ref="I87" authorId="0" shapeId="0" xr:uid="{E32C5A1F-CD68-4C74-8C04-EB76B4358882}">
      <text>
        <r>
          <rPr>
            <b/>
            <sz val="9"/>
            <color indexed="81"/>
            <rFont val="Tahoma"/>
            <family val="2"/>
          </rPr>
          <t>KRW</t>
        </r>
      </text>
    </comment>
    <comment ref="J87" authorId="0" shapeId="0" xr:uid="{99C468A7-06B3-411A-AD66-BB5877480530}">
      <text>
        <r>
          <rPr>
            <b/>
            <sz val="9"/>
            <color indexed="81"/>
            <rFont val="Tahoma"/>
            <family val="2"/>
          </rPr>
          <t>KRW</t>
        </r>
      </text>
    </comment>
    <comment ref="K87" authorId="0" shapeId="0" xr:uid="{832344A1-A86E-42E3-B67B-90CD0112E349}">
      <text>
        <r>
          <rPr>
            <b/>
            <sz val="9"/>
            <color indexed="81"/>
            <rFont val="Tahoma"/>
            <family val="2"/>
          </rPr>
          <t>KRW</t>
        </r>
      </text>
    </comment>
    <comment ref="L87" authorId="0" shapeId="0" xr:uid="{5C5D21A9-FD04-4626-B75E-A4DB0A1A292C}">
      <text>
        <r>
          <rPr>
            <b/>
            <sz val="9"/>
            <color indexed="81"/>
            <rFont val="Tahoma"/>
            <family val="2"/>
          </rPr>
          <t>KRW</t>
        </r>
      </text>
    </comment>
    <comment ref="M87" authorId="0" shapeId="0" xr:uid="{1F7FDE5B-0ADC-4593-8937-00511958D9E5}">
      <text>
        <r>
          <rPr>
            <b/>
            <sz val="9"/>
            <color indexed="81"/>
            <rFont val="Tahoma"/>
            <family val="2"/>
          </rPr>
          <t>KRW</t>
        </r>
      </text>
    </comment>
    <comment ref="N87" authorId="0" shapeId="0" xr:uid="{73BF315A-0254-4DE4-8C55-1D36AFC47FC5}">
      <text>
        <r>
          <rPr>
            <b/>
            <sz val="9"/>
            <color indexed="81"/>
            <rFont val="Tahoma"/>
            <family val="2"/>
          </rPr>
          <t>KRW</t>
        </r>
      </text>
    </comment>
    <comment ref="O87" authorId="0" shapeId="0" xr:uid="{95F46C80-7942-43EF-8BFE-D13989F79497}">
      <text>
        <r>
          <rPr>
            <b/>
            <sz val="9"/>
            <color indexed="81"/>
            <rFont val="Tahoma"/>
            <family val="2"/>
          </rPr>
          <t>KRW</t>
        </r>
      </text>
    </comment>
    <comment ref="P87" authorId="0" shapeId="0" xr:uid="{EF563895-E882-4044-A5B2-80542D07650B}">
      <text>
        <r>
          <rPr>
            <b/>
            <sz val="9"/>
            <color indexed="81"/>
            <rFont val="Tahoma"/>
            <family val="2"/>
          </rPr>
          <t>KRW</t>
        </r>
      </text>
    </comment>
    <comment ref="Q87" authorId="0" shapeId="0" xr:uid="{FFEFBDB4-EEE1-43AE-83DF-BC9D9747678A}">
      <text>
        <r>
          <rPr>
            <b/>
            <sz val="9"/>
            <color indexed="81"/>
            <rFont val="Tahoma"/>
            <family val="2"/>
          </rPr>
          <t>KRW</t>
        </r>
      </text>
    </comment>
    <comment ref="T87" authorId="0" shapeId="0" xr:uid="{E73EE715-EBB2-4552-83EB-F110B3E1833E}">
      <text>
        <r>
          <rPr>
            <b/>
            <sz val="9"/>
            <color indexed="81"/>
            <rFont val="Tahoma"/>
            <family val="2"/>
          </rPr>
          <t>KRW</t>
        </r>
      </text>
    </comment>
    <comment ref="U87" authorId="0" shapeId="0" xr:uid="{99811940-91FD-4BD7-BFEF-74DCCDC013C3}">
      <text>
        <r>
          <rPr>
            <b/>
            <sz val="9"/>
            <color indexed="81"/>
            <rFont val="Tahoma"/>
            <family val="2"/>
          </rPr>
          <t>KRW</t>
        </r>
      </text>
    </comment>
    <comment ref="V87" authorId="0" shapeId="0" xr:uid="{FDEDE172-10AF-4C23-8AFF-F60E0CAB25A4}">
      <text>
        <r>
          <rPr>
            <b/>
            <sz val="9"/>
            <color indexed="81"/>
            <rFont val="Tahoma"/>
            <family val="2"/>
          </rPr>
          <t>KRW</t>
        </r>
      </text>
    </comment>
    <comment ref="W87" authorId="0" shapeId="0" xr:uid="{A7131688-FD31-45D3-BDAE-3AE9FAFCCBDD}">
      <text>
        <r>
          <rPr>
            <b/>
            <sz val="9"/>
            <color indexed="81"/>
            <rFont val="Tahoma"/>
            <family val="2"/>
          </rPr>
          <t>KRW</t>
        </r>
      </text>
    </comment>
    <comment ref="X87" authorId="0" shapeId="0" xr:uid="{7536A896-1FF2-4A64-A508-0B08F58A3B42}">
      <text>
        <r>
          <rPr>
            <b/>
            <sz val="9"/>
            <color indexed="81"/>
            <rFont val="Tahoma"/>
            <family val="2"/>
          </rPr>
          <t>KRW</t>
        </r>
      </text>
    </comment>
    <comment ref="Y87" authorId="0" shapeId="0" xr:uid="{8056F705-0B1B-4A6D-A084-18015E7344D5}">
      <text>
        <r>
          <rPr>
            <b/>
            <sz val="9"/>
            <color indexed="81"/>
            <rFont val="Tahoma"/>
            <family val="2"/>
          </rPr>
          <t>KRW</t>
        </r>
      </text>
    </comment>
    <comment ref="E105" authorId="0" shapeId="0" xr:uid="{05113375-CCD2-4408-B186-21F89FF010C1}">
      <text>
        <r>
          <rPr>
            <b/>
            <sz val="9"/>
            <color indexed="81"/>
            <rFont val="Tahoma"/>
            <family val="2"/>
          </rPr>
          <t>KRW</t>
        </r>
      </text>
    </comment>
    <comment ref="J105" authorId="0" shapeId="0" xr:uid="{865E6184-1864-42AA-96AC-A20D1D59CA12}">
      <text>
        <r>
          <rPr>
            <b/>
            <sz val="9"/>
            <color indexed="81"/>
            <rFont val="Tahoma"/>
            <family val="2"/>
          </rPr>
          <t>KRW</t>
        </r>
      </text>
    </comment>
    <comment ref="K105" authorId="0" shapeId="0" xr:uid="{CD2092AD-E7E7-4D76-B173-D8D307B3AA18}">
      <text>
        <r>
          <rPr>
            <b/>
            <sz val="9"/>
            <color indexed="81"/>
            <rFont val="Tahoma"/>
            <family val="2"/>
          </rPr>
          <t>KRW</t>
        </r>
      </text>
    </comment>
    <comment ref="L105" authorId="0" shapeId="0" xr:uid="{D0B4DE67-1B50-4246-B643-929B789A2606}">
      <text>
        <r>
          <rPr>
            <b/>
            <sz val="9"/>
            <color indexed="81"/>
            <rFont val="Tahoma"/>
            <family val="2"/>
          </rPr>
          <t>KRW</t>
        </r>
      </text>
    </comment>
    <comment ref="M105" authorId="0" shapeId="0" xr:uid="{4EFADEF5-1E52-49B1-96D2-39968C9CD6BF}">
      <text>
        <r>
          <rPr>
            <b/>
            <sz val="9"/>
            <color indexed="81"/>
            <rFont val="Tahoma"/>
            <family val="2"/>
          </rPr>
          <t>KRW</t>
        </r>
      </text>
    </comment>
    <comment ref="N105" authorId="0" shapeId="0" xr:uid="{5E7E4B0B-875D-4E4E-9D8B-E3710FDC8BBD}">
      <text>
        <r>
          <rPr>
            <b/>
            <sz val="9"/>
            <color indexed="81"/>
            <rFont val="Tahoma"/>
            <family val="2"/>
          </rPr>
          <t>KRW</t>
        </r>
      </text>
    </comment>
    <comment ref="O105" authorId="0" shapeId="0" xr:uid="{537D3F83-81EF-4D37-9F01-B6881C01FC22}">
      <text>
        <r>
          <rPr>
            <b/>
            <sz val="9"/>
            <color indexed="81"/>
            <rFont val="Tahoma"/>
            <family val="2"/>
          </rPr>
          <t>KRW</t>
        </r>
      </text>
    </comment>
    <comment ref="P105" authorId="0" shapeId="0" xr:uid="{6B60E61D-E2BF-408C-8601-845C78B60557}">
      <text>
        <r>
          <rPr>
            <b/>
            <sz val="9"/>
            <color indexed="81"/>
            <rFont val="Tahoma"/>
            <family val="2"/>
          </rPr>
          <t>KRW</t>
        </r>
      </text>
    </comment>
    <comment ref="Q105" authorId="0" shapeId="0" xr:uid="{AED6F9BB-3F0A-494E-AAD9-6A3B4E0F9BD1}">
      <text>
        <r>
          <rPr>
            <b/>
            <sz val="9"/>
            <color indexed="81"/>
            <rFont val="Tahoma"/>
            <family val="2"/>
          </rPr>
          <t>KRW</t>
        </r>
      </text>
    </comment>
    <comment ref="T105" authorId="0" shapeId="0" xr:uid="{C81522A4-30D1-4398-B395-87692EE4AC30}">
      <text>
        <r>
          <rPr>
            <b/>
            <sz val="9"/>
            <color indexed="81"/>
            <rFont val="Tahoma"/>
            <family val="2"/>
          </rPr>
          <t>KRW</t>
        </r>
      </text>
    </comment>
    <comment ref="Y105" authorId="0" shapeId="0" xr:uid="{C31DF241-649C-4BD5-A5BE-6EDA6125263E}">
      <text>
        <r>
          <rPr>
            <b/>
            <sz val="9"/>
            <color indexed="81"/>
            <rFont val="Tahoma"/>
            <family val="2"/>
          </rPr>
          <t>KRW</t>
        </r>
      </text>
    </comment>
    <comment ref="E123" authorId="0" shapeId="0" xr:uid="{BA44EF19-11C1-4AD1-9EF9-AFFDFEF5CA2A}">
      <text>
        <r>
          <rPr>
            <b/>
            <sz val="9"/>
            <color indexed="81"/>
            <rFont val="Tahoma"/>
            <family val="2"/>
          </rPr>
          <t xml:space="preserve">KRW
</t>
        </r>
      </text>
    </comment>
    <comment ref="J123" authorId="0" shapeId="0" xr:uid="{985593A3-2BD5-4E9C-9A1C-A3158FBA2D6A}">
      <text>
        <r>
          <rPr>
            <b/>
            <sz val="9"/>
            <color indexed="81"/>
            <rFont val="Tahoma"/>
            <family val="2"/>
          </rPr>
          <t xml:space="preserve">KRW
</t>
        </r>
      </text>
    </comment>
    <comment ref="K123" authorId="0" shapeId="0" xr:uid="{733E8AC5-C3ED-474A-AD0E-8D7FA44F1B81}">
      <text>
        <r>
          <rPr>
            <b/>
            <sz val="9"/>
            <color indexed="81"/>
            <rFont val="Tahoma"/>
            <family val="2"/>
          </rPr>
          <t xml:space="preserve">KRW
</t>
        </r>
      </text>
    </comment>
    <comment ref="L123" authorId="0" shapeId="0" xr:uid="{A8D96401-2547-4864-BA5E-015F70BEAC06}">
      <text>
        <r>
          <rPr>
            <b/>
            <sz val="9"/>
            <color indexed="81"/>
            <rFont val="Tahoma"/>
            <family val="2"/>
          </rPr>
          <t xml:space="preserve">KRW
</t>
        </r>
      </text>
    </comment>
    <comment ref="M123" authorId="0" shapeId="0" xr:uid="{4766934E-B261-4DC7-9416-2B8D5A7FD673}">
      <text>
        <r>
          <rPr>
            <b/>
            <sz val="9"/>
            <color indexed="81"/>
            <rFont val="Tahoma"/>
            <family val="2"/>
          </rPr>
          <t xml:space="preserve">KRW
</t>
        </r>
      </text>
    </comment>
    <comment ref="N123" authorId="0" shapeId="0" xr:uid="{7A7CA5FA-5DD5-4DC6-912B-59E5A4380451}">
      <text>
        <r>
          <rPr>
            <b/>
            <sz val="9"/>
            <color indexed="81"/>
            <rFont val="Tahoma"/>
            <family val="2"/>
          </rPr>
          <t xml:space="preserve">KRW
</t>
        </r>
      </text>
    </comment>
    <comment ref="O123" authorId="0" shapeId="0" xr:uid="{866CB0EA-DF5F-4823-AC00-50BB84516C5A}">
      <text>
        <r>
          <rPr>
            <b/>
            <sz val="9"/>
            <color indexed="81"/>
            <rFont val="Tahoma"/>
            <family val="2"/>
          </rPr>
          <t xml:space="preserve">KRW
</t>
        </r>
      </text>
    </comment>
    <comment ref="P123" authorId="0" shapeId="0" xr:uid="{85711FA2-EE85-49F6-8864-64451D4F0902}">
      <text>
        <r>
          <rPr>
            <b/>
            <sz val="9"/>
            <color indexed="81"/>
            <rFont val="Tahoma"/>
            <family val="2"/>
          </rPr>
          <t xml:space="preserve">KRW
</t>
        </r>
      </text>
    </comment>
    <comment ref="Q123" authorId="0" shapeId="0" xr:uid="{378EFD2F-4B4F-46CC-B7E6-704ABCF5A73E}">
      <text>
        <r>
          <rPr>
            <b/>
            <sz val="9"/>
            <color indexed="81"/>
            <rFont val="Tahoma"/>
            <family val="2"/>
          </rPr>
          <t xml:space="preserve">KRW
</t>
        </r>
      </text>
    </comment>
    <comment ref="T123" authorId="0" shapeId="0" xr:uid="{19F7DBE2-F9A4-401A-AD44-4F58A8C41603}">
      <text>
        <r>
          <rPr>
            <b/>
            <sz val="9"/>
            <color indexed="81"/>
            <rFont val="Tahoma"/>
            <family val="2"/>
          </rPr>
          <t xml:space="preserve">KRW
</t>
        </r>
      </text>
    </comment>
    <comment ref="Y123" authorId="0" shapeId="0" xr:uid="{BE15E27A-5229-4058-A6B5-5C522CACB645}">
      <text>
        <r>
          <rPr>
            <b/>
            <sz val="9"/>
            <color indexed="81"/>
            <rFont val="Tahoma"/>
            <family val="2"/>
          </rPr>
          <t xml:space="preserve">KRW
</t>
        </r>
      </text>
    </comment>
    <comment ref="E151" authorId="0" shapeId="0" xr:uid="{AA01BEC9-C684-44FD-8543-164375F481E5}">
      <text>
        <r>
          <rPr>
            <b/>
            <sz val="9"/>
            <color indexed="81"/>
            <rFont val="Tahoma"/>
            <family val="2"/>
          </rPr>
          <t>KRW</t>
        </r>
      </text>
    </comment>
    <comment ref="F151" authorId="0" shapeId="0" xr:uid="{04FFC70F-1EC4-468F-AAE8-D2AE98C49C36}">
      <text>
        <r>
          <rPr>
            <b/>
            <sz val="9"/>
            <color indexed="81"/>
            <rFont val="Tahoma"/>
            <family val="2"/>
          </rPr>
          <t>KRW</t>
        </r>
      </text>
    </comment>
    <comment ref="G151" authorId="0" shapeId="0" xr:uid="{FF972E24-96C9-40B0-8BF6-D80D56B057F2}">
      <text>
        <r>
          <rPr>
            <b/>
            <sz val="9"/>
            <color indexed="81"/>
            <rFont val="Tahoma"/>
            <family val="2"/>
          </rPr>
          <t>KRW</t>
        </r>
      </text>
    </comment>
    <comment ref="H151" authorId="0" shapeId="0" xr:uid="{B7E543CC-61DE-4605-BB77-E548544802BD}">
      <text>
        <r>
          <rPr>
            <b/>
            <sz val="9"/>
            <color indexed="81"/>
            <rFont val="Tahoma"/>
            <family val="2"/>
          </rPr>
          <t>KRW</t>
        </r>
      </text>
    </comment>
    <comment ref="I151" authorId="0" shapeId="0" xr:uid="{F4074F9F-CC68-477B-9674-40BE7DA4DE2D}">
      <text>
        <r>
          <rPr>
            <b/>
            <sz val="9"/>
            <color indexed="81"/>
            <rFont val="Tahoma"/>
            <family val="2"/>
          </rPr>
          <t>KRW</t>
        </r>
      </text>
    </comment>
    <comment ref="J151" authorId="0" shapeId="0" xr:uid="{D95F4812-795A-44B8-A2B5-7A7A7934BEF5}">
      <text>
        <r>
          <rPr>
            <b/>
            <sz val="9"/>
            <color indexed="81"/>
            <rFont val="Tahoma"/>
            <family val="2"/>
          </rPr>
          <t>KRW</t>
        </r>
      </text>
    </comment>
    <comment ref="K151" authorId="0" shapeId="0" xr:uid="{9E59DAD3-02FD-4900-99F7-EB6E3F3C6411}">
      <text>
        <r>
          <rPr>
            <b/>
            <sz val="9"/>
            <color indexed="81"/>
            <rFont val="Tahoma"/>
            <family val="2"/>
          </rPr>
          <t>KRW</t>
        </r>
      </text>
    </comment>
    <comment ref="L151" authorId="0" shapeId="0" xr:uid="{358AB14C-B39A-4558-A5AC-B4E589BDB146}">
      <text>
        <r>
          <rPr>
            <b/>
            <sz val="9"/>
            <color indexed="81"/>
            <rFont val="Tahoma"/>
            <family val="2"/>
          </rPr>
          <t>KRW</t>
        </r>
      </text>
    </comment>
    <comment ref="M151" authorId="0" shapeId="0" xr:uid="{767F7244-1E14-4202-BD78-EDF06A518219}">
      <text>
        <r>
          <rPr>
            <b/>
            <sz val="9"/>
            <color indexed="81"/>
            <rFont val="Tahoma"/>
            <family val="2"/>
          </rPr>
          <t>KRW</t>
        </r>
      </text>
    </comment>
    <comment ref="N151" authorId="0" shapeId="0" xr:uid="{1EBAD4DA-3368-4AEC-86B9-B46D834CD8CE}">
      <text>
        <r>
          <rPr>
            <b/>
            <sz val="9"/>
            <color indexed="81"/>
            <rFont val="Tahoma"/>
            <family val="2"/>
          </rPr>
          <t>KRW</t>
        </r>
      </text>
    </comment>
    <comment ref="O151" authorId="0" shapeId="0" xr:uid="{C86BB409-9C4D-4B60-87FF-E534C2EFDE73}">
      <text>
        <r>
          <rPr>
            <b/>
            <sz val="9"/>
            <color indexed="81"/>
            <rFont val="Tahoma"/>
            <family val="2"/>
          </rPr>
          <t>KRW</t>
        </r>
      </text>
    </comment>
    <comment ref="P151" authorId="0" shapeId="0" xr:uid="{E12ABBFD-A4C1-456D-A350-0505C268D1BB}">
      <text>
        <r>
          <rPr>
            <b/>
            <sz val="9"/>
            <color indexed="81"/>
            <rFont val="Tahoma"/>
            <family val="2"/>
          </rPr>
          <t>KRW</t>
        </r>
      </text>
    </comment>
    <comment ref="Q151" authorId="0" shapeId="0" xr:uid="{B7E0EF44-B8EC-413C-A3BA-95A2AABB5A5A}">
      <text>
        <r>
          <rPr>
            <b/>
            <sz val="9"/>
            <color indexed="81"/>
            <rFont val="Tahoma"/>
            <family val="2"/>
          </rPr>
          <t>KRW</t>
        </r>
      </text>
    </comment>
    <comment ref="T151" authorId="0" shapeId="0" xr:uid="{823C7D00-C3DE-43D8-AA2E-ACA38F3DF785}">
      <text>
        <r>
          <rPr>
            <b/>
            <sz val="9"/>
            <color indexed="81"/>
            <rFont val="Tahoma"/>
            <family val="2"/>
          </rPr>
          <t>KRW</t>
        </r>
      </text>
    </comment>
    <comment ref="U151" authorId="0" shapeId="0" xr:uid="{9FD80F99-0E11-4140-BD9D-6BAC0A160B26}">
      <text>
        <r>
          <rPr>
            <b/>
            <sz val="9"/>
            <color indexed="81"/>
            <rFont val="Tahoma"/>
            <family val="2"/>
          </rPr>
          <t>KRW</t>
        </r>
      </text>
    </comment>
    <comment ref="V151" authorId="0" shapeId="0" xr:uid="{107F38BE-0BA5-4D90-B5C7-E025CE5C2762}">
      <text>
        <r>
          <rPr>
            <b/>
            <sz val="9"/>
            <color indexed="81"/>
            <rFont val="Tahoma"/>
            <family val="2"/>
          </rPr>
          <t>KRW</t>
        </r>
      </text>
    </comment>
    <comment ref="W151" authorId="0" shapeId="0" xr:uid="{9D94449D-B2BF-4906-8205-53D5C8B6906D}">
      <text>
        <r>
          <rPr>
            <b/>
            <sz val="9"/>
            <color indexed="81"/>
            <rFont val="Tahoma"/>
            <family val="2"/>
          </rPr>
          <t>KRW</t>
        </r>
      </text>
    </comment>
    <comment ref="X151" authorId="0" shapeId="0" xr:uid="{B1A30591-05BA-46C7-872F-3924C053A75B}">
      <text>
        <r>
          <rPr>
            <b/>
            <sz val="9"/>
            <color indexed="81"/>
            <rFont val="Tahoma"/>
            <family val="2"/>
          </rPr>
          <t>KRW</t>
        </r>
      </text>
    </comment>
    <comment ref="Y151" authorId="0" shapeId="0" xr:uid="{E5248F66-348B-4225-A1F8-65EC7204C866}">
      <text>
        <r>
          <rPr>
            <b/>
            <sz val="9"/>
            <color indexed="81"/>
            <rFont val="Tahoma"/>
            <family val="2"/>
          </rPr>
          <t>KRW</t>
        </r>
      </text>
    </comment>
    <comment ref="E164" authorId="0" shapeId="0" xr:uid="{8F59494C-E4D2-48A3-BE6C-48C07FE043FB}">
      <text>
        <r>
          <rPr>
            <b/>
            <sz val="9"/>
            <color indexed="81"/>
            <rFont val="Tahoma"/>
            <family val="2"/>
          </rPr>
          <t>KRW</t>
        </r>
      </text>
    </comment>
    <comment ref="J164" authorId="0" shapeId="0" xr:uid="{731ADD9E-4755-480E-9BF0-4A897898D85A}">
      <text>
        <r>
          <rPr>
            <b/>
            <sz val="9"/>
            <color indexed="81"/>
            <rFont val="Tahoma"/>
            <family val="2"/>
          </rPr>
          <t>KRW</t>
        </r>
      </text>
    </comment>
    <comment ref="K164" authorId="0" shapeId="0" xr:uid="{D38147CA-5565-44E4-BAC0-FBEC71D27848}">
      <text>
        <r>
          <rPr>
            <b/>
            <sz val="9"/>
            <color indexed="81"/>
            <rFont val="Tahoma"/>
            <family val="2"/>
          </rPr>
          <t>KRW</t>
        </r>
      </text>
    </comment>
    <comment ref="L164" authorId="0" shapeId="0" xr:uid="{FF7EAC8C-95BC-4484-B001-3193E8348A37}">
      <text>
        <r>
          <rPr>
            <b/>
            <sz val="9"/>
            <color indexed="81"/>
            <rFont val="Tahoma"/>
            <family val="2"/>
          </rPr>
          <t>KRW</t>
        </r>
      </text>
    </comment>
    <comment ref="M164" authorId="0" shapeId="0" xr:uid="{BDC385AC-8547-442A-A290-E6CE1DBECFF3}">
      <text>
        <r>
          <rPr>
            <b/>
            <sz val="9"/>
            <color indexed="81"/>
            <rFont val="Tahoma"/>
            <family val="2"/>
          </rPr>
          <t>KRW</t>
        </r>
      </text>
    </comment>
    <comment ref="N164" authorId="0" shapeId="0" xr:uid="{DEBC89A3-D177-4918-8467-D4B61BD90636}">
      <text>
        <r>
          <rPr>
            <b/>
            <sz val="9"/>
            <color indexed="81"/>
            <rFont val="Tahoma"/>
            <family val="2"/>
          </rPr>
          <t>KRW</t>
        </r>
      </text>
    </comment>
    <comment ref="O164" authorId="0" shapeId="0" xr:uid="{9F7D9304-4EEB-49D2-8C4F-A1D72CC7AE4D}">
      <text>
        <r>
          <rPr>
            <b/>
            <sz val="9"/>
            <color indexed="81"/>
            <rFont val="Tahoma"/>
            <family val="2"/>
          </rPr>
          <t>KRW</t>
        </r>
      </text>
    </comment>
    <comment ref="P164" authorId="0" shapeId="0" xr:uid="{6F0B431D-36F0-42D3-8071-D531B662D51C}">
      <text>
        <r>
          <rPr>
            <b/>
            <sz val="9"/>
            <color indexed="81"/>
            <rFont val="Tahoma"/>
            <family val="2"/>
          </rPr>
          <t>KRW</t>
        </r>
      </text>
    </comment>
    <comment ref="Q164" authorId="0" shapeId="0" xr:uid="{BA56F429-8755-47CF-98D2-16723D0CA03C}">
      <text>
        <r>
          <rPr>
            <b/>
            <sz val="9"/>
            <color indexed="81"/>
            <rFont val="Tahoma"/>
            <family val="2"/>
          </rPr>
          <t>KRW</t>
        </r>
      </text>
    </comment>
    <comment ref="T164" authorId="0" shapeId="0" xr:uid="{E25BBDE2-04BA-449E-8D4D-894D625BAD5F}">
      <text>
        <r>
          <rPr>
            <b/>
            <sz val="9"/>
            <color indexed="81"/>
            <rFont val="Tahoma"/>
            <family val="2"/>
          </rPr>
          <t>KRW</t>
        </r>
      </text>
    </comment>
    <comment ref="Y164" authorId="0" shapeId="0" xr:uid="{66F7FC8B-DC60-43F1-AD00-A1887434DC1F}">
      <text>
        <r>
          <rPr>
            <b/>
            <sz val="9"/>
            <color indexed="81"/>
            <rFont val="Tahoma"/>
            <family val="2"/>
          </rPr>
          <t>KRW</t>
        </r>
      </text>
    </comment>
    <comment ref="E182" authorId="0" shapeId="0" xr:uid="{7E7DA885-A933-4AA0-8738-C8686D90E0A1}">
      <text>
        <r>
          <rPr>
            <b/>
            <sz val="9"/>
            <color indexed="81"/>
            <rFont val="Tahoma"/>
            <family val="2"/>
          </rPr>
          <t>KRW</t>
        </r>
      </text>
    </comment>
    <comment ref="J182" authorId="0" shapeId="0" xr:uid="{B7D5A918-FC9C-4BD3-9025-CFC6B77670FF}">
      <text>
        <r>
          <rPr>
            <b/>
            <sz val="9"/>
            <color indexed="81"/>
            <rFont val="Tahoma"/>
            <family val="2"/>
          </rPr>
          <t>KRW</t>
        </r>
      </text>
    </comment>
    <comment ref="K182" authorId="0" shapeId="0" xr:uid="{FC9D49E0-DA97-476A-A1FB-9589B7C0D3DD}">
      <text>
        <r>
          <rPr>
            <b/>
            <sz val="9"/>
            <color indexed="81"/>
            <rFont val="Tahoma"/>
            <family val="2"/>
          </rPr>
          <t>KRW</t>
        </r>
      </text>
    </comment>
    <comment ref="L182" authorId="0" shapeId="0" xr:uid="{47CF0295-9765-401A-A52C-F95F34405103}">
      <text>
        <r>
          <rPr>
            <b/>
            <sz val="9"/>
            <color indexed="81"/>
            <rFont val="Tahoma"/>
            <family val="2"/>
          </rPr>
          <t>KRW</t>
        </r>
      </text>
    </comment>
    <comment ref="M182" authorId="0" shapeId="0" xr:uid="{6DFB0C27-45D3-4CBA-A544-EA3FCDE8626F}">
      <text>
        <r>
          <rPr>
            <b/>
            <sz val="9"/>
            <color indexed="81"/>
            <rFont val="Tahoma"/>
            <family val="2"/>
          </rPr>
          <t>KRW</t>
        </r>
      </text>
    </comment>
    <comment ref="N182" authorId="0" shapeId="0" xr:uid="{3A97B8F5-71CA-4465-AA25-CE2FE6FFBF16}">
      <text>
        <r>
          <rPr>
            <b/>
            <sz val="9"/>
            <color indexed="81"/>
            <rFont val="Tahoma"/>
            <family val="2"/>
          </rPr>
          <t>KRW</t>
        </r>
      </text>
    </comment>
    <comment ref="O182" authorId="0" shapeId="0" xr:uid="{470F5E08-DDD1-41C0-ACC8-B4556D387A0A}">
      <text>
        <r>
          <rPr>
            <b/>
            <sz val="9"/>
            <color indexed="81"/>
            <rFont val="Tahoma"/>
            <family val="2"/>
          </rPr>
          <t>KRW</t>
        </r>
      </text>
    </comment>
    <comment ref="P182" authorId="0" shapeId="0" xr:uid="{B1CCDA1B-2E5A-48F0-AF6B-AF8397F49893}">
      <text>
        <r>
          <rPr>
            <b/>
            <sz val="9"/>
            <color indexed="81"/>
            <rFont val="Tahoma"/>
            <family val="2"/>
          </rPr>
          <t>KRW</t>
        </r>
      </text>
    </comment>
    <comment ref="Q182" authorId="0" shapeId="0" xr:uid="{63BE1D6F-CDD6-49BF-9AAE-F735830BBA6F}">
      <text>
        <r>
          <rPr>
            <b/>
            <sz val="9"/>
            <color indexed="81"/>
            <rFont val="Tahoma"/>
            <family val="2"/>
          </rPr>
          <t>KRW</t>
        </r>
      </text>
    </comment>
    <comment ref="T182" authorId="0" shapeId="0" xr:uid="{780D9D13-1EC7-4A4F-8C40-C244EC84745A}">
      <text>
        <r>
          <rPr>
            <b/>
            <sz val="9"/>
            <color indexed="81"/>
            <rFont val="Tahoma"/>
            <family val="2"/>
          </rPr>
          <t>KRW</t>
        </r>
      </text>
    </comment>
    <comment ref="Y182" authorId="0" shapeId="0" xr:uid="{CCFA20CD-520F-4B26-B5B5-1FE7073BB872}">
      <text>
        <r>
          <rPr>
            <b/>
            <sz val="9"/>
            <color indexed="81"/>
            <rFont val="Tahoma"/>
            <family val="2"/>
          </rPr>
          <t>KRW</t>
        </r>
      </text>
    </comment>
    <comment ref="E218" authorId="0" shapeId="0" xr:uid="{F256AFC5-4876-4503-8772-3DF83BBC340D}">
      <text>
        <r>
          <rPr>
            <b/>
            <sz val="9"/>
            <color indexed="81"/>
            <rFont val="Tahoma"/>
            <family val="2"/>
          </rPr>
          <t>KRW</t>
        </r>
      </text>
    </comment>
    <comment ref="J218" authorId="0" shapeId="0" xr:uid="{1C5663BA-6A19-498A-8E6B-7B1A2368EBA4}">
      <text>
        <r>
          <rPr>
            <b/>
            <sz val="9"/>
            <color indexed="81"/>
            <rFont val="Tahoma"/>
            <family val="2"/>
          </rPr>
          <t>KRW</t>
        </r>
      </text>
    </comment>
    <comment ref="K218" authorId="0" shapeId="0" xr:uid="{18017468-01B9-406D-9459-9FC94DC351E3}">
      <text>
        <r>
          <rPr>
            <b/>
            <sz val="9"/>
            <color indexed="81"/>
            <rFont val="Tahoma"/>
            <family val="2"/>
          </rPr>
          <t>KRW</t>
        </r>
      </text>
    </comment>
    <comment ref="L218" authorId="0" shapeId="0" xr:uid="{514D988D-4C71-41FA-B9B9-3C3878691266}">
      <text>
        <r>
          <rPr>
            <b/>
            <sz val="9"/>
            <color indexed="81"/>
            <rFont val="Tahoma"/>
            <family val="2"/>
          </rPr>
          <t>KRW</t>
        </r>
      </text>
    </comment>
    <comment ref="M218" authorId="0" shapeId="0" xr:uid="{FE28A54B-9797-4BD1-A005-023D2D22FF8A}">
      <text>
        <r>
          <rPr>
            <b/>
            <sz val="9"/>
            <color indexed="81"/>
            <rFont val="Tahoma"/>
            <family val="2"/>
          </rPr>
          <t>KRW</t>
        </r>
      </text>
    </comment>
    <comment ref="N218" authorId="0" shapeId="0" xr:uid="{3D4078AD-9A96-4D9D-A21E-AF8F6FBBFD13}">
      <text>
        <r>
          <rPr>
            <b/>
            <sz val="9"/>
            <color indexed="81"/>
            <rFont val="Tahoma"/>
            <family val="2"/>
          </rPr>
          <t>KRW</t>
        </r>
      </text>
    </comment>
    <comment ref="O218" authorId="0" shapeId="0" xr:uid="{C4C801AE-0583-4EA8-B905-D40022052B78}">
      <text>
        <r>
          <rPr>
            <b/>
            <sz val="9"/>
            <color indexed="81"/>
            <rFont val="Tahoma"/>
            <family val="2"/>
          </rPr>
          <t>KRW</t>
        </r>
      </text>
    </comment>
    <comment ref="P218" authorId="0" shapeId="0" xr:uid="{DC91102C-84F8-4328-97CB-9C5E6D4CD957}">
      <text>
        <r>
          <rPr>
            <b/>
            <sz val="9"/>
            <color indexed="81"/>
            <rFont val="Tahoma"/>
            <family val="2"/>
          </rPr>
          <t>KRW</t>
        </r>
      </text>
    </comment>
    <comment ref="Q218" authorId="0" shapeId="0" xr:uid="{BE478066-6DB5-455D-BE02-46D8997E9DB2}">
      <text>
        <r>
          <rPr>
            <b/>
            <sz val="9"/>
            <color indexed="81"/>
            <rFont val="Tahoma"/>
            <family val="2"/>
          </rPr>
          <t>KRW</t>
        </r>
      </text>
    </comment>
    <comment ref="T218" authorId="0" shapeId="0" xr:uid="{C7E7D179-F44C-4C9F-8083-3FF82E2C26D8}">
      <text>
        <r>
          <rPr>
            <b/>
            <sz val="9"/>
            <color indexed="81"/>
            <rFont val="Tahoma"/>
            <family val="2"/>
          </rPr>
          <t>KRW</t>
        </r>
      </text>
    </comment>
    <comment ref="Y218" authorId="0" shapeId="0" xr:uid="{DFE60AA4-1BF3-411B-9CF8-F24B3B07B3DE}">
      <text>
        <r>
          <rPr>
            <b/>
            <sz val="9"/>
            <color indexed="81"/>
            <rFont val="Tahoma"/>
            <family val="2"/>
          </rPr>
          <t>KRW</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tc={D0E43E91-8DF6-41EE-AC96-FCD2FC596B27}</author>
    <author>tc={7898F080-51F7-411E-907F-7196AE2ACE03}</author>
    <author>tc={7A5C056F-F58B-4E08-8CFB-7128C6FD6547}</author>
    <author>tc={B4C1827A-044A-461E-8ACF-AA866F0DC48D}</author>
  </authors>
  <commentList>
    <comment ref="C6" authorId="0" shapeId="0" xr:uid="{D0E43E91-8DF6-41EE-AC96-FCD2FC596B27}">
      <text>
        <t>[스레드 댓글]
사용 중인 버전의 Excel에서 이 스레드 댓글을 읽을 수 있지만 파일을 이후 버전의 Excel에서 열면 편집 내용이 모두 제거됩니다. 자세한 정보: https://go.microsoft.com/fwlink/?linkid=870924.
댓글:
    임대인에게 청구 함.</t>
      </text>
    </comment>
    <comment ref="C29" authorId="1" shapeId="0" xr:uid="{7898F080-51F7-411E-907F-7196AE2ACE03}">
      <text>
        <t>[스레드 댓글]
사용 중인 버전의 Excel에서 이 스레드 댓글을 읽을 수 있지만 파일을 이후 버전의 Excel에서 열면 편집 내용이 모두 제거됩니다. 자세한 정보: https://go.microsoft.com/fwlink/?linkid=870924.
댓글:
    동성메탈 임차250612_54,539,100 EBL 250717_54,539,100 지급분 Drop에 따른 Daechon Busan Milestone3에 반영 함</t>
      </text>
    </comment>
    <comment ref="C46" authorId="2" shapeId="0" xr:uid="{7A5C056F-F58B-4E08-8CFB-7128C6FD6547}">
      <text>
        <t>[스레드 댓글]
사용 중인 버전의 Excel에서 이 스레드 댓글을 읽을 수 있지만 파일을 이후 버전의 Excel에서 열면 편집 내용이 모두 제거됩니다. 자세한 정보: https://go.microsoft.com/fwlink/?linkid=870924.
댓글:
    계약서는 228kW로 되어 있음 자금은 227로 집행</t>
      </text>
    </comment>
    <comment ref="C47" authorId="3" shapeId="0" xr:uid="{B4C1827A-044A-461E-8ACF-AA866F0DC48D}">
      <text>
        <t>[스레드 댓글]
사용 중인 버전의 Excel에서 이 스레드 댓글을 읽을 수 있지만 파일을 이후 버전의 Excel에서 열면 편집 내용이 모두 제거됩니다. 자세한 정보: https://go.microsoft.com/fwlink/?linkid=870924.
댓글:
    계약서 금액은 241kW로 되어 있음 자금은 233으로 집행</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tc={DD86E0BF-D030-4093-90A6-3C405F431642}</author>
    <author>tc={94341D21-9C54-49A3-ACC0-DDA6601C8C16}</author>
    <author>tc={FAB427E1-0ADB-4909-A120-7068278E3E73}</author>
  </authors>
  <commentList>
    <comment ref="D11" authorId="0" shapeId="0" xr:uid="{DD86E0BF-D030-4093-90A6-3C405F431642}">
      <text>
        <t>[스레드 댓글]
사용 중인 버전의 Excel에서 이 스레드 댓글을 읽을 수 있지만 파일을 이후 버전의 Excel에서 열면 편집 내용이 모두 제거됩니다. 자세한 정보: https://go.microsoft.com/fwlink/?linkid=870924.
댓글:
    기존 791.04 였으나 변경되어 817.21</t>
      </text>
    </comment>
    <comment ref="D16" authorId="1" shapeId="0" xr:uid="{94341D21-9C54-49A3-ACC0-DDA6601C8C16}">
      <text>
        <t>[스레드 댓글]
사용 중인 버전의 Excel에서 이 스레드 댓글을 읽을 수 있지만 파일을 이후 버전의 Excel에서 열면 편집 내용이 모두 제거됩니다. 자세한 정보: https://go.microsoft.com/fwlink/?linkid=870924.
댓글:
    기존 266.96에서 변경되어 240.69</t>
      </text>
    </comment>
    <comment ref="D21" authorId="2" shapeId="0" xr:uid="{FAB427E1-0ADB-4909-A120-7068278E3E73}">
      <text>
        <t>[스레드 댓글]
사용 중인 버전의 Excel에서 이 스레드 댓글을 읽을 수 있지만 파일을 이후 버전의 Excel에서 열면 편집 내용이 모두 제거됩니다. 자세한 정보: https://go.microsoft.com/fwlink/?linkid=870924.
댓글:
    발전용량 변경 406kWp-&gt; 300kWp-&gt; 386kWp
답글:
    386.24</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tc={B75D38C5-574F-44D8-947F-7554E12BB82A}</author>
    <author>tc={4F7B5DFB-3B41-4817-A02C-E5BB6B275B48}</author>
    <author>tc={6A900D4F-8296-463E-826A-54A0B3F283B2}</author>
  </authors>
  <commentList>
    <comment ref="R12" authorId="0" shapeId="0" xr:uid="{B75D38C5-574F-44D8-947F-7554E12BB82A}">
      <text>
        <t>[스레드 댓글]
사용 중인 버전의 Excel에서 이 스레드 댓글을 읽을 수 있지만 파일을 이후 버전의 Excel에서 열면 편집 내용이 모두 제거됩니다. 자세한 정보: https://go.microsoft.com/fwlink/?linkid=870924.
댓글:
    2025-05-07 10,000,000원 먼저 지급</t>
      </text>
    </comment>
    <comment ref="C41" authorId="1" shapeId="0" xr:uid="{4F7B5DFB-3B41-4817-A02C-E5BB6B275B48}">
      <text>
        <t>[스레드 댓글]
사용 중인 버전의 Excel에서 이 스레드 댓글을 읽을 수 있지만 파일을 이후 버전의 Excel에서 열면 편집 내용이 모두 제거됩니다. 자세한 정보: https://go.microsoft.com/fwlink/?linkid=870924.
댓글:
    동성메탈 계약금, EBL 금액 대천부산 DAP로 이전 됨(25.09)</t>
      </text>
    </comment>
    <comment ref="C51" authorId="2" shapeId="0" xr:uid="{6A900D4F-8296-463E-826A-54A0B3F283B2}">
      <text>
        <t xml:space="preserve">[스레드 댓글]
사용 중인 버전의 Excel에서 이 스레드 댓글을 읽을 수 있지만 파일을 이후 버전의 Excel에서 열면 편집 내용이 모두 제거됩니다. 자세한 정보: https://go.microsoft.com/fwlink/?linkid=870924.
댓글:
    기 납부 금액 대천부산에 반영 됨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tc={9FB2A467-EBA4-403C-A18C-7F33418955B8}</author>
  </authors>
  <commentList>
    <comment ref="C46" authorId="0" shapeId="0" xr:uid="{9FB2A467-EBA4-403C-A18C-7F33418955B8}">
      <text>
        <t>[스레드 댓글]
사용 중인 버전의 Excel에서 이 스레드 댓글을 읽을 수 있지만 파일을 이후 버전의 Excel에서 열면 편집 내용이 모두 제거됩니다. 자세한 정보: https://go.microsoft.com/fwlink/?linkid=870924.
댓글:
    2호에서 지급 함. 추후 변경 진행 필요</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tc={14F93935-4A7B-4824-86F1-BC517A0E66C1}</author>
    <author>tc={8186DD2A-7608-4AD2-AF6B-C22C7B05CFB8}</author>
  </authors>
  <commentList>
    <comment ref="D11" authorId="0" shapeId="0" xr:uid="{14F93935-4A7B-4824-86F1-BC517A0E66C1}">
      <text>
        <t>[스레드 댓글]
사용 중인 버전의 Excel에서 이 스레드 댓글을 읽을 수 있지만 파일을 이후 버전의 Excel에서 열면 편집 내용이 모두 제거됩니다. 자세한 정보: https://go.microsoft.com/fwlink/?linkid=870924.
댓글:
    Previously 319.20kW</t>
      </text>
    </comment>
    <comment ref="D16" authorId="1" shapeId="0" xr:uid="{8186DD2A-7608-4AD2-AF6B-C22C7B05CFB8}">
      <text>
        <t>[스레드 댓글]
사용 중인 버전의 Excel에서 이 스레드 댓글을 읽을 수 있지만 파일을 이후 버전의 Excel에서 열면 편집 내용이 모두 제거됩니다. 자세한 정보: https://go.microsoft.com/fwlink/?linkid=870924.
댓글:
    임대 계약서 상 545.465이나 지급 시 계산은 545.46으로 계산되어 추후 사용전 검사 후에 정산이 필요(4차 지급 시)</t>
      </text>
    </comment>
  </commentList>
</comments>
</file>

<file path=xl/sharedStrings.xml><?xml version="1.0" encoding="utf-8"?>
<sst xmlns="http://schemas.openxmlformats.org/spreadsheetml/2006/main" count="7487" uniqueCount="1095">
  <si>
    <t>1. Money Reicened. SHL. #</t>
    <phoneticPr fontId="9" type="noConversion"/>
  </si>
  <si>
    <t>Foreign currency deposits and withdrawals</t>
    <phoneticPr fontId="9" type="noConversion"/>
  </si>
  <si>
    <t xml:space="preserve">  </t>
    <phoneticPr fontId="9" type="noConversion"/>
  </si>
  <si>
    <t>[unit:KRW, EUR]</t>
    <phoneticPr fontId="9" type="noConversion"/>
  </si>
  <si>
    <t>Name of SPV</t>
    <phoneticPr fontId="9" type="noConversion"/>
  </si>
  <si>
    <t>Base (EUR)</t>
    <phoneticPr fontId="9" type="noConversion"/>
  </si>
  <si>
    <t>Transaction Date</t>
    <phoneticPr fontId="9" type="noConversion"/>
  </si>
  <si>
    <t>Deposit (EUR)</t>
    <phoneticPr fontId="9" type="noConversion"/>
  </si>
  <si>
    <t>Exchange rate</t>
    <phoneticPr fontId="9" type="noConversion"/>
  </si>
  <si>
    <t>Deposit (KRW)</t>
    <phoneticPr fontId="9" type="noConversion"/>
  </si>
  <si>
    <t>Exchange (EUR)</t>
    <phoneticPr fontId="9" type="noConversion"/>
  </si>
  <si>
    <t>Exchange (KRW)</t>
    <phoneticPr fontId="9" type="noConversion"/>
  </si>
  <si>
    <t>Balance (EUR)</t>
    <phoneticPr fontId="9" type="noConversion"/>
  </si>
  <si>
    <t>2HO</t>
    <phoneticPr fontId="9" type="noConversion"/>
  </si>
  <si>
    <t>3HO</t>
    <phoneticPr fontId="9" type="noConversion"/>
  </si>
  <si>
    <t>6HO</t>
    <phoneticPr fontId="9" type="noConversion"/>
  </si>
  <si>
    <t>7HO</t>
    <phoneticPr fontId="9" type="noConversion"/>
  </si>
  <si>
    <t>Total</t>
    <phoneticPr fontId="9" type="noConversion"/>
  </si>
  <si>
    <t>2. Originated Loan to SPVs</t>
    <phoneticPr fontId="9" type="noConversion"/>
  </si>
  <si>
    <t>[unit:KRW, Reference Date : 2025.05.26]</t>
    <phoneticPr fontId="9" type="noConversion"/>
  </si>
  <si>
    <t>loan</t>
    <phoneticPr fontId="9" type="noConversion"/>
  </si>
  <si>
    <t>Returned Amount</t>
    <phoneticPr fontId="9" type="noConversion"/>
  </si>
  <si>
    <t>Balance</t>
    <phoneticPr fontId="9" type="noConversion"/>
  </si>
  <si>
    <t>Interest (%)</t>
    <phoneticPr fontId="9" type="noConversion"/>
  </si>
  <si>
    <t>Interest Amount</t>
    <phoneticPr fontId="9" type="noConversion"/>
  </si>
  <si>
    <t>Balnace + Interest</t>
    <phoneticPr fontId="9" type="noConversion"/>
  </si>
  <si>
    <t>Refer</t>
    <phoneticPr fontId="9" type="noConversion"/>
  </si>
  <si>
    <t>DSA table comparison</t>
    <phoneticPr fontId="9" type="noConversion"/>
  </si>
  <si>
    <t>milestone proof</t>
    <phoneticPr fontId="9" type="noConversion"/>
  </si>
  <si>
    <t>3. SPVs to Originated Transfer</t>
    <phoneticPr fontId="9" type="noConversion"/>
  </si>
  <si>
    <t>Currency</t>
    <phoneticPr fontId="9" type="noConversion"/>
  </si>
  <si>
    <t>Bank name</t>
    <phoneticPr fontId="9" type="noConversion"/>
  </si>
  <si>
    <t>Account Number</t>
    <phoneticPr fontId="9" type="noConversion"/>
  </si>
  <si>
    <t>Current Balance</t>
    <phoneticPr fontId="9" type="noConversion"/>
  </si>
  <si>
    <t>After loan reflection</t>
    <phoneticPr fontId="9" type="noConversion"/>
  </si>
  <si>
    <t>KRW</t>
    <phoneticPr fontId="9" type="noConversion"/>
  </si>
  <si>
    <t>국민은행</t>
    <phoneticPr fontId="9" type="noConversion"/>
  </si>
  <si>
    <t>EUR</t>
    <phoneticPr fontId="9" type="noConversion"/>
  </si>
  <si>
    <t>Additional currency exchange required</t>
    <phoneticPr fontId="9" type="noConversion"/>
  </si>
  <si>
    <t xml:space="preserve"> - We plan to make payments according to the payment schedule for each project by the end of May. The reason we did not convert the entire amount is that we decided to convert only a portion of it due to the low exchange rate.</t>
    <phoneticPr fontId="9" type="noConversion"/>
  </si>
  <si>
    <t xml:space="preserve">   When adding a new project, please attach it separately and proceed.</t>
    <phoneticPr fontId="9" type="noConversion"/>
  </si>
  <si>
    <t>4. Interest Criteria</t>
    <phoneticPr fontId="9" type="noConversion"/>
  </si>
  <si>
    <t>https://www.law.go.kr/lsInfoP.do?lsiSeq=269543&amp;efYd=20250228#0000</t>
    <phoneticPr fontId="9" type="noConversion"/>
  </si>
  <si>
    <t xml:space="preserve"> - Basis for applying the demand loan interest rate</t>
    <phoneticPr fontId="9" type="noConversion"/>
  </si>
  <si>
    <t>Corporate Tax Act Enforcement Decree</t>
  </si>
  <si>
    <r>
      <t>③</t>
    </r>
    <r>
      <rPr>
        <sz val="10"/>
        <rFont val="Arial"/>
        <family val="2"/>
      </rPr>
      <t xml:space="preserve"> In the case of the lending or borrowing of money pursuant to Article 88(1)(6) and (7), notwithstanding the provisions of paragraphs (1) and (2), the weighted average borrowing interest rate (hereinafter referred to as the ‘weighted average borrowing interest rate’) specified by the Ministry of Economy and Finance shall be deemed to be the fair market value. However, in each case specified in the respective items, the demand loan interest rate specified by the Minister of Economy and Finance (hereinafter referred to as the ‘demand loan interest rate’) shall be deemed to be the fair market value in accordance with the classification of the respective items.</t>
    </r>
  </si>
  <si>
    <t>Based on an interest rate of 4.6%</t>
    <phoneticPr fontId="9" type="noConversion"/>
  </si>
  <si>
    <t>https://law.go.kr/%EB%B2%95%EB%A0%B9/%EB%B2%95%EC%9D%B8%EC%84%B8%EB%B2%95%EC%8B%9C%ED%96%89%EA%B7%9C%EC%B9%99</t>
    <phoneticPr fontId="9" type="noConversion"/>
  </si>
  <si>
    <t>Corporate Tax Act Enforcement Regulations</t>
  </si>
  <si>
    <t>Article 43 (Calculation Method for Weighted Average Borrowing Interest Rate, etc.) Paragraph 2: The phrase ‘the demand loan interest rate specified by the Minister of Economy and Finance’ in the proviso of the portion outside the items of Paragraph 3 of Article 89 of the Enforcement Decree refers to 46 per thousand per annum.</t>
  </si>
  <si>
    <t>=&gt; Basis for interest rates on loans</t>
    <phoneticPr fontId="9" type="noConversion"/>
  </si>
  <si>
    <t xml:space="preserve"> - Interest rates on loans in South Korea are applied based on the weighted average interest rate at which the lender (company, etc.) borrows from financial institutions. If the lender does not borrow from financial institutions, the interest rate on demand deposits specified by the Ministry of Strategy and Finance is applied.</t>
    <phoneticPr fontId="9" type="noConversion"/>
  </si>
  <si>
    <t xml:space="preserve"> ====&gt; Please refer to the attached sheet for the basis of the above amounts.</t>
    <phoneticPr fontId="9" type="noConversion"/>
  </si>
  <si>
    <t xml:space="preserve">Account No. KRW : </t>
    <phoneticPr fontId="9" type="noConversion"/>
  </si>
  <si>
    <t>096301-04-103330</t>
    <phoneticPr fontId="9" type="noConversion"/>
  </si>
  <si>
    <t xml:space="preserve">Accn. No. EUR : </t>
    <phoneticPr fontId="9" type="noConversion"/>
  </si>
  <si>
    <t>096368-11-010046</t>
  </si>
  <si>
    <t xml:space="preserve">Balance KRW : </t>
    <phoneticPr fontId="9" type="noConversion"/>
  </si>
  <si>
    <t xml:space="preserve">Balance EUR : </t>
    <phoneticPr fontId="9" type="noConversion"/>
  </si>
  <si>
    <t xml:space="preserve">Name of Compnay : </t>
    <phoneticPr fontId="9" type="noConversion"/>
  </si>
  <si>
    <t>Bolt Tayanggwang 3HO ltd.</t>
    <phoneticPr fontId="9" type="noConversion"/>
  </si>
  <si>
    <t xml:space="preserve">available withdrawal amount : </t>
    <phoneticPr fontId="9" type="noConversion"/>
  </si>
  <si>
    <t xml:space="preserve">Transaction period : </t>
    <phoneticPr fontId="9" type="noConversion"/>
  </si>
  <si>
    <t>2024.11.21 ~ 2025.05.20</t>
    <phoneticPr fontId="9" type="noConversion"/>
  </si>
  <si>
    <t/>
  </si>
  <si>
    <t xml:space="preserve">Total withdrawal amount : </t>
    <phoneticPr fontId="9" type="noConversion"/>
  </si>
  <si>
    <t>Deposit total :</t>
    <phoneticPr fontId="9" type="noConversion"/>
  </si>
  <si>
    <t>No</t>
  </si>
  <si>
    <t>date of transaction</t>
    <phoneticPr fontId="9" type="noConversion"/>
  </si>
  <si>
    <t>Sender/Receiver</t>
    <phoneticPr fontId="9" type="noConversion"/>
  </si>
  <si>
    <t>Withdrawal</t>
    <phoneticPr fontId="9" type="noConversion"/>
  </si>
  <si>
    <t>Deposit</t>
    <phoneticPr fontId="9" type="noConversion"/>
  </si>
  <si>
    <t>Memo</t>
    <phoneticPr fontId="9" type="noConversion"/>
  </si>
  <si>
    <t>Compendium</t>
    <phoneticPr fontId="9" type="noConversion"/>
  </si>
  <si>
    <t>name of branch</t>
    <phoneticPr fontId="9" type="noConversion"/>
  </si>
  <si>
    <t>refer</t>
    <phoneticPr fontId="9" type="noConversion"/>
  </si>
  <si>
    <t>2025.05.20 12:15:23</t>
    <phoneticPr fontId="9" type="noConversion"/>
  </si>
  <si>
    <t>주식회사볼트태양광3호</t>
    <phoneticPr fontId="9" type="noConversion"/>
  </si>
  <si>
    <t>대체입금</t>
    <phoneticPr fontId="9" type="noConversion"/>
  </si>
  <si>
    <t>학동</t>
  </si>
  <si>
    <t>2025.05.14 09:38:18</t>
  </si>
  <si>
    <t>주식회사　솔라시티</t>
  </si>
  <si>
    <t>세운경주계약금잔금</t>
  </si>
  <si>
    <t>인터넷출금이체</t>
  </si>
  <si>
    <t>2025.05.14 09:34:31</t>
  </si>
  <si>
    <t>오리지네이티드　유한</t>
  </si>
  <si>
    <t>전자금융</t>
  </si>
  <si>
    <t>하나은행</t>
  </si>
  <si>
    <t>2025.05.07 16:09:21</t>
  </si>
  <si>
    <t>세운경주계약금일부</t>
  </si>
  <si>
    <t>2025.05.07 16:05:33</t>
  </si>
  <si>
    <t>2025.04.07 13:31:20</t>
  </si>
  <si>
    <t>온일계약금20%</t>
  </si>
  <si>
    <t>2025.04.07 13:27:47</t>
  </si>
  <si>
    <t>자본금 1,000,000반영</t>
    <phoneticPr fontId="9" type="noConversion"/>
  </si>
  <si>
    <t>2025.04.07 13:19:44</t>
  </si>
  <si>
    <t>공동인증서발급수수료</t>
  </si>
  <si>
    <t>2025.04.07 13:18:16</t>
  </si>
  <si>
    <t>유영배</t>
  </si>
  <si>
    <t>카뱅</t>
  </si>
  <si>
    <t>2024.12.20 16:38:25</t>
  </si>
  <si>
    <t>신규</t>
  </si>
  <si>
    <t>Total amount of loan from Originated</t>
    <phoneticPr fontId="9" type="noConversion"/>
  </si>
  <si>
    <t>적용이자율</t>
    <phoneticPr fontId="9" type="noConversion"/>
  </si>
  <si>
    <t>이자적용일자</t>
    <phoneticPr fontId="9" type="noConversion"/>
  </si>
  <si>
    <t>interest amount from loan (Originated)</t>
    <phoneticPr fontId="9" type="noConversion"/>
  </si>
  <si>
    <t>[unit:KRW]</t>
    <phoneticPr fontId="9" type="noConversion"/>
  </si>
  <si>
    <t>date of loan begun</t>
    <phoneticPr fontId="9" type="noConversion"/>
  </si>
  <si>
    <t>amount</t>
    <phoneticPr fontId="9" type="noConversion"/>
  </si>
  <si>
    <t>maturity date</t>
    <phoneticPr fontId="9" type="noConversion"/>
  </si>
  <si>
    <t>1st repayment</t>
    <phoneticPr fontId="9" type="noConversion"/>
  </si>
  <si>
    <t>date of repayment</t>
    <phoneticPr fontId="9" type="noConversion"/>
  </si>
  <si>
    <t>2nd repayment</t>
    <phoneticPr fontId="9" type="noConversion"/>
  </si>
  <si>
    <t>3rd repayment</t>
    <phoneticPr fontId="9" type="noConversion"/>
  </si>
  <si>
    <t>balance of May 20</t>
    <phoneticPr fontId="9" type="noConversion"/>
  </si>
  <si>
    <t>interest amount</t>
    <phoneticPr fontId="9" type="noConversion"/>
  </si>
  <si>
    <t>합계</t>
    <phoneticPr fontId="9" type="noConversion"/>
  </si>
  <si>
    <t>interest amount from loan (individual - Rex)</t>
    <phoneticPr fontId="9" type="noConversion"/>
  </si>
  <si>
    <t>interest amount from loan (total)</t>
    <phoneticPr fontId="9" type="noConversion"/>
  </si>
  <si>
    <t>Originated</t>
    <phoneticPr fontId="9" type="noConversion"/>
  </si>
  <si>
    <t>individual</t>
    <phoneticPr fontId="9" type="noConversion"/>
  </si>
  <si>
    <t>total</t>
    <phoneticPr fontId="9" type="noConversion"/>
  </si>
  <si>
    <t>096337-04-011223</t>
    <phoneticPr fontId="9" type="noConversion"/>
  </si>
  <si>
    <t>096368-11-010059</t>
    <phoneticPr fontId="9" type="noConversion"/>
  </si>
  <si>
    <t>Bolt Tayanggwang 6HO ltd.</t>
    <phoneticPr fontId="9" type="noConversion"/>
  </si>
  <si>
    <t>2025.05.20 11:53:01</t>
    <phoneticPr fontId="9" type="noConversion"/>
  </si>
  <si>
    <t>주식회사볼트태양광6호</t>
    <phoneticPr fontId="9" type="noConversion"/>
  </si>
  <si>
    <t>2025.03.15 00:38:26</t>
  </si>
  <si>
    <t>이자세금:0원</t>
  </si>
  <si>
    <t>결산이자</t>
  </si>
  <si>
    <t>2024.12.14 01:02:24</t>
  </si>
  <si>
    <t>2024.12.05 13:43:32</t>
  </si>
  <si>
    <t>지붕태양광432.58계약금</t>
  </si>
  <si>
    <t>2024.12.05 13:41:07</t>
  </si>
  <si>
    <t>2024.12.05 13:35:23</t>
  </si>
  <si>
    <t>2024.12.05 13:27:54</t>
  </si>
  <si>
    <t>2024.11.22 12:01:04</t>
  </si>
  <si>
    <t>OTP발급비용</t>
  </si>
  <si>
    <t>현금출금</t>
  </si>
  <si>
    <t>2024.11.22 11:55:43</t>
  </si>
  <si>
    <t>자본금</t>
    <phoneticPr fontId="9" type="noConversion"/>
  </si>
  <si>
    <t>2024.11.22 11:49:59</t>
  </si>
  <si>
    <t>list of VAT Invoices</t>
    <phoneticPr fontId="9" type="noConversion"/>
  </si>
  <si>
    <t>evidences of collection</t>
    <phoneticPr fontId="9" type="noConversion"/>
  </si>
  <si>
    <t>stamped guarantee of collection from developper - Solarcity</t>
    <phoneticPr fontId="9" type="noConversion"/>
  </si>
  <si>
    <t>DG (Liquidity projection by SPV and Batch)</t>
    <phoneticPr fontId="23" type="noConversion"/>
  </si>
  <si>
    <t>FX rate: 1 EUR = 1,470 KRW      [Unit: KRW,EUR, Incl. VAT]</t>
    <phoneticPr fontId="23" type="noConversion"/>
  </si>
  <si>
    <t>Name of SPV</t>
    <phoneticPr fontId="23" type="noConversion"/>
  </si>
  <si>
    <t>Expected date to
transfer</t>
    <phoneticPr fontId="23" type="noConversion"/>
  </si>
  <si>
    <t>Batch1</t>
    <phoneticPr fontId="23" type="noConversion"/>
  </si>
  <si>
    <t>Batch2</t>
    <phoneticPr fontId="23" type="noConversion"/>
  </si>
  <si>
    <t>T. Batch 1 &amp; 2</t>
    <phoneticPr fontId="23" type="noConversion"/>
  </si>
  <si>
    <t>KRW</t>
    <phoneticPr fontId="23" type="noConversion"/>
  </si>
  <si>
    <t>EUR</t>
    <phoneticPr fontId="23" type="noConversion"/>
  </si>
  <si>
    <t>Bolt Taeyanggwang 2HO</t>
    <phoneticPr fontId="23" type="noConversion"/>
  </si>
  <si>
    <t>PAID by OR</t>
    <phoneticPr fontId="23" type="noConversion"/>
  </si>
  <si>
    <t>Total</t>
    <phoneticPr fontId="23" type="noConversion"/>
  </si>
  <si>
    <t>Bolt Taeyanggwang 3HO</t>
    <phoneticPr fontId="23" type="noConversion"/>
  </si>
  <si>
    <t>Bolt Taeyanggwang 6HO</t>
    <phoneticPr fontId="23" type="noConversion"/>
  </si>
  <si>
    <t>Bolt Taeyanggwang 7HO</t>
    <phoneticPr fontId="23" type="noConversion"/>
  </si>
  <si>
    <t xml:space="preserve"> Total</t>
    <phoneticPr fontId="23" type="noConversion"/>
  </si>
  <si>
    <t>G. Total</t>
    <phoneticPr fontId="23" type="noConversion"/>
  </si>
  <si>
    <t>* Paid amount + scheduled amount for April should be transferred asap to fulfill Megawatt what we reported.</t>
    <phoneticPr fontId="23" type="noConversion"/>
  </si>
  <si>
    <t>Balance by SPV</t>
  </si>
  <si>
    <t>[Standard : 2025.06.20]</t>
    <phoneticPr fontId="9" type="noConversion"/>
  </si>
  <si>
    <t>SPV</t>
    <phoneticPr fontId="9" type="noConversion"/>
  </si>
  <si>
    <t>2025.06.20 Balance</t>
    <phoneticPr fontId="9" type="noConversion"/>
  </si>
  <si>
    <t xml:space="preserve">KRW </t>
    <phoneticPr fontId="9" type="noConversion"/>
  </si>
  <si>
    <t>Bolt Taeyanggwang 1HO</t>
    <phoneticPr fontId="9" type="noConversion"/>
  </si>
  <si>
    <t>096301-04-103314</t>
    <phoneticPr fontId="23" type="noConversion"/>
  </si>
  <si>
    <t>096368-11-010020</t>
    <phoneticPr fontId="23" type="noConversion"/>
  </si>
  <si>
    <t>KRW Total</t>
    <phoneticPr fontId="9" type="noConversion"/>
  </si>
  <si>
    <t>Bolt Taeyanggwang 2HO</t>
    <phoneticPr fontId="9" type="noConversion"/>
  </si>
  <si>
    <t>096301-04-103327</t>
    <phoneticPr fontId="23" type="noConversion"/>
  </si>
  <si>
    <t>096368-11-010033</t>
    <phoneticPr fontId="23" type="noConversion"/>
  </si>
  <si>
    <t>Bolt Taeyanggwang 3HO</t>
  </si>
  <si>
    <t>096301-04-103330</t>
    <phoneticPr fontId="23" type="noConversion"/>
  </si>
  <si>
    <t>096368-11-010046</t>
    <phoneticPr fontId="23" type="noConversion"/>
  </si>
  <si>
    <t>Bolt Taeyanggwang 6HO</t>
  </si>
  <si>
    <t>096337-04-011223</t>
    <phoneticPr fontId="23" type="noConversion"/>
  </si>
  <si>
    <t>096368-11-010059</t>
    <phoneticPr fontId="23" type="noConversion"/>
  </si>
  <si>
    <t>Bolt Taeyanggwang 7HO</t>
  </si>
  <si>
    <t>096301-04-103343</t>
    <phoneticPr fontId="23" type="noConversion"/>
  </si>
  <si>
    <t>096368-11-010062</t>
    <phoneticPr fontId="23" type="noConversion"/>
  </si>
  <si>
    <t>Exchange</t>
    <phoneticPr fontId="9" type="noConversion"/>
  </si>
  <si>
    <t>1st Drawdown</t>
    <phoneticPr fontId="9" type="noConversion"/>
  </si>
  <si>
    <t>Interest Collection</t>
    <phoneticPr fontId="9" type="noConversion"/>
  </si>
  <si>
    <t>Amount(EUR)</t>
    <phoneticPr fontId="9" type="noConversion"/>
  </si>
  <si>
    <t>Date</t>
    <phoneticPr fontId="9" type="noConversion"/>
  </si>
  <si>
    <t>2025.05.20</t>
    <phoneticPr fontId="9" type="noConversion"/>
  </si>
  <si>
    <t>2025.06.14</t>
    <phoneticPr fontId="9" type="noConversion"/>
  </si>
  <si>
    <t>2025.06.19</t>
    <phoneticPr fontId="9" type="noConversion"/>
  </si>
  <si>
    <t>Bolt Taeyanggwang 3HO</t>
    <phoneticPr fontId="9" type="noConversion"/>
  </si>
  <si>
    <t>Bolt Taeyanggwang 6HO</t>
    <phoneticPr fontId="9" type="noConversion"/>
  </si>
  <si>
    <t>Bolt Taeyanggwang 7HO</t>
    <phoneticPr fontId="9" type="noConversion"/>
  </si>
  <si>
    <t>2025.05.26</t>
    <phoneticPr fontId="9" type="noConversion"/>
  </si>
  <si>
    <t>[Standard : 2025.07.21]</t>
    <phoneticPr fontId="9" type="noConversion"/>
  </si>
  <si>
    <t>Bolt Taeyanggwang 4HO</t>
  </si>
  <si>
    <t>096301-04-105347</t>
    <phoneticPr fontId="23" type="noConversion"/>
  </si>
  <si>
    <t>096368-11-010161</t>
    <phoneticPr fontId="23" type="noConversion"/>
  </si>
  <si>
    <t>Bolt Taeyanggwang 5HO</t>
  </si>
  <si>
    <t>096301-04-105350</t>
    <phoneticPr fontId="23" type="noConversion"/>
  </si>
  <si>
    <t>096368-11-010174</t>
    <phoneticPr fontId="23" type="noConversion"/>
  </si>
  <si>
    <t>Bolt Taeyanggwang 8HO</t>
  </si>
  <si>
    <t>096301-04-105363</t>
    <phoneticPr fontId="23" type="noConversion"/>
  </si>
  <si>
    <t>096368-11-010187</t>
    <phoneticPr fontId="23" type="noConversion"/>
  </si>
  <si>
    <t>Bolt Taeyanggwang 9HO</t>
  </si>
  <si>
    <t>096301-04-105376</t>
    <phoneticPr fontId="23" type="noConversion"/>
  </si>
  <si>
    <t>096368-11-010190</t>
    <phoneticPr fontId="23" type="noConversion"/>
  </si>
  <si>
    <t>Bolt Taeyanggwang 10HO</t>
  </si>
  <si>
    <t>096301-04-105389</t>
    <phoneticPr fontId="23" type="noConversion"/>
  </si>
  <si>
    <t>096368-11-010202</t>
    <phoneticPr fontId="23" type="noConversion"/>
  </si>
  <si>
    <t>[Dated : 2025.10.04]</t>
    <phoneticPr fontId="9" type="noConversion"/>
  </si>
  <si>
    <t>SWIFT CODE /
Bank Address</t>
    <phoneticPr fontId="9" type="noConversion"/>
  </si>
  <si>
    <t>Bank name</t>
  </si>
  <si>
    <t>to be Paid in Oct.</t>
    <phoneticPr fontId="9" type="noConversion"/>
  </si>
  <si>
    <t>Requested Amount (KRW)</t>
    <phoneticPr fontId="9" type="noConversion"/>
  </si>
  <si>
    <t>Requested Amount (EUR)</t>
    <phoneticPr fontId="9" type="noConversion"/>
  </si>
  <si>
    <t>CZNBKRSE /
26, Gukjegeumyung-ro 8-gil, Yeongdeungpo-gu, Seoul, Korea</t>
    <phoneticPr fontId="9" type="noConversion"/>
  </si>
  <si>
    <t xml:space="preserve"> KB Kookmin Bank</t>
    <phoneticPr fontId="9" type="noConversion"/>
  </si>
  <si>
    <t>Replaced with a separate document</t>
    <phoneticPr fontId="9" type="noConversion"/>
  </si>
  <si>
    <t>096368-11-010020 </t>
  </si>
  <si>
    <t>096301-04-103327</t>
  </si>
  <si>
    <t>The DAP and EBL amounts for each project, including Duri Industry, must be paid.</t>
    <phoneticPr fontId="9" type="noConversion"/>
  </si>
  <si>
    <t>096368-11-010033</t>
  </si>
  <si>
    <t>096301-04-103330</t>
  </si>
  <si>
    <t>Funds are sufficient due to the unspent amount from the previous receipts, so this amount is excluded from the current request.</t>
    <phoneticPr fontId="9" type="noConversion"/>
  </si>
  <si>
    <t>Bolt Taeyanggwang 4HO</t>
    <phoneticPr fontId="9" type="noConversion"/>
  </si>
  <si>
    <t>SPA had been agreed and acquired as Greenvolt Power Korea's subsidiary, SHL could be activated and the amount needed is EUR 113,856.33</t>
    <phoneticPr fontId="9" type="noConversion"/>
  </si>
  <si>
    <t>096337-04-011223</t>
  </si>
  <si>
    <t>Cosmo Chemical is currently under CEO approval, and since it is judged likely that the contract will be signed within October, this has been reflected in the current fund request.</t>
    <phoneticPr fontId="9" type="noConversion"/>
  </si>
  <si>
    <t>096368-11-010059</t>
  </si>
  <si>
    <t>096301-04-103343</t>
  </si>
  <si>
    <t>096368-11-010062</t>
  </si>
  <si>
    <r>
      <rPr>
        <sz val="10"/>
        <color theme="0"/>
        <rFont val="맑은 고딕"/>
        <family val="2"/>
        <charset val="129"/>
      </rPr>
      <t>현재</t>
    </r>
    <r>
      <rPr>
        <sz val="10"/>
        <color theme="0"/>
        <rFont val="Calibri"/>
        <family val="2"/>
      </rPr>
      <t xml:space="preserve"> </t>
    </r>
    <r>
      <rPr>
        <sz val="10"/>
        <color theme="0"/>
        <rFont val="맑은 고딕"/>
        <family val="2"/>
        <charset val="129"/>
      </rPr>
      <t>법적으로</t>
    </r>
    <r>
      <rPr>
        <sz val="10"/>
        <color theme="0"/>
        <rFont val="Calibri"/>
        <family val="2"/>
      </rPr>
      <t xml:space="preserve"> ORIGINATED</t>
    </r>
    <r>
      <rPr>
        <sz val="10"/>
        <color theme="0"/>
        <rFont val="맑은 고딕"/>
        <family val="2"/>
        <charset val="129"/>
      </rPr>
      <t>의</t>
    </r>
    <r>
      <rPr>
        <sz val="10"/>
        <color theme="0"/>
        <rFont val="Calibri"/>
        <family val="2"/>
      </rPr>
      <t xml:space="preserve"> </t>
    </r>
    <r>
      <rPr>
        <sz val="10"/>
        <color theme="0"/>
        <rFont val="맑은 고딕"/>
        <family val="2"/>
        <charset val="129"/>
      </rPr>
      <t>자회사로</t>
    </r>
    <r>
      <rPr>
        <sz val="10"/>
        <color theme="0"/>
        <rFont val="Calibri"/>
        <family val="2"/>
      </rPr>
      <t xml:space="preserve"> SHL</t>
    </r>
    <r>
      <rPr>
        <sz val="10"/>
        <color theme="0"/>
        <rFont val="맑은 고딕"/>
        <family val="2"/>
        <charset val="129"/>
      </rPr>
      <t>을</t>
    </r>
    <r>
      <rPr>
        <sz val="10"/>
        <color theme="0"/>
        <rFont val="Calibri"/>
        <family val="2"/>
      </rPr>
      <t xml:space="preserve"> </t>
    </r>
    <r>
      <rPr>
        <sz val="10"/>
        <color theme="0"/>
        <rFont val="맑은 고딕"/>
        <family val="2"/>
        <charset val="129"/>
      </rPr>
      <t>할</t>
    </r>
    <r>
      <rPr>
        <sz val="10"/>
        <color theme="0"/>
        <rFont val="Calibri"/>
        <family val="2"/>
      </rPr>
      <t xml:space="preserve"> </t>
    </r>
    <r>
      <rPr>
        <sz val="10"/>
        <color theme="0"/>
        <rFont val="맑은 고딕"/>
        <family val="2"/>
        <charset val="129"/>
      </rPr>
      <t>수</t>
    </r>
    <r>
      <rPr>
        <sz val="10"/>
        <color theme="0"/>
        <rFont val="Calibri"/>
        <family val="2"/>
      </rPr>
      <t xml:space="preserve"> </t>
    </r>
    <r>
      <rPr>
        <sz val="10"/>
        <color theme="0"/>
        <rFont val="맑은 고딕"/>
        <family val="2"/>
        <charset val="129"/>
      </rPr>
      <t>없는</t>
    </r>
    <r>
      <rPr>
        <sz val="10"/>
        <color theme="0"/>
        <rFont val="Calibri"/>
        <family val="2"/>
      </rPr>
      <t xml:space="preserve"> </t>
    </r>
    <r>
      <rPr>
        <sz val="10"/>
        <color theme="0"/>
        <rFont val="맑은 고딕"/>
        <family val="2"/>
        <charset val="129"/>
      </rPr>
      <t>상황으로</t>
    </r>
    <r>
      <rPr>
        <sz val="10"/>
        <color theme="0"/>
        <rFont val="Calibri"/>
        <family val="2"/>
      </rPr>
      <t xml:space="preserve"> </t>
    </r>
    <r>
      <rPr>
        <sz val="10"/>
        <color theme="0"/>
        <rFont val="맑은 고딕"/>
        <family val="2"/>
        <charset val="129"/>
      </rPr>
      <t>필요</t>
    </r>
    <r>
      <rPr>
        <sz val="10"/>
        <color theme="0"/>
        <rFont val="Calibri"/>
        <family val="2"/>
      </rPr>
      <t xml:space="preserve"> </t>
    </r>
    <r>
      <rPr>
        <sz val="10"/>
        <color theme="0"/>
        <rFont val="맑은 고딕"/>
        <family val="2"/>
        <charset val="129"/>
      </rPr>
      <t>금액은</t>
    </r>
    <r>
      <rPr>
        <sz val="10"/>
        <color theme="0"/>
        <rFont val="Calibri"/>
        <family val="2"/>
      </rPr>
      <t xml:space="preserve"> </t>
    </r>
    <r>
      <rPr>
        <sz val="10"/>
        <color theme="0"/>
        <rFont val="맑은 고딕"/>
        <family val="2"/>
        <charset val="129"/>
      </rPr>
      <t>다른</t>
    </r>
    <r>
      <rPr>
        <sz val="10"/>
        <color theme="0"/>
        <rFont val="Calibri"/>
        <family val="2"/>
      </rPr>
      <t>( Bolt Taeyanggwang 3HO) SPV</t>
    </r>
    <r>
      <rPr>
        <sz val="10"/>
        <color theme="0"/>
        <rFont val="맑은 고딕"/>
        <family val="2"/>
        <charset val="129"/>
      </rPr>
      <t>에서</t>
    </r>
    <r>
      <rPr>
        <sz val="10"/>
        <color theme="0"/>
        <rFont val="Calibri"/>
        <family val="2"/>
      </rPr>
      <t xml:space="preserve"> </t>
    </r>
    <r>
      <rPr>
        <sz val="10"/>
        <color theme="0"/>
        <rFont val="맑은 고딕"/>
        <family val="2"/>
        <charset val="129"/>
      </rPr>
      <t>대출</t>
    </r>
    <r>
      <rPr>
        <sz val="10"/>
        <color theme="0"/>
        <rFont val="Calibri"/>
        <family val="2"/>
      </rPr>
      <t xml:space="preserve"> </t>
    </r>
    <r>
      <rPr>
        <sz val="10"/>
        <color theme="0"/>
        <rFont val="맑은 고딕"/>
        <family val="2"/>
        <charset val="129"/>
      </rPr>
      <t>후</t>
    </r>
    <r>
      <rPr>
        <sz val="10"/>
        <color theme="0"/>
        <rFont val="Calibri"/>
        <family val="2"/>
      </rPr>
      <t xml:space="preserve"> </t>
    </r>
    <r>
      <rPr>
        <sz val="10"/>
        <color theme="0"/>
        <rFont val="맑은 고딕"/>
        <family val="2"/>
        <charset val="129"/>
      </rPr>
      <t>지급</t>
    </r>
    <r>
      <rPr>
        <sz val="10"/>
        <color theme="0"/>
        <rFont val="Calibri"/>
        <family val="2"/>
      </rPr>
      <t xml:space="preserve"> </t>
    </r>
    <r>
      <rPr>
        <sz val="10"/>
        <color theme="0"/>
        <rFont val="맑은 고딕"/>
        <family val="2"/>
        <charset val="129"/>
      </rPr>
      <t>예정</t>
    </r>
    <r>
      <rPr>
        <sz val="10"/>
        <color theme="0"/>
        <rFont val="Calibri"/>
        <family val="2"/>
      </rPr>
      <t xml:space="preserve">. </t>
    </r>
    <r>
      <rPr>
        <sz val="10"/>
        <color theme="0"/>
        <rFont val="맑은 고딕"/>
        <family val="2"/>
        <charset val="129"/>
      </rPr>
      <t>추후</t>
    </r>
    <r>
      <rPr>
        <sz val="10"/>
        <color theme="0"/>
        <rFont val="Calibri"/>
        <family val="2"/>
      </rPr>
      <t xml:space="preserve"> GV </t>
    </r>
    <r>
      <rPr>
        <sz val="10"/>
        <color theme="0"/>
        <rFont val="맑은 고딕"/>
        <family val="2"/>
        <charset val="129"/>
      </rPr>
      <t>소속으로</t>
    </r>
    <r>
      <rPr>
        <sz val="10"/>
        <color theme="0"/>
        <rFont val="Calibri"/>
        <family val="2"/>
      </rPr>
      <t xml:space="preserve"> </t>
    </r>
    <r>
      <rPr>
        <sz val="10"/>
        <color theme="0"/>
        <rFont val="맑은 고딕"/>
        <family val="2"/>
        <charset val="129"/>
      </rPr>
      <t>변동</t>
    </r>
    <r>
      <rPr>
        <sz val="10"/>
        <color theme="0"/>
        <rFont val="Calibri"/>
        <family val="2"/>
      </rPr>
      <t xml:space="preserve"> </t>
    </r>
    <r>
      <rPr>
        <sz val="10"/>
        <color theme="0"/>
        <rFont val="맑은 고딕"/>
        <family val="2"/>
        <charset val="129"/>
      </rPr>
      <t>시</t>
    </r>
    <r>
      <rPr>
        <sz val="10"/>
        <color theme="0"/>
        <rFont val="Calibri"/>
        <family val="2"/>
      </rPr>
      <t xml:space="preserve"> </t>
    </r>
    <r>
      <rPr>
        <sz val="10"/>
        <color theme="0"/>
        <rFont val="맑은 고딕"/>
        <family val="2"/>
        <charset val="129"/>
      </rPr>
      <t>금액</t>
    </r>
    <r>
      <rPr>
        <sz val="10"/>
        <color theme="0"/>
        <rFont val="Calibri"/>
        <family val="2"/>
      </rPr>
      <t xml:space="preserve"> </t>
    </r>
    <r>
      <rPr>
        <sz val="10"/>
        <color theme="0"/>
        <rFont val="맑은 고딕"/>
        <family val="2"/>
        <charset val="129"/>
      </rPr>
      <t>수취후</t>
    </r>
    <r>
      <rPr>
        <sz val="10"/>
        <color theme="0"/>
        <rFont val="Calibri"/>
        <family val="2"/>
      </rPr>
      <t xml:space="preserve"> </t>
    </r>
    <r>
      <rPr>
        <sz val="10"/>
        <color theme="0"/>
        <rFont val="맑은 고딕"/>
        <family val="2"/>
        <charset val="129"/>
      </rPr>
      <t>정산하여야</t>
    </r>
    <r>
      <rPr>
        <sz val="10"/>
        <color theme="0"/>
        <rFont val="Calibri"/>
        <family val="2"/>
      </rPr>
      <t xml:space="preserve"> </t>
    </r>
    <r>
      <rPr>
        <sz val="10"/>
        <color theme="0"/>
        <rFont val="맑은 고딕"/>
        <family val="2"/>
        <charset val="129"/>
      </rPr>
      <t>할</t>
    </r>
    <r>
      <rPr>
        <sz val="10"/>
        <color theme="0"/>
        <rFont val="Calibri"/>
        <family val="2"/>
      </rPr>
      <t xml:space="preserve"> </t>
    </r>
    <r>
      <rPr>
        <sz val="10"/>
        <color theme="0"/>
        <rFont val="맑은 고딕"/>
        <family val="2"/>
        <charset val="129"/>
      </rPr>
      <t>상황</t>
    </r>
    <phoneticPr fontId="9" type="noConversion"/>
  </si>
  <si>
    <t>[Dated : 2025.10.24]</t>
    <phoneticPr fontId="9" type="noConversion"/>
  </si>
  <si>
    <t>GV Total</t>
    <phoneticPr fontId="9" type="noConversion"/>
  </si>
  <si>
    <t>[Dated : 2025.08.20]</t>
    <phoneticPr fontId="9" type="noConversion"/>
  </si>
  <si>
    <t>Balance</t>
  </si>
  <si>
    <t>[Standard : 2025.06.30]</t>
    <phoneticPr fontId="9" type="noConversion"/>
  </si>
  <si>
    <t>Estimated Drawdown plan - SHL total 6.8M Euro</t>
    <phoneticPr fontId="9" type="noConversion"/>
  </si>
  <si>
    <t>1st Drawdown / settled</t>
    <phoneticPr fontId="9" type="noConversion"/>
  </si>
  <si>
    <t>2nd Drawdown estimation</t>
    <phoneticPr fontId="9" type="noConversion"/>
  </si>
  <si>
    <t>3rd Drawdown estimation</t>
    <phoneticPr fontId="9" type="noConversion"/>
  </si>
  <si>
    <t>4th Drawdown estimation</t>
    <phoneticPr fontId="9" type="noConversion"/>
  </si>
  <si>
    <t>TOTAL</t>
    <phoneticPr fontId="9" type="noConversion"/>
  </si>
  <si>
    <t>2025.06.30</t>
    <phoneticPr fontId="9" type="noConversion"/>
  </si>
  <si>
    <t>2025.08.10</t>
    <phoneticPr fontId="9" type="noConversion"/>
  </si>
  <si>
    <t>2025.10.31</t>
    <phoneticPr fontId="9" type="noConversion"/>
  </si>
  <si>
    <t>DG_Batch1,2 DEVEX Payment Plan</t>
    <phoneticPr fontId="9" type="noConversion"/>
  </si>
  <si>
    <t xml:space="preserve">  ,  </t>
    <phoneticPr fontId="9" type="noConversion"/>
  </si>
  <si>
    <t>Bolt Taeyanggwang</t>
    <phoneticPr fontId="9" type="noConversion"/>
  </si>
  <si>
    <r>
      <t>[Unit</t>
    </r>
    <r>
      <rPr>
        <sz val="10"/>
        <rFont val="맑은 고딕"/>
        <family val="2"/>
        <charset val="129"/>
      </rPr>
      <t xml:space="preserve"> : </t>
    </r>
    <r>
      <rPr>
        <sz val="10"/>
        <rFont val="Arial"/>
        <family val="2"/>
      </rPr>
      <t>KRW, EUR]</t>
    </r>
    <phoneticPr fontId="9" type="noConversion"/>
  </si>
  <si>
    <t>2025.06.24 Balance</t>
    <phoneticPr fontId="9" type="noConversion"/>
  </si>
  <si>
    <t>previous payment</t>
    <phoneticPr fontId="9" type="noConversion"/>
  </si>
  <si>
    <t>After payment</t>
    <phoneticPr fontId="9" type="noConversion"/>
  </si>
  <si>
    <t>Jul funding requirements(KRW)</t>
    <phoneticPr fontId="9" type="noConversion"/>
  </si>
  <si>
    <r>
      <t>Jul funding requirements(</t>
    </r>
    <r>
      <rPr>
        <sz val="10"/>
        <rFont val="맑은 고딕"/>
        <family val="2"/>
        <charset val="129"/>
      </rPr>
      <t>EUR)</t>
    </r>
    <phoneticPr fontId="9" type="noConversion"/>
  </si>
  <si>
    <t>Payment completed as of Jun 25.</t>
    <phoneticPr fontId="9" type="noConversion"/>
  </si>
  <si>
    <t>Scheduled to be paid in Jun 25.</t>
    <phoneticPr fontId="9" type="noConversion"/>
  </si>
  <si>
    <t>Scheduled to be paid in Jul 25.</t>
    <phoneticPr fontId="9" type="noConversion"/>
  </si>
  <si>
    <t>Scheduled to be paid in Aug 25.</t>
    <phoneticPr fontId="9" type="noConversion"/>
  </si>
  <si>
    <t>Scheduled to be paid in Sep 25.</t>
    <phoneticPr fontId="9" type="noConversion"/>
  </si>
  <si>
    <t>lease agreement</t>
    <phoneticPr fontId="9" type="noConversion"/>
  </si>
  <si>
    <t>EBL</t>
    <phoneticPr fontId="9" type="noConversion"/>
  </si>
  <si>
    <t>DAP</t>
    <phoneticPr fontId="9" type="noConversion"/>
  </si>
  <si>
    <r>
      <rPr>
        <sz val="10"/>
        <rFont val="맑은 고딕"/>
        <family val="2"/>
        <charset val="129"/>
      </rPr>
      <t>※</t>
    </r>
    <r>
      <rPr>
        <sz val="10"/>
        <rFont val="Arial"/>
        <family val="2"/>
      </rPr>
      <t xml:space="preserve"> This is the current payment schedule for DG_Batch1,2. According to the plan, payment in June should be fine, but payment in July may be difficult, so we kindly request your understanding.</t>
    </r>
    <phoneticPr fontId="9" type="noConversion"/>
  </si>
  <si>
    <t>[Unit : KRW, EUR]</t>
    <phoneticPr fontId="9" type="noConversion"/>
  </si>
  <si>
    <t>Name of Project</t>
    <phoneticPr fontId="9" type="noConversion"/>
  </si>
  <si>
    <t>DEVEX per kWp</t>
    <phoneticPr fontId="9" type="noConversion"/>
  </si>
  <si>
    <t>Capacity (kWp)</t>
    <phoneticPr fontId="9" type="noConversion"/>
  </si>
  <si>
    <t>Total amount to be settled</t>
    <phoneticPr fontId="9" type="noConversion"/>
  </si>
  <si>
    <t>Amount scheduled to be paid in Jun. to Jul.</t>
    <phoneticPr fontId="9" type="noConversion"/>
  </si>
  <si>
    <t>전체 지급예정</t>
    <phoneticPr fontId="9" type="noConversion"/>
  </si>
  <si>
    <t>Paid</t>
    <phoneticPr fontId="9" type="noConversion"/>
  </si>
  <si>
    <t>Balance on Jun. 13, 2025</t>
    <phoneticPr fontId="9" type="noConversion"/>
  </si>
  <si>
    <t>Jun.</t>
    <phoneticPr fontId="9" type="noConversion"/>
  </si>
  <si>
    <t>Jul.</t>
    <phoneticPr fontId="9" type="noConversion"/>
  </si>
  <si>
    <t>Amount scheduled to be paid in Agu. To Sep.</t>
    <phoneticPr fontId="9" type="noConversion"/>
  </si>
  <si>
    <t>Aug.</t>
    <phoneticPr fontId="9" type="noConversion"/>
  </si>
  <si>
    <t>Sep.</t>
    <phoneticPr fontId="9" type="noConversion"/>
  </si>
  <si>
    <t>After Sep</t>
    <phoneticPr fontId="9" type="noConversion"/>
  </si>
  <si>
    <t>Review</t>
    <phoneticPr fontId="9" type="noConversion"/>
  </si>
  <si>
    <t>Payment</t>
    <phoneticPr fontId="9" type="noConversion"/>
  </si>
  <si>
    <t>Bolt Taeyanggwang 2HO</t>
  </si>
  <si>
    <t>Inputs &amp; Results summary - Bolt Taeyanggwang 2HO Portfolio</t>
    <phoneticPr fontId="9" type="noConversion"/>
  </si>
  <si>
    <t xml:space="preserve">Scenario </t>
  </si>
  <si>
    <t>COD</t>
  </si>
  <si>
    <t>PPA price</t>
  </si>
  <si>
    <t>Capacity DC</t>
  </si>
  <si>
    <t>Life period</t>
  </si>
  <si>
    <t>NEH y1 Dc</t>
  </si>
  <si>
    <t>Total Hard Capex</t>
  </si>
  <si>
    <t xml:space="preserve">Hard Capex </t>
  </si>
  <si>
    <t xml:space="preserve">T. Fixed </t>
  </si>
  <si>
    <t xml:space="preserve">Acq. Premium </t>
  </si>
  <si>
    <t>Opex</t>
  </si>
  <si>
    <t>P. IRR</t>
  </si>
  <si>
    <t>Description</t>
  </si>
  <si>
    <t>per MW dc</t>
  </si>
  <si>
    <t>Acq.Premium</t>
  </si>
  <si>
    <t>date</t>
  </si>
  <si>
    <t>KRW/MWh</t>
  </si>
  <si>
    <t>#</t>
  </si>
  <si>
    <t>years</t>
  </si>
  <si>
    <t>h/MW</t>
  </si>
  <si>
    <t>KRWm/dc</t>
  </si>
  <si>
    <t>KRWm/MWdc</t>
  </si>
  <si>
    <t>KRWm/MWh</t>
  </si>
  <si>
    <t>%</t>
  </si>
  <si>
    <t>Total / Blended Portfolio</t>
  </si>
  <si>
    <t>CAPEX Approval Plan</t>
    <phoneticPr fontId="9" type="noConversion"/>
  </si>
  <si>
    <t>[Unit : KRW, EUR / 1EUR=1,470KRW]</t>
    <phoneticPr fontId="9" type="noConversion"/>
  </si>
  <si>
    <t>CAPEX per kWp</t>
    <phoneticPr fontId="9" type="noConversion"/>
  </si>
  <si>
    <t>Amount scheduled to be paid in Jul. to Aug.</t>
    <phoneticPr fontId="9" type="noConversion"/>
  </si>
  <si>
    <r>
      <rPr>
        <sz val="10"/>
        <rFont val="맑은 고딕"/>
        <family val="2"/>
        <charset val="129"/>
      </rPr>
      <t>전체</t>
    </r>
    <r>
      <rPr>
        <sz val="10"/>
        <rFont val="Calibri"/>
        <family val="2"/>
      </rPr>
      <t xml:space="preserve"> </t>
    </r>
    <r>
      <rPr>
        <sz val="10"/>
        <rFont val="맑은 고딕"/>
        <family val="2"/>
        <charset val="129"/>
      </rPr>
      <t>지급예정</t>
    </r>
    <phoneticPr fontId="9" type="noConversion"/>
  </si>
  <si>
    <t>Paid(~Jun. 25)</t>
    <phoneticPr fontId="9" type="noConversion"/>
  </si>
  <si>
    <r>
      <t xml:space="preserve">Jul. </t>
    </r>
    <r>
      <rPr>
        <b/>
        <sz val="10"/>
        <color rgb="FFFF0000"/>
        <rFont val="Calibri"/>
        <family val="2"/>
      </rPr>
      <t>(to pay - Urgent)</t>
    </r>
    <phoneticPr fontId="9" type="noConversion"/>
  </si>
  <si>
    <t>Paid
(By Oct. 24, 2025)</t>
    <phoneticPr fontId="9" type="noConversion"/>
  </si>
  <si>
    <t>Balance on Oct. 24, 2025(Reflected in DEVEX)</t>
    <phoneticPr fontId="9" type="noConversion"/>
  </si>
  <si>
    <t>Amount scheduled to be paid in Nov.</t>
    <phoneticPr fontId="9" type="noConversion"/>
  </si>
  <si>
    <t>Nov.</t>
    <phoneticPr fontId="9" type="noConversion"/>
  </si>
  <si>
    <t>Actual Required funds for Dec.</t>
    <phoneticPr fontId="9" type="noConversion"/>
  </si>
  <si>
    <t>Amount scheduled to be paid in Dec.</t>
    <phoneticPr fontId="9" type="noConversion"/>
  </si>
  <si>
    <t>Dec.</t>
    <phoneticPr fontId="9" type="noConversion"/>
  </si>
  <si>
    <t>Jan. 2026</t>
    <phoneticPr fontId="9" type="noConversion"/>
  </si>
  <si>
    <t>After Jan. 2026</t>
    <phoneticPr fontId="9" type="noConversion"/>
  </si>
  <si>
    <t>Bolt Taeyanggwang4HO</t>
    <phoneticPr fontId="9" type="noConversion"/>
  </si>
  <si>
    <t>CAPEX_Amount to be paid in 2025(1024)</t>
    <phoneticPr fontId="9" type="noConversion"/>
  </si>
  <si>
    <t>DEVEX_Amount to be paid in 2025(1024)</t>
    <phoneticPr fontId="9" type="noConversion"/>
  </si>
  <si>
    <t>DEVEX Approval Plan</t>
    <phoneticPr fontId="9" type="noConversion"/>
  </si>
  <si>
    <t>Balance on Oct. 24, 2025</t>
    <phoneticPr fontId="9" type="noConversion"/>
  </si>
  <si>
    <t>Amount scheduled to be paid in Nov. (incl. VAT)</t>
  </si>
  <si>
    <t>Nov.</t>
  </si>
  <si>
    <t>마일스톤</t>
    <phoneticPr fontId="9" type="noConversion"/>
  </si>
  <si>
    <t>지급일정</t>
    <phoneticPr fontId="9" type="noConversion"/>
  </si>
  <si>
    <t>지급일정(진행)</t>
    <phoneticPr fontId="9" type="noConversion"/>
  </si>
  <si>
    <r>
      <t xml:space="preserve">DAP </t>
    </r>
    <r>
      <rPr>
        <sz val="10"/>
        <rFont val="맑은 고딕"/>
        <family val="2"/>
        <charset val="129"/>
      </rPr>
      <t>완료</t>
    </r>
    <phoneticPr fontId="9" type="noConversion"/>
  </si>
  <si>
    <r>
      <t xml:space="preserve">Contract </t>
    </r>
    <r>
      <rPr>
        <sz val="10"/>
        <rFont val="맑은 고딕"/>
        <family val="2"/>
        <charset val="129"/>
      </rPr>
      <t xml:space="preserve">완료 </t>
    </r>
    <r>
      <rPr>
        <sz val="10"/>
        <rFont val="Calibri"/>
        <family val="2"/>
      </rPr>
      <t xml:space="preserve">EBL </t>
    </r>
    <r>
      <rPr>
        <sz val="10"/>
        <rFont val="맑은 고딕"/>
        <family val="2"/>
        <charset val="129"/>
      </rPr>
      <t>신청 중</t>
    </r>
    <phoneticPr fontId="9" type="noConversion"/>
  </si>
  <si>
    <t>개발 확인 단계</t>
    <phoneticPr fontId="9" type="noConversion"/>
  </si>
  <si>
    <r>
      <t xml:space="preserve">EBL </t>
    </r>
    <r>
      <rPr>
        <sz val="10"/>
        <rFont val="맑은 고딕"/>
        <family val="2"/>
        <charset val="129"/>
      </rPr>
      <t xml:space="preserve">완료 </t>
    </r>
    <phoneticPr fontId="9" type="noConversion"/>
  </si>
  <si>
    <r>
      <t xml:space="preserve">DAP </t>
    </r>
    <r>
      <rPr>
        <sz val="10"/>
        <rFont val="맑은 고딕"/>
        <family val="2"/>
        <charset val="129"/>
      </rPr>
      <t>지급 계획 11월</t>
    </r>
    <phoneticPr fontId="9" type="noConversion"/>
  </si>
  <si>
    <r>
      <t xml:space="preserve">EBL </t>
    </r>
    <r>
      <rPr>
        <sz val="10"/>
        <rFont val="맑은 고딕"/>
        <family val="2"/>
        <charset val="129"/>
      </rPr>
      <t>신청 중</t>
    </r>
    <phoneticPr fontId="9" type="noConversion"/>
  </si>
  <si>
    <r>
      <rPr>
        <sz val="10"/>
        <rFont val="Calibri"/>
        <family val="2"/>
      </rPr>
      <t xml:space="preserve">EBL </t>
    </r>
    <r>
      <rPr>
        <sz val="10"/>
        <rFont val="맑은 고딕"/>
        <family val="2"/>
        <charset val="129"/>
      </rPr>
      <t>지급 계획 11월</t>
    </r>
    <phoneticPr fontId="9" type="noConversion"/>
  </si>
  <si>
    <t>현재 2호에서 지급 됨</t>
    <phoneticPr fontId="9" type="noConversion"/>
  </si>
  <si>
    <t>Actual Required funds for Nov.</t>
    <phoneticPr fontId="9" type="noConversion"/>
  </si>
  <si>
    <t>SPV Name</t>
    <phoneticPr fontId="18" type="noConversion"/>
  </si>
  <si>
    <t>Bolt Taeyanggwang 2HO</t>
    <phoneticPr fontId="18" type="noConversion"/>
  </si>
  <si>
    <t>Business 
License
Number</t>
    <phoneticPr fontId="18" type="noConversion"/>
  </si>
  <si>
    <t>771-81-03597</t>
    <phoneticPr fontId="18" type="noConversion"/>
  </si>
  <si>
    <t>Corporate
Registry Number</t>
    <phoneticPr fontId="18" type="noConversion"/>
  </si>
  <si>
    <t>110111-9078109</t>
  </si>
  <si>
    <t>SPV Address</t>
    <phoneticPr fontId="18" type="noConversion"/>
  </si>
  <si>
    <t>#221, 42, Eonju-ro 147-gil, Gangnam-gu, Seoul, Korea</t>
  </si>
  <si>
    <t>Project 
Tech.</t>
    <phoneticPr fontId="18" type="noConversion"/>
  </si>
  <si>
    <t>DG Organic</t>
    <phoneticPr fontId="18" type="noConversion"/>
  </si>
  <si>
    <t>Bank &amp; 
Bank account Number</t>
    <phoneticPr fontId="18" type="noConversion"/>
  </si>
  <si>
    <t>KB Bank : 096301-04-103327</t>
    <phoneticPr fontId="18" type="noConversion"/>
  </si>
  <si>
    <t>NO</t>
    <phoneticPr fontId="18" type="noConversion"/>
  </si>
  <si>
    <t>Name of Project</t>
    <phoneticPr fontId="18" type="noConversion"/>
  </si>
  <si>
    <t>Capacity (kWp)</t>
    <phoneticPr fontId="23" type="noConversion"/>
  </si>
  <si>
    <t>Broker</t>
    <phoneticPr fontId="18" type="noConversion"/>
  </si>
  <si>
    <t>Expenditure Categories</t>
    <phoneticPr fontId="23" type="noConversion"/>
  </si>
  <si>
    <t>Total Amount</t>
    <phoneticPr fontId="23" type="noConversion"/>
  </si>
  <si>
    <t>10% VAT 
of Total Amount</t>
    <phoneticPr fontId="23" type="noConversion"/>
  </si>
  <si>
    <t>Total Amount 
+ 
10% VAT</t>
    <phoneticPr fontId="23" type="noConversion"/>
  </si>
  <si>
    <t>Current Payment Status</t>
    <phoneticPr fontId="18" type="noConversion"/>
  </si>
  <si>
    <t>필요자금</t>
    <phoneticPr fontId="9" type="noConversion"/>
  </si>
  <si>
    <t>Milestone 1</t>
    <phoneticPr fontId="23" type="noConversion"/>
  </si>
  <si>
    <t>Milestone 2</t>
    <phoneticPr fontId="23" type="noConversion"/>
  </si>
  <si>
    <t>Milestone 3</t>
  </si>
  <si>
    <t>Milestone 4</t>
  </si>
  <si>
    <t>Milestone 5</t>
  </si>
  <si>
    <t>Milestone 6</t>
  </si>
  <si>
    <t>Milestone 7</t>
    <phoneticPr fontId="9" type="noConversion"/>
  </si>
  <si>
    <t>Milestone 8</t>
  </si>
  <si>
    <t>Check.</t>
    <phoneticPr fontId="18" type="noConversion"/>
  </si>
  <si>
    <t>%</t>
    <phoneticPr fontId="18" type="noConversion"/>
  </si>
  <si>
    <t>Paid Amount
(KRW)</t>
    <phoneticPr fontId="18" type="noConversion"/>
  </si>
  <si>
    <t>Total Unpaid Amount</t>
    <phoneticPr fontId="18" type="noConversion"/>
  </si>
  <si>
    <t>scheduled Date to Paid</t>
    <phoneticPr fontId="18" type="noConversion"/>
  </si>
  <si>
    <t>Date to Paid</t>
    <phoneticPr fontId="18" type="noConversion"/>
  </si>
  <si>
    <t>scheduled Paid Amount</t>
    <phoneticPr fontId="18" type="noConversion"/>
  </si>
  <si>
    <t>Paid Amount</t>
    <phoneticPr fontId="18" type="noConversion"/>
  </si>
  <si>
    <t>Unpaid Amount</t>
    <phoneticPr fontId="18" type="noConversion"/>
  </si>
  <si>
    <t>content</t>
    <phoneticPr fontId="18" type="noConversion"/>
  </si>
  <si>
    <t>Jinyoung Metal
(2 sites in aggregate)</t>
    <phoneticPr fontId="18" type="noConversion"/>
  </si>
  <si>
    <t>Energy Plan</t>
    <phoneticPr fontId="18" type="noConversion"/>
  </si>
  <si>
    <t>CAPEX</t>
    <phoneticPr fontId="23" type="noConversion"/>
  </si>
  <si>
    <t>DEVEX</t>
    <phoneticPr fontId="23" type="noConversion"/>
  </si>
  <si>
    <t>Brokerage+Finder fee</t>
    <phoneticPr fontId="18" type="noConversion"/>
  </si>
  <si>
    <t>Pre-payment  Amount</t>
  </si>
  <si>
    <t>Total</t>
    <phoneticPr fontId="18" type="noConversion"/>
  </si>
  <si>
    <t>Kairos</t>
    <phoneticPr fontId="9" type="noConversion"/>
  </si>
  <si>
    <t>Doori Industry</t>
  </si>
  <si>
    <t>Guemjeong Techno</t>
  </si>
  <si>
    <t>Epyeonan nursing home</t>
    <phoneticPr fontId="18" type="noConversion"/>
  </si>
  <si>
    <t>Joongang Special Paper</t>
    <phoneticPr fontId="18" type="noConversion"/>
  </si>
  <si>
    <t>Sambo Green Filter</t>
    <phoneticPr fontId="18" type="noConversion"/>
  </si>
  <si>
    <t>Fusei Menix 1 &amp; 2</t>
    <phoneticPr fontId="18" type="noConversion"/>
  </si>
  <si>
    <t>Shincheon Food</t>
    <phoneticPr fontId="18" type="noConversion"/>
  </si>
  <si>
    <t>Giga steel</t>
    <phoneticPr fontId="18" type="noConversion"/>
  </si>
  <si>
    <t>Mijin Precision</t>
    <phoneticPr fontId="9" type="noConversion"/>
  </si>
  <si>
    <t>Contract,EBL</t>
    <phoneticPr fontId="9" type="noConversion"/>
  </si>
  <si>
    <t>Wolchool Metal</t>
    <phoneticPr fontId="9" type="noConversion"/>
  </si>
  <si>
    <t>Unitech Korea</t>
    <phoneticPr fontId="9" type="noConversion"/>
  </si>
  <si>
    <t>Daesung Fruit &amp; Fisheries</t>
    <phoneticPr fontId="9" type="noConversion"/>
  </si>
  <si>
    <t>Contract</t>
    <phoneticPr fontId="9" type="noConversion"/>
  </si>
  <si>
    <t>DEVEX Payment Status</t>
    <phoneticPr fontId="18" type="noConversion"/>
  </si>
  <si>
    <t>SPV</t>
    <phoneticPr fontId="18" type="noConversion"/>
  </si>
  <si>
    <t>DEVEX/MWp</t>
    <phoneticPr fontId="23" type="noConversion"/>
  </si>
  <si>
    <t>DEVEX Total Amount</t>
    <phoneticPr fontId="23" type="noConversion"/>
  </si>
  <si>
    <t>Payment ratio</t>
    <phoneticPr fontId="23" type="noConversion"/>
  </si>
  <si>
    <t>2024 Total</t>
    <phoneticPr fontId="18" type="noConversion"/>
  </si>
  <si>
    <t>2025 Total</t>
    <phoneticPr fontId="18" type="noConversion"/>
  </si>
  <si>
    <t>2026 Total</t>
    <phoneticPr fontId="18" type="noConversion"/>
  </si>
  <si>
    <t>Bolt Taeyanggwang 2HO Total</t>
    <phoneticPr fontId="9" type="noConversion"/>
  </si>
  <si>
    <t>Bolt Taeyanggwang 3HO Total</t>
    <phoneticPr fontId="9" type="noConversion"/>
  </si>
  <si>
    <t>Bolt Taeyanggwang 4HO Total</t>
    <phoneticPr fontId="9" type="noConversion"/>
  </si>
  <si>
    <t>Bolt Taeyanggwang 6HO Total</t>
    <phoneticPr fontId="9" type="noConversion"/>
  </si>
  <si>
    <t>Bolt Taeyanggwang 7HO Total</t>
    <phoneticPr fontId="9" type="noConversion"/>
  </si>
  <si>
    <r>
      <rPr>
        <sz val="10"/>
        <rFont val="맑은 고딕"/>
        <family val="2"/>
        <charset val="129"/>
      </rPr>
      <t xml:space="preserve">기존 </t>
    </r>
    <r>
      <rPr>
        <sz val="10"/>
        <rFont val="Arial"/>
        <family val="2"/>
      </rPr>
      <t>OPEX</t>
    </r>
    <phoneticPr fontId="9" type="noConversion"/>
  </si>
  <si>
    <t>O&amp;M</t>
  </si>
  <si>
    <t>CAPEX</t>
  </si>
  <si>
    <t>Asset Management</t>
  </si>
  <si>
    <t>BOS</t>
  </si>
  <si>
    <t>MAS (accounting and other administrative not included AM)</t>
  </si>
  <si>
    <t>Modules</t>
  </si>
  <si>
    <t>Insurance</t>
  </si>
  <si>
    <t>Grid Connection Cost</t>
  </si>
  <si>
    <t>Contingency</t>
  </si>
  <si>
    <t>설정</t>
    <phoneticPr fontId="9" type="noConversion"/>
  </si>
  <si>
    <t>Land lease</t>
  </si>
  <si>
    <t>BOLT 7</t>
    <phoneticPr fontId="9" type="noConversion"/>
  </si>
  <si>
    <t>지급비율</t>
    <phoneticPr fontId="9" type="noConversion"/>
  </si>
  <si>
    <t>지급일시</t>
    <phoneticPr fontId="9" type="noConversion"/>
  </si>
  <si>
    <t>용량</t>
    <phoneticPr fontId="9" type="noConversion"/>
  </si>
  <si>
    <t>OPEX</t>
    <phoneticPr fontId="9" type="noConversion"/>
  </si>
  <si>
    <t>CAPEX</t>
    <phoneticPr fontId="9" type="noConversion"/>
  </si>
  <si>
    <t>DEVEX</t>
    <phoneticPr fontId="9" type="noConversion"/>
  </si>
  <si>
    <t>Development cost</t>
  </si>
  <si>
    <t>기준</t>
    <phoneticPr fontId="9" type="noConversion"/>
  </si>
  <si>
    <t>기타</t>
    <phoneticPr fontId="9" type="noConversion"/>
  </si>
  <si>
    <r>
      <t>5</t>
    </r>
    <r>
      <rPr>
        <sz val="10"/>
        <rFont val="맑은 고딕"/>
        <family val="2"/>
        <charset val="129"/>
      </rPr>
      <t>년 선납비용</t>
    </r>
    <phoneticPr fontId="9" type="noConversion"/>
  </si>
  <si>
    <t>BOLT 3</t>
    <phoneticPr fontId="9" type="noConversion"/>
  </si>
  <si>
    <t>BOLT 2</t>
    <phoneticPr fontId="9" type="noConversion"/>
  </si>
  <si>
    <t>Input sheet for financial modelling purpose</t>
  </si>
  <si>
    <t>Project 1</t>
  </si>
  <si>
    <t>Project 2</t>
  </si>
  <si>
    <t>Project 3</t>
  </si>
  <si>
    <t>Project 4</t>
  </si>
  <si>
    <t>Project 5</t>
  </si>
  <si>
    <t>Project 6</t>
  </si>
  <si>
    <t>Project 7</t>
  </si>
  <si>
    <t>Project 8</t>
  </si>
  <si>
    <t>Project 9</t>
    <phoneticPr fontId="9" type="noConversion"/>
  </si>
  <si>
    <t>Project 10</t>
  </si>
  <si>
    <t>Project 11</t>
  </si>
  <si>
    <t>Project 12</t>
  </si>
  <si>
    <t>Project 13</t>
  </si>
  <si>
    <t>General inputs</t>
  </si>
  <si>
    <t>[Unit: KRW]</t>
  </si>
  <si>
    <t>Seller/developer name</t>
  </si>
  <si>
    <t>name</t>
  </si>
  <si>
    <t>Project name</t>
  </si>
  <si>
    <t>Country</t>
  </si>
  <si>
    <t>Please select --</t>
    <phoneticPr fontId="88" type="noConversion"/>
  </si>
  <si>
    <t>Korea</t>
    <phoneticPr fontId="88" type="noConversion"/>
  </si>
  <si>
    <t>Region</t>
    <phoneticPr fontId="88" type="noConversion"/>
  </si>
  <si>
    <t>Please specify the location of the plant</t>
  </si>
  <si>
    <t>Busan</t>
    <phoneticPr fontId="9" type="noConversion"/>
  </si>
  <si>
    <t>Chungcheongbuk-do</t>
    <phoneticPr fontId="9" type="noConversion"/>
  </si>
  <si>
    <t>Gyeonggi-do</t>
    <phoneticPr fontId="9" type="noConversion"/>
  </si>
  <si>
    <t>Incheon</t>
    <phoneticPr fontId="9" type="noConversion"/>
  </si>
  <si>
    <t>Gyeongsangnam-do</t>
    <phoneticPr fontId="9" type="noConversion"/>
  </si>
  <si>
    <t>Technology</t>
  </si>
  <si>
    <t>Please select --</t>
  </si>
  <si>
    <t>PV</t>
  </si>
  <si>
    <t>Project Status</t>
  </si>
  <si>
    <t>RtB</t>
    <phoneticPr fontId="9" type="noConversion"/>
  </si>
  <si>
    <t>-</t>
    <phoneticPr fontId="9" type="noConversion"/>
  </si>
  <si>
    <t>Transaction structure</t>
  </si>
  <si>
    <t>Please provide background on the deal</t>
  </si>
  <si>
    <t xml:space="preserve">ROOFTOP   </t>
    <phoneticPr fontId="9" type="noConversion"/>
  </si>
  <si>
    <t>Input source</t>
  </si>
  <si>
    <t xml:space="preserve">Please specify if this input list is based on internal assumptions or seller assumptions. </t>
  </si>
  <si>
    <t>Internal assumptions</t>
    <phoneticPr fontId="88" type="noConversion"/>
  </si>
  <si>
    <t>Currency</t>
  </si>
  <si>
    <t>Please select currency for financial modelling purposes --</t>
  </si>
  <si>
    <t>KRW</t>
    <phoneticPr fontId="88" type="noConversion"/>
  </si>
  <si>
    <t>RTB date</t>
  </si>
  <si>
    <t>date (day/month/year)</t>
  </si>
  <si>
    <t>Construction phase</t>
    <phoneticPr fontId="88" type="noConversion"/>
  </si>
  <si>
    <t>Months</t>
  </si>
  <si>
    <t>SOC date</t>
    <phoneticPr fontId="9" type="noConversion"/>
  </si>
  <si>
    <t>COD date</t>
  </si>
  <si>
    <t>date  (day/month/year)</t>
  </si>
  <si>
    <t>Asset Useful Life</t>
  </si>
  <si>
    <t>Default will be 20 years</t>
    <phoneticPr fontId="88" type="noConversion"/>
  </si>
  <si>
    <t>WTG / Panels number</t>
  </si>
  <si>
    <t>If PV in E9 please put N/A</t>
  </si>
  <si>
    <t>N/A</t>
    <phoneticPr fontId="88" type="noConversion"/>
  </si>
  <si>
    <t>WTG / Panels name</t>
  </si>
  <si>
    <t>Total Capacity DC</t>
  </si>
  <si>
    <t>MWp</t>
  </si>
  <si>
    <t>Total Capacity AC</t>
  </si>
  <si>
    <t>Mwac . If Wind in E9 please put N/A</t>
  </si>
  <si>
    <t>DC/AC ratio</t>
    <phoneticPr fontId="88" type="noConversion"/>
  </si>
  <si>
    <t>If Wind in E9 please put N/A</t>
  </si>
  <si>
    <t>Production</t>
  </si>
  <si>
    <t>Load Factor (After Curtailment)</t>
  </si>
  <si>
    <t>P50</t>
  </si>
  <si>
    <t>P75</t>
  </si>
  <si>
    <t>P90</t>
  </si>
  <si>
    <t>Number of Equivalent Hours (day)</t>
    <phoneticPr fontId="88" type="noConversion"/>
  </si>
  <si>
    <t>Hours</t>
  </si>
  <si>
    <t>MWh</t>
  </si>
  <si>
    <t>Specific Production</t>
  </si>
  <si>
    <t xml:space="preserve"> [kWh/kWp]</t>
  </si>
  <si>
    <t>Availability</t>
  </si>
  <si>
    <t>Months before degradation</t>
  </si>
  <si>
    <t>Start of degradation</t>
  </si>
  <si>
    <t>Degradation Factor</t>
    <phoneticPr fontId="88" type="noConversion"/>
  </si>
  <si>
    <t>Electricity losses</t>
  </si>
  <si>
    <t>Grid and BoS losses</t>
  </si>
  <si>
    <t>Other losses</t>
  </si>
  <si>
    <t>Opex - year 1</t>
  </si>
  <si>
    <t>Unit</t>
  </si>
  <si>
    <t>Cost</t>
  </si>
  <si>
    <t>O&amp;M</t>
    <phoneticPr fontId="88" type="noConversion"/>
  </si>
  <si>
    <t>Please select D60 --</t>
  </si>
  <si>
    <t>000/year</t>
  </si>
  <si>
    <t>Indexed?</t>
    <phoneticPr fontId="88" type="noConversion"/>
  </si>
  <si>
    <t>0 or 1</t>
  </si>
  <si>
    <t>Indexation reference date</t>
  </si>
  <si>
    <t>Default will be 2026</t>
    <phoneticPr fontId="9" type="noConversion"/>
  </si>
  <si>
    <t>Indexation %</t>
  </si>
  <si>
    <t>Please specify if it's CPI or other</t>
  </si>
  <si>
    <t>CPI</t>
  </si>
  <si>
    <t>Cost starting date</t>
  </si>
  <si>
    <t>Comments</t>
  </si>
  <si>
    <t>The total amount of O&amp;M is KRW 12.5 million/MW.
OR intends to proceed O&amp;M through an outsourced O&amp;M company.</t>
    <phoneticPr fontId="9" type="noConversion"/>
  </si>
  <si>
    <t>Indexed?</t>
  </si>
  <si>
    <t>Indexation reference date</t>
    <phoneticPr fontId="9" type="noConversion"/>
  </si>
  <si>
    <t>Security Services</t>
  </si>
  <si>
    <t>EUR</t>
  </si>
  <si>
    <t>Default will be 2023</t>
  </si>
  <si>
    <t>Included in O&amp;M cost</t>
    <phoneticPr fontId="88" type="noConversion"/>
  </si>
  <si>
    <t>MAS (accounting and other administrative not included AM)</t>
    <phoneticPr fontId="88" type="noConversion"/>
  </si>
  <si>
    <t>Calculated as KRW 2.6 Million/MW</t>
    <phoneticPr fontId="88" type="noConversion"/>
  </si>
  <si>
    <t>Energy Consumption</t>
    <phoneticPr fontId="88" type="noConversion"/>
  </si>
  <si>
    <t>% Revenue</t>
  </si>
  <si>
    <t>-</t>
    <phoneticPr fontId="88" type="noConversion"/>
  </si>
  <si>
    <t>Indexation %</t>
    <phoneticPr fontId="88" type="noConversion"/>
  </si>
  <si>
    <t>N/A</t>
  </si>
  <si>
    <t>Insurance</t>
    <phoneticPr fontId="88" type="noConversion"/>
  </si>
  <si>
    <t>Calculated as KRW 6 Million/MW</t>
    <phoneticPr fontId="88" type="noConversion"/>
  </si>
  <si>
    <t>Local tax payment</t>
  </si>
  <si>
    <t>Included in Contingency cost</t>
    <phoneticPr fontId="88" type="noConversion"/>
  </si>
  <si>
    <t>Land lease</t>
    <phoneticPr fontId="88" type="noConversion"/>
  </si>
  <si>
    <t>Hectares</t>
    <phoneticPr fontId="88" type="noConversion"/>
  </si>
  <si>
    <t>Other 1</t>
  </si>
  <si>
    <t>Other 2</t>
  </si>
  <si>
    <t>Calculated as KRW 3.9 Million/MW. Facility operation, On-site electricity charges, Maintenance and repair operating expenses(including inverters), Security Services are included.</t>
    <phoneticPr fontId="88" type="noConversion"/>
  </si>
  <si>
    <t>[excl. VAT 10%]</t>
    <phoneticPr fontId="9" type="noConversion"/>
  </si>
  <si>
    <t xml:space="preserve">Capex </t>
  </si>
  <si>
    <t>CAPEX TOTAL</t>
    <phoneticPr fontId="9" type="noConversion"/>
  </si>
  <si>
    <t>000/MWp</t>
  </si>
  <si>
    <t>Monthly distribution</t>
  </si>
  <si>
    <t>Month</t>
  </si>
  <si>
    <t>-50% at Signing, 40% at Pre-use inspection, 10% at COD.</t>
    <phoneticPr fontId="9" type="noConversion"/>
  </si>
  <si>
    <t>000</t>
  </si>
  <si>
    <t>\</t>
  </si>
  <si>
    <t>Grid Connection Cost</t>
    <phoneticPr fontId="88" type="noConversion"/>
  </si>
  <si>
    <t>no</t>
    <phoneticPr fontId="88" type="noConversion"/>
  </si>
  <si>
    <t>Development cost</t>
    <phoneticPr fontId="88" type="noConversion"/>
  </si>
  <si>
    <t>Other</t>
    <phoneticPr fontId="9" type="noConversion"/>
  </si>
  <si>
    <t>Other Development cost</t>
    <phoneticPr fontId="88" type="noConversion"/>
  </si>
  <si>
    <t>Other Capex</t>
  </si>
  <si>
    <t>Gangwon-do</t>
    <phoneticPr fontId="9" type="noConversion"/>
  </si>
  <si>
    <t>Gyeongsangbuk-do</t>
    <phoneticPr fontId="9" type="noConversion"/>
  </si>
  <si>
    <t>000/year</t>
    <phoneticPr fontId="9" type="noConversion"/>
  </si>
  <si>
    <r>
      <t>DG_BoltTaeyanggwang 3HO_</t>
    </r>
    <r>
      <rPr>
        <b/>
        <sz val="9"/>
        <color theme="1"/>
        <rFont val="Calibri"/>
        <family val="2"/>
      </rPr>
      <t>Changseong High Tech</t>
    </r>
    <r>
      <rPr>
        <sz val="9"/>
        <color theme="1"/>
        <rFont val="Calibri"/>
        <family val="2"/>
      </rPr>
      <t>_IRR</t>
    </r>
    <phoneticPr fontId="9" type="noConversion"/>
  </si>
  <si>
    <t>PPA price (KRW/MWh)</t>
    <phoneticPr fontId="23" type="noConversion"/>
  </si>
  <si>
    <t>All-in capex ( KRWm/MWp)</t>
    <phoneticPr fontId="23" type="noConversion"/>
  </si>
  <si>
    <t>Premium paid
(KRWm/MWp)</t>
    <phoneticPr fontId="23" type="noConversion"/>
  </si>
  <si>
    <t>Opex (KRWm/MWp)</t>
    <phoneticPr fontId="23" type="noConversion"/>
  </si>
  <si>
    <t>40,25</t>
    <phoneticPr fontId="23" type="noConversion"/>
  </si>
  <si>
    <r>
      <t>DG_BoltTaeyanggwang 3HO_</t>
    </r>
    <r>
      <rPr>
        <b/>
        <sz val="9"/>
        <color theme="1"/>
        <rFont val="Calibri"/>
        <family val="2"/>
      </rPr>
      <t>LSG</t>
    </r>
    <r>
      <rPr>
        <sz val="9"/>
        <color theme="1"/>
        <rFont val="Calibri"/>
        <family val="2"/>
      </rPr>
      <t>_IRR</t>
    </r>
    <phoneticPr fontId="9" type="noConversion"/>
  </si>
  <si>
    <r>
      <t>DG_BoltTaeyanggwang 3HO_</t>
    </r>
    <r>
      <rPr>
        <b/>
        <sz val="9"/>
        <color theme="1"/>
        <rFont val="Calibri"/>
        <family val="2"/>
      </rPr>
      <t>Hanseo Motors</t>
    </r>
    <r>
      <rPr>
        <sz val="9"/>
        <color theme="1"/>
        <rFont val="Calibri"/>
        <family val="2"/>
      </rPr>
      <t>_IRR</t>
    </r>
    <phoneticPr fontId="9" type="noConversion"/>
  </si>
  <si>
    <r>
      <t>DG_BoltTaeyanggwang 3HO_</t>
    </r>
    <r>
      <rPr>
        <b/>
        <sz val="9"/>
        <color theme="1"/>
        <rFont val="Calibri"/>
        <family val="2"/>
      </rPr>
      <t>Seunsteel Gyeongju</t>
    </r>
    <r>
      <rPr>
        <sz val="9"/>
        <color theme="1"/>
        <rFont val="Calibri"/>
        <family val="2"/>
      </rPr>
      <t>_IRR</t>
    </r>
    <phoneticPr fontId="9" type="noConversion"/>
  </si>
  <si>
    <r>
      <t>DG_BoltTaeyanggwang 3HO_</t>
    </r>
    <r>
      <rPr>
        <b/>
        <sz val="9"/>
        <color theme="1"/>
        <rFont val="Calibri"/>
        <family val="2"/>
      </rPr>
      <t>Oneel</t>
    </r>
    <r>
      <rPr>
        <sz val="9"/>
        <color theme="1"/>
        <rFont val="Calibri"/>
        <family val="2"/>
      </rPr>
      <t>_IRR</t>
    </r>
    <phoneticPr fontId="9" type="noConversion"/>
  </si>
  <si>
    <r>
      <t>DG_BoltTaeyanggwang 3HO_</t>
    </r>
    <r>
      <rPr>
        <b/>
        <sz val="9"/>
        <color theme="1"/>
        <rFont val="Calibri"/>
        <family val="2"/>
      </rPr>
      <t>E-Tech</t>
    </r>
    <r>
      <rPr>
        <sz val="9"/>
        <color theme="1"/>
        <rFont val="Calibri"/>
        <family val="2"/>
      </rPr>
      <t>_IRR</t>
    </r>
    <phoneticPr fontId="9" type="noConversion"/>
  </si>
  <si>
    <r>
      <t>DG_BoltTaeyanggwang 3HO_</t>
    </r>
    <r>
      <rPr>
        <b/>
        <sz val="9"/>
        <color theme="1"/>
        <rFont val="Calibri"/>
        <family val="2"/>
      </rPr>
      <t>Daechon Headquarters</t>
    </r>
    <r>
      <rPr>
        <sz val="9"/>
        <color theme="1"/>
        <rFont val="Calibri"/>
        <family val="2"/>
      </rPr>
      <t>_IRR</t>
    </r>
    <phoneticPr fontId="9" type="noConversion"/>
  </si>
  <si>
    <r>
      <t>DG_BoltTaeyanggwang 3HO_</t>
    </r>
    <r>
      <rPr>
        <b/>
        <sz val="9"/>
        <color theme="1"/>
        <rFont val="Calibri"/>
        <family val="2"/>
      </rPr>
      <t>Daechon Busan</t>
    </r>
    <r>
      <rPr>
        <sz val="9"/>
        <color theme="1"/>
        <rFont val="Calibri"/>
        <family val="2"/>
      </rPr>
      <t>_IRR</t>
    </r>
    <phoneticPr fontId="9" type="noConversion"/>
  </si>
  <si>
    <r>
      <t>DG_BoltTaeyanggwang 7HO_</t>
    </r>
    <r>
      <rPr>
        <b/>
        <sz val="9"/>
        <color theme="1"/>
        <rFont val="Calibri"/>
        <family val="2"/>
      </rPr>
      <t>Eco Insutech</t>
    </r>
    <r>
      <rPr>
        <sz val="9"/>
        <color theme="1"/>
        <rFont val="Calibri"/>
        <family val="2"/>
      </rPr>
      <t>_IRR</t>
    </r>
    <phoneticPr fontId="9" type="noConversion"/>
  </si>
  <si>
    <r>
      <t>DG_BoltTaeyanggwang 7HO_</t>
    </r>
    <r>
      <rPr>
        <b/>
        <sz val="9"/>
        <color theme="1"/>
        <rFont val="Calibri"/>
        <family val="2"/>
      </rPr>
      <t>Younggwang Industry</t>
    </r>
    <r>
      <rPr>
        <sz val="9"/>
        <color theme="1"/>
        <rFont val="Calibri"/>
        <family val="2"/>
      </rPr>
      <t>_IRR</t>
    </r>
    <phoneticPr fontId="9" type="noConversion"/>
  </si>
  <si>
    <r>
      <t>DG_BoltTaeyanggwang 7HO_</t>
    </r>
    <r>
      <rPr>
        <b/>
        <sz val="9"/>
        <color theme="1"/>
        <rFont val="Calibri"/>
        <family val="2"/>
      </rPr>
      <t>MPM Trade</t>
    </r>
    <r>
      <rPr>
        <sz val="9"/>
        <color theme="1"/>
        <rFont val="Calibri"/>
        <family val="2"/>
      </rPr>
      <t>_IRR</t>
    </r>
    <phoneticPr fontId="9" type="noConversion"/>
  </si>
  <si>
    <t>Category</t>
    <phoneticPr fontId="9" type="noConversion"/>
  </si>
  <si>
    <r>
      <t>Project</t>
    </r>
    <r>
      <rPr>
        <sz val="12"/>
        <color rgb="FF000000"/>
        <rFont val="Open Sans Light"/>
        <family val="2"/>
      </rPr>
      <t>​</t>
    </r>
    <r>
      <rPr>
        <b/>
        <sz val="12"/>
        <color rgb="FFFFFFFF"/>
        <rFont val="Open Sans Light"/>
        <family val="2"/>
      </rPr>
      <t xml:space="preserve"> Name</t>
    </r>
    <phoneticPr fontId="9" type="noConversion"/>
  </si>
  <si>
    <t>Region</t>
    <phoneticPr fontId="9" type="noConversion"/>
  </si>
  <si>
    <t>Contract Capacity    (kWp)</t>
    <phoneticPr fontId="9" type="noConversion"/>
  </si>
  <si>
    <t>Specific Production(kWh/year)</t>
    <phoneticPr fontId="9" type="noConversion"/>
  </si>
  <si>
    <t>PPA    (KRW/kwh)</t>
    <phoneticPr fontId="9" type="noConversion"/>
  </si>
  <si>
    <t>Offtaker</t>
    <phoneticPr fontId="9" type="noConversion"/>
  </si>
  <si>
    <t>Status</t>
    <phoneticPr fontId="9" type="noConversion"/>
  </si>
  <si>
    <t>NEH</t>
    <phoneticPr fontId="9" type="noConversion"/>
  </si>
  <si>
    <t>KRW 189/kWh</t>
    <phoneticPr fontId="9" type="noConversion"/>
  </si>
  <si>
    <t>TOTAL​</t>
  </si>
  <si>
    <t>Specific Production(MWh/year)</t>
    <phoneticPr fontId="9" type="noConversion"/>
  </si>
  <si>
    <t>Busan</t>
  </si>
  <si>
    <t>Sub TOTAL</t>
    <phoneticPr fontId="9" type="noConversion"/>
  </si>
  <si>
    <t>Gyeonggi-do</t>
  </si>
  <si>
    <r>
      <t>Project</t>
    </r>
    <r>
      <rPr>
        <sz val="12"/>
        <color rgb="FF000000"/>
        <rFont val="Open Sans Light"/>
        <family val="2"/>
      </rPr>
      <t>​</t>
    </r>
  </si>
  <si>
    <r>
      <t>Capacity (kWp)</t>
    </r>
    <r>
      <rPr>
        <sz val="12"/>
        <color rgb="FF000000"/>
        <rFont val="Open Sans Light"/>
        <family val="2"/>
      </rPr>
      <t>​</t>
    </r>
  </si>
  <si>
    <r>
      <t>Rtb Date</t>
    </r>
    <r>
      <rPr>
        <sz val="12"/>
        <color rgb="FF000000"/>
        <rFont val="Open Sans Light"/>
        <family val="2"/>
      </rPr>
      <t>​</t>
    </r>
  </si>
  <si>
    <t>T. CAPEX Net Amount</t>
  </si>
  <si>
    <r>
      <t>T. CAPEX Gross Amount (Incl. VAT 10% )</t>
    </r>
    <r>
      <rPr>
        <sz val="10"/>
        <color rgb="FF000000"/>
        <rFont val="Open Sans Light"/>
        <family val="2"/>
      </rPr>
      <t>​</t>
    </r>
  </si>
  <si>
    <r>
      <t>EPC Contract Signing</t>
    </r>
    <r>
      <rPr>
        <sz val="12"/>
        <color rgb="FF000000"/>
        <rFont val="Open Sans Light"/>
        <family val="2"/>
      </rPr>
      <t>​</t>
    </r>
  </si>
  <si>
    <r>
      <t xml:space="preserve">Pre-use Inspection </t>
    </r>
    <r>
      <rPr>
        <sz val="12"/>
        <color rgb="FF000000"/>
        <rFont val="Open Sans Light"/>
        <family val="2"/>
      </rPr>
      <t>​</t>
    </r>
  </si>
  <si>
    <r>
      <t>COD</t>
    </r>
    <r>
      <rPr>
        <sz val="12"/>
        <color rgb="FF000000"/>
        <rFont val="Open Sans Light"/>
        <family val="2"/>
      </rPr>
      <t>​</t>
    </r>
    <r>
      <rPr>
        <b/>
        <sz val="12"/>
        <color rgb="FFFFFFFF"/>
        <rFont val="Open Sans Light"/>
        <family val="2"/>
      </rPr>
      <t xml:space="preserve"> </t>
    </r>
  </si>
  <si>
    <r>
      <t>KRWm</t>
    </r>
    <r>
      <rPr>
        <sz val="10"/>
        <color rgb="FF000000"/>
        <rFont val="Open Sans Light"/>
        <family val="2"/>
      </rPr>
      <t>​</t>
    </r>
  </si>
  <si>
    <t>KRWm</t>
  </si>
  <si>
    <t>Phase</t>
    <phoneticPr fontId="9" type="noConversion"/>
  </si>
  <si>
    <t>SPV</t>
  </si>
  <si>
    <t>No.</t>
  </si>
  <si>
    <t>PJT Name</t>
  </si>
  <si>
    <t>Capacity</t>
  </si>
  <si>
    <t>Prepayment(1-5yrs)</t>
    <phoneticPr fontId="9" type="noConversion"/>
  </si>
  <si>
    <t>Annual Payment(6-20 yrs)</t>
    <phoneticPr fontId="9" type="noConversion"/>
  </si>
  <si>
    <t>(kWp)</t>
  </si>
  <si>
    <t>Basis</t>
    <phoneticPr fontId="9" type="noConversion"/>
  </si>
  <si>
    <t>(KRW/kW)</t>
  </si>
  <si>
    <t>KRW</t>
  </si>
  <si>
    <t>c.EUR</t>
  </si>
  <si>
    <t>BOLT#3</t>
    <phoneticPr fontId="23" type="noConversion"/>
  </si>
  <si>
    <t>BOLT#7</t>
    <phoneticPr fontId="23" type="noConversion"/>
  </si>
  <si>
    <t xml:space="preserve">Phase </t>
  </si>
  <si>
    <t>Basis</t>
  </si>
  <si>
    <t>Lease Fee</t>
  </si>
  <si>
    <t>1-5 yrs</t>
  </si>
  <si>
    <t>6-20 yrs</t>
  </si>
  <si>
    <t>Remark</t>
    <phoneticPr fontId="9" type="noConversion"/>
  </si>
  <si>
    <t>BOLT#3</t>
    <phoneticPr fontId="9" type="noConversion"/>
  </si>
  <si>
    <t>Prepayment for 5 years</t>
  </si>
  <si>
    <t>Annual lease fee</t>
  </si>
  <si>
    <t>TOTAL</t>
  </si>
  <si>
    <t>BOLT#7</t>
    <phoneticPr fontId="9" type="noConversion"/>
  </si>
  <si>
    <t>Prepayment for 7 years</t>
    <phoneticPr fontId="9" type="noConversion"/>
  </si>
  <si>
    <r>
      <t>7</t>
    </r>
    <r>
      <rPr>
        <sz val="9"/>
        <rFont val="맑은 고딕"/>
        <family val="2"/>
        <charset val="129"/>
      </rPr>
      <t>년 선납</t>
    </r>
    <phoneticPr fontId="9" type="noConversion"/>
  </si>
  <si>
    <t>BOLT#2</t>
  </si>
  <si>
    <t>Jinyoung Metal Factory 2</t>
  </si>
  <si>
    <t>Kairos</t>
  </si>
  <si>
    <t>Sambo Green Filter</t>
  </si>
  <si>
    <t>Geumjeong Techno</t>
  </si>
  <si>
    <t>Shincheon Food</t>
  </si>
  <si>
    <t>Giga Steel</t>
  </si>
  <si>
    <t>Sub Total</t>
  </si>
  <si>
    <t>Jinyoung Metal Factory 1</t>
  </si>
  <si>
    <t>Joongang Special Paper</t>
  </si>
  <si>
    <t>Fusei Menix 1&amp;2</t>
  </si>
  <si>
    <t>Mijin Precision</t>
  </si>
  <si>
    <t>Unitech Korea</t>
  </si>
  <si>
    <t>Wolchool Metal</t>
  </si>
  <si>
    <r>
      <t xml:space="preserve">[2025.11.03 </t>
    </r>
    <r>
      <rPr>
        <sz val="10"/>
        <rFont val="맑은 고딕"/>
        <family val="2"/>
        <charset val="129"/>
      </rPr>
      <t>현재</t>
    </r>
    <r>
      <rPr>
        <sz val="10"/>
        <rFont val="Arial"/>
        <family val="2"/>
      </rPr>
      <t>]</t>
    </r>
    <phoneticPr fontId="9" type="noConversion"/>
  </si>
  <si>
    <t>Project</t>
    <phoneticPr fontId="23" type="noConversion"/>
  </si>
  <si>
    <t>선로비 Total</t>
    <phoneticPr fontId="23" type="noConversion"/>
  </si>
  <si>
    <t>VAT 제외</t>
    <phoneticPr fontId="23" type="noConversion"/>
  </si>
  <si>
    <t>용량</t>
    <phoneticPr fontId="23" type="noConversion"/>
  </si>
  <si>
    <t>구분</t>
    <phoneticPr fontId="23" type="noConversion"/>
  </si>
  <si>
    <t>금액</t>
    <phoneticPr fontId="23" type="noConversion"/>
  </si>
  <si>
    <t>환율</t>
    <phoneticPr fontId="9" type="noConversion"/>
  </si>
  <si>
    <t>두리산업</t>
    <phoneticPr fontId="23" type="noConversion"/>
  </si>
  <si>
    <t>380V</t>
  </si>
  <si>
    <t>삼보그린필터</t>
    <phoneticPr fontId="23" type="noConversion"/>
  </si>
  <si>
    <t>신천식품</t>
    <phoneticPr fontId="23" type="noConversion"/>
  </si>
  <si>
    <t>잔영금속1</t>
    <phoneticPr fontId="23" type="noConversion"/>
  </si>
  <si>
    <t>22.7MV</t>
  </si>
  <si>
    <t>진영금속2</t>
    <phoneticPr fontId="23" type="noConversion"/>
  </si>
  <si>
    <t>카이로스</t>
    <phoneticPr fontId="23" type="noConversion"/>
  </si>
  <si>
    <t>500kWp 미만</t>
    <phoneticPr fontId="23" type="noConversion"/>
  </si>
  <si>
    <t>평균</t>
    <phoneticPr fontId="23" type="noConversion"/>
  </si>
  <si>
    <t>500kWp 이상</t>
    <phoneticPr fontId="23" type="noConversion"/>
  </si>
  <si>
    <t>Concept</t>
  </si>
  <si>
    <t>POSN2-1HO</t>
  </si>
  <si>
    <t>POSN2-3HO</t>
  </si>
  <si>
    <t>POSN2-4HO</t>
  </si>
  <si>
    <t>POSN2-8HO</t>
  </si>
  <si>
    <t>Total</t>
  </si>
  <si>
    <t>Total with VAT</t>
  </si>
  <si>
    <t>(m KRW/MW)</t>
  </si>
  <si>
    <t>(m KRW)</t>
  </si>
  <si>
    <t>m KRW / MWp</t>
  </si>
  <si>
    <t>Grid connection</t>
    <phoneticPr fontId="9" type="noConversion"/>
  </si>
  <si>
    <t>Structure inspection costs</t>
    <phoneticPr fontId="9" type="noConversion"/>
  </si>
  <si>
    <t>Total Capex</t>
  </si>
  <si>
    <t>(k€/MW)</t>
  </si>
  <si>
    <t>(M€)</t>
  </si>
  <si>
    <t>k EUR / MWp</t>
  </si>
  <si>
    <t>Structure inspection costs</t>
  </si>
  <si>
    <t>Total with VAT</t>
    <phoneticPr fontId="9" type="noConversion"/>
  </si>
  <si>
    <t>Inputs &amp; Results summary - Bolt #3 Portfolio</t>
    <phoneticPr fontId="9" type="noConversion"/>
  </si>
  <si>
    <t>Scenario Description</t>
    <phoneticPr fontId="9" type="noConversion"/>
  </si>
  <si>
    <t xml:space="preserve"> REC Fixed price</t>
    <phoneticPr fontId="9" type="noConversion"/>
  </si>
  <si>
    <t>per MW dc</t>
    <phoneticPr fontId="9" type="noConversion"/>
  </si>
  <si>
    <t>KRWm/dc</t>
    <phoneticPr fontId="9" type="noConversion"/>
  </si>
  <si>
    <t>KRWm/MWdc</t>
    <phoneticPr fontId="9" type="noConversion"/>
  </si>
  <si>
    <t>Inputs &amp; Results summary - Bolt #7 Portfolio</t>
    <phoneticPr fontId="9" type="noConversion"/>
  </si>
  <si>
    <t>Phase 1</t>
    <phoneticPr fontId="9" type="noConversion"/>
  </si>
  <si>
    <t>Phase 2</t>
    <phoneticPr fontId="9" type="noConversion"/>
  </si>
  <si>
    <r>
      <t>DG_BoltTaeyanggwang 4HO_</t>
    </r>
    <r>
      <rPr>
        <b/>
        <sz val="9"/>
        <color theme="1"/>
        <rFont val="Calibri"/>
        <family val="2"/>
      </rPr>
      <t>Daeseong Fruit Industry</t>
    </r>
    <r>
      <rPr>
        <sz val="9"/>
        <color theme="1"/>
        <rFont val="Calibri"/>
        <family val="2"/>
      </rPr>
      <t>_IRR</t>
    </r>
    <phoneticPr fontId="9" type="noConversion"/>
  </si>
  <si>
    <r>
      <t>DG_BoltTaeyanggwang 4HO_</t>
    </r>
    <r>
      <rPr>
        <b/>
        <sz val="9"/>
        <color theme="1"/>
        <rFont val="Calibri"/>
        <family val="2"/>
      </rPr>
      <t>Ilshin Industry(HQ)</t>
    </r>
    <r>
      <rPr>
        <sz val="9"/>
        <color theme="1"/>
        <rFont val="Calibri"/>
        <family val="2"/>
      </rPr>
      <t>_IRR</t>
    </r>
    <phoneticPr fontId="9" type="noConversion"/>
  </si>
  <si>
    <r>
      <t>DG_BoltTaeyanggwang 4HO_</t>
    </r>
    <r>
      <rPr>
        <b/>
        <sz val="9"/>
        <color theme="1"/>
        <rFont val="Calibri"/>
        <family val="2"/>
      </rPr>
      <t>Ilshin Industry(Branch)</t>
    </r>
    <r>
      <rPr>
        <sz val="9"/>
        <color theme="1"/>
        <rFont val="Calibri"/>
        <family val="2"/>
      </rPr>
      <t>_IRR</t>
    </r>
    <phoneticPr fontId="9" type="noConversion"/>
  </si>
  <si>
    <r>
      <t>DG_BoltTaeyanggwang 4HO_</t>
    </r>
    <r>
      <rPr>
        <b/>
        <sz val="9"/>
        <color theme="1"/>
        <rFont val="Calibri"/>
        <family val="2"/>
      </rPr>
      <t>Ilsan Metal</t>
    </r>
    <r>
      <rPr>
        <sz val="9"/>
        <color theme="1"/>
        <rFont val="Calibri"/>
        <family val="2"/>
      </rPr>
      <t>_IRR</t>
    </r>
    <phoneticPr fontId="9" type="noConversion"/>
  </si>
  <si>
    <r>
      <t>DG_BoltTaeyanggwang 4HO_</t>
    </r>
    <r>
      <rPr>
        <b/>
        <sz val="9"/>
        <color theme="1"/>
        <rFont val="Calibri"/>
        <family val="2"/>
      </rPr>
      <t>LC-Tech</t>
    </r>
    <r>
      <rPr>
        <sz val="9"/>
        <color theme="1"/>
        <rFont val="Calibri"/>
        <family val="2"/>
      </rPr>
      <t>_IRR</t>
    </r>
    <phoneticPr fontId="9" type="noConversion"/>
  </si>
  <si>
    <t>Project</t>
    <phoneticPr fontId="9" type="noConversion"/>
  </si>
  <si>
    <t>지급완료</t>
    <phoneticPr fontId="9" type="noConversion"/>
  </si>
  <si>
    <t>Drop 지급액</t>
    <phoneticPr fontId="9" type="noConversion"/>
  </si>
  <si>
    <t>Milestone 1</t>
    <phoneticPr fontId="9" type="noConversion"/>
  </si>
  <si>
    <t>Milestone 2</t>
  </si>
  <si>
    <t>지급금액</t>
    <phoneticPr fontId="9" type="noConversion"/>
  </si>
  <si>
    <t>차액</t>
    <phoneticPr fontId="9" type="noConversion"/>
  </si>
  <si>
    <t>Bolt #2</t>
    <phoneticPr fontId="9" type="noConversion"/>
  </si>
  <si>
    <t>Jinyoung Metal Factory_1</t>
  </si>
  <si>
    <t>Jinyoung Metal Factory_2(Drop)</t>
    <phoneticPr fontId="9" type="noConversion"/>
  </si>
  <si>
    <t>Epyeonan nursing home(Drop)</t>
  </si>
  <si>
    <t>Fusei Menix 1 &amp; 2</t>
  </si>
  <si>
    <t>Giga steel</t>
  </si>
  <si>
    <t>Bolt #3</t>
    <phoneticPr fontId="9" type="noConversion"/>
  </si>
  <si>
    <t>Seun Steel Gyeongju</t>
  </si>
  <si>
    <t>Oneel</t>
  </si>
  <si>
    <t>LSG</t>
  </si>
  <si>
    <t>Hanseo Motors</t>
  </si>
  <si>
    <t>Daechon Headquarters</t>
  </si>
  <si>
    <t>Changseong High Tech</t>
  </si>
  <si>
    <t>Daechon Busan</t>
  </si>
  <si>
    <t>E-Tech</t>
  </si>
  <si>
    <t>Bolt #4</t>
    <phoneticPr fontId="9" type="noConversion"/>
  </si>
  <si>
    <t>RMK</t>
  </si>
  <si>
    <t>Daesung Fruit Industry</t>
  </si>
  <si>
    <t>Ilsan Metal</t>
  </si>
  <si>
    <t>Ilshin Industry(HQ)</t>
  </si>
  <si>
    <t>LC-Tech</t>
  </si>
  <si>
    <t>Bolt #6</t>
    <phoneticPr fontId="9" type="noConversion"/>
  </si>
  <si>
    <t>Esun</t>
  </si>
  <si>
    <t>Sejin SMC(Drop)</t>
    <phoneticPr fontId="9" type="noConversion"/>
  </si>
  <si>
    <t>Seoyong(Drop)</t>
    <phoneticPr fontId="9" type="noConversion"/>
  </si>
  <si>
    <t>Cosmo chemical</t>
  </si>
  <si>
    <t>Bolt #7</t>
    <phoneticPr fontId="9" type="noConversion"/>
  </si>
  <si>
    <r>
      <t>Ajin P&amp;S(</t>
    </r>
    <r>
      <rPr>
        <sz val="10"/>
        <rFont val="맑은 고딕"/>
        <family val="2"/>
        <charset val="129"/>
      </rPr>
      <t>개인사업자)</t>
    </r>
    <phoneticPr fontId="9" type="noConversion"/>
  </si>
  <si>
    <r>
      <t>Myunghyun Tech 1(</t>
    </r>
    <r>
      <rPr>
        <sz val="10"/>
        <rFont val="맑은 고딕"/>
        <family val="2"/>
        <charset val="129"/>
      </rPr>
      <t>개인사업자</t>
    </r>
    <r>
      <rPr>
        <sz val="10"/>
        <rFont val="Calibri"/>
        <family val="2"/>
      </rPr>
      <t>)</t>
    </r>
    <phoneticPr fontId="9" type="noConversion"/>
  </si>
  <si>
    <r>
      <t>Myunghyun Tech 2(</t>
    </r>
    <r>
      <rPr>
        <sz val="10"/>
        <rFont val="맑은 고딕"/>
        <family val="2"/>
        <charset val="129"/>
      </rPr>
      <t>개인사업자</t>
    </r>
    <r>
      <rPr>
        <sz val="10"/>
        <rFont val="Calibri"/>
        <family val="2"/>
      </rPr>
      <t>)</t>
    </r>
    <phoneticPr fontId="9" type="noConversion"/>
  </si>
  <si>
    <r>
      <t>Sehyun Chemical(</t>
    </r>
    <r>
      <rPr>
        <sz val="10"/>
        <rFont val="맑은 고딕"/>
        <family val="2"/>
        <charset val="129"/>
      </rPr>
      <t>개인사업자</t>
    </r>
    <r>
      <rPr>
        <sz val="10"/>
        <rFont val="Calibri"/>
        <family val="2"/>
      </rPr>
      <t>)</t>
    </r>
    <phoneticPr fontId="9" type="noConversion"/>
  </si>
  <si>
    <t>Bolt#4</t>
    <phoneticPr fontId="9" type="noConversion"/>
  </si>
  <si>
    <t>현 잔액</t>
    <phoneticPr fontId="9" type="noConversion"/>
  </si>
  <si>
    <t>Milestone 1</t>
  </si>
  <si>
    <t>비고</t>
    <phoneticPr fontId="9" type="noConversion"/>
  </si>
  <si>
    <t>검토</t>
    <phoneticPr fontId="9" type="noConversion"/>
  </si>
  <si>
    <r>
      <t xml:space="preserve">Milestone 1 </t>
    </r>
    <r>
      <rPr>
        <sz val="10"/>
        <rFont val="맑은 고딕"/>
        <family val="2"/>
        <charset val="129"/>
      </rPr>
      <t>은 2호에서 지급 완료</t>
    </r>
    <phoneticPr fontId="9" type="noConversion"/>
  </si>
  <si>
    <t>임대차 취소</t>
    <phoneticPr fontId="9" type="noConversion"/>
  </si>
  <si>
    <t>계약 미뤄짐</t>
    <phoneticPr fontId="9" type="noConversion"/>
  </si>
  <si>
    <t>계약서 금액음 228kW</t>
    <phoneticPr fontId="9" type="noConversion"/>
  </si>
  <si>
    <t>계약서 금액음 241kW</t>
    <phoneticPr fontId="9" type="noConversion"/>
  </si>
  <si>
    <t>에너지플랜 요청금액</t>
    <phoneticPr fontId="9" type="noConversion"/>
  </si>
  <si>
    <t>Bolt#2</t>
    <phoneticPr fontId="9" type="noConversion"/>
  </si>
  <si>
    <t>대보에너지솔루션 현장실사 검토서</t>
    <phoneticPr fontId="9" type="noConversion"/>
  </si>
  <si>
    <t>Drop Project</t>
    <phoneticPr fontId="9" type="noConversion"/>
  </si>
  <si>
    <t>Mijin Precision(Drop)</t>
    <phoneticPr fontId="9" type="noConversion"/>
  </si>
  <si>
    <t>금일 지급분</t>
    <phoneticPr fontId="9" type="noConversion"/>
  </si>
  <si>
    <t>DAP 보류</t>
    <phoneticPr fontId="9" type="noConversion"/>
  </si>
  <si>
    <r>
      <t>Drop</t>
    </r>
    <r>
      <rPr>
        <sz val="10"/>
        <rFont val="맑은 고딕"/>
        <family val="2"/>
        <charset val="129"/>
      </rPr>
      <t>에따른 상계 금액</t>
    </r>
    <phoneticPr fontId="9" type="noConversion"/>
  </si>
  <si>
    <t>상계 반영금액</t>
    <phoneticPr fontId="9" type="noConversion"/>
  </si>
  <si>
    <r>
      <t xml:space="preserve">Bolt#2 </t>
    </r>
    <r>
      <rPr>
        <sz val="10"/>
        <rFont val="맑은 고딕"/>
        <family val="2"/>
        <charset val="129"/>
      </rPr>
      <t>현 선로비 요청액</t>
    </r>
    <phoneticPr fontId="9" type="noConversion"/>
  </si>
  <si>
    <r>
      <t>2</t>
    </r>
    <r>
      <rPr>
        <sz val="10"/>
        <rFont val="맑은 고딕"/>
        <family val="2"/>
        <charset val="129"/>
      </rPr>
      <t>호에</t>
    </r>
    <r>
      <rPr>
        <sz val="10"/>
        <rFont val="Calibri"/>
        <family val="2"/>
      </rPr>
      <t xml:space="preserve"> 2.3</t>
    </r>
    <r>
      <rPr>
        <sz val="10"/>
        <rFont val="맑은 고딕"/>
        <family val="2"/>
        <charset val="129"/>
      </rPr>
      <t>억</t>
    </r>
    <r>
      <rPr>
        <sz val="10"/>
        <rFont val="Calibri"/>
        <family val="2"/>
      </rPr>
      <t xml:space="preserve"> </t>
    </r>
    <r>
      <rPr>
        <sz val="10"/>
        <rFont val="맑은 고딕"/>
        <family val="2"/>
        <charset val="129"/>
      </rPr>
      <t xml:space="preserve">송금 - </t>
    </r>
    <r>
      <rPr>
        <sz val="10"/>
        <rFont val="Calibri"/>
        <family val="2"/>
      </rPr>
      <t>from 7ho</t>
    </r>
    <phoneticPr fontId="9" type="noConversion"/>
  </si>
  <si>
    <t>기가스틸 표준시설부담금</t>
    <phoneticPr fontId="9" type="noConversion"/>
  </si>
  <si>
    <r>
      <t>4</t>
    </r>
    <r>
      <rPr>
        <sz val="10"/>
        <rFont val="맑은 고딕"/>
        <family val="2"/>
        <charset val="129"/>
      </rPr>
      <t>호에 3.65억 송금</t>
    </r>
    <r>
      <rPr>
        <sz val="10"/>
        <rFont val="Calibri"/>
        <family val="2"/>
      </rPr>
      <t xml:space="preserve"> - 6</t>
    </r>
    <r>
      <rPr>
        <sz val="10"/>
        <rFont val="맑은 고딕"/>
        <family val="2"/>
        <charset val="129"/>
      </rPr>
      <t>ho</t>
    </r>
    <phoneticPr fontId="9" type="noConversion"/>
  </si>
  <si>
    <t>필요 자금</t>
    <phoneticPr fontId="9" type="noConversion"/>
  </si>
  <si>
    <t>우리</t>
  </si>
  <si>
    <t>보험료 필요자금</t>
    <phoneticPr fontId="9" type="noConversion"/>
  </si>
  <si>
    <t>감안한 잔액</t>
    <phoneticPr fontId="9" type="noConversion"/>
  </si>
  <si>
    <t>볼트태양광 1호 잔액</t>
    <phoneticPr fontId="9" type="noConversion"/>
  </si>
  <si>
    <t>다른 SPV로 이체 할 수 없음. 가시 1,2 5차 지급 분이 7억임.</t>
    <phoneticPr fontId="9" type="noConversion"/>
  </si>
  <si>
    <t>볼트태양광 2호 잔액</t>
  </si>
  <si>
    <t>볼트태양광 3호 잔액</t>
  </si>
  <si>
    <t>대천부산 선로비 113백만원 납입 예상</t>
    <phoneticPr fontId="9" type="noConversion"/>
  </si>
  <si>
    <t>볼트태양광 4호 잔액</t>
  </si>
  <si>
    <t>볼트태양광 5호 잔액</t>
  </si>
  <si>
    <t>볼트태양광 6호 잔액</t>
  </si>
  <si>
    <r>
      <t>5</t>
    </r>
    <r>
      <rPr>
        <sz val="10"/>
        <rFont val="맑은 고딕"/>
        <family val="2"/>
        <charset val="129"/>
      </rPr>
      <t>억원 사용 가능</t>
    </r>
    <phoneticPr fontId="9" type="noConversion"/>
  </si>
  <si>
    <t>볼트태양광 7호 잔액</t>
  </si>
  <si>
    <t>그린볼트에서 청구액(DD)</t>
    <phoneticPr fontId="9" type="noConversion"/>
  </si>
  <si>
    <t>볼트태양광 4호 Milestone1 (싸인 완료)</t>
    <phoneticPr fontId="9" type="noConversion"/>
  </si>
  <si>
    <t>볼트태양광 2호 CAPEX + 임대료 선납</t>
    <phoneticPr fontId="9" type="noConversion"/>
  </si>
  <si>
    <r>
      <t xml:space="preserve">" -----&gt;&gt;&gt;&gt; </t>
    </r>
    <r>
      <rPr>
        <sz val="10"/>
        <rFont val="맑은 고딕"/>
        <family val="2"/>
        <charset val="129"/>
      </rPr>
      <t xml:space="preserve">현재 이전 </t>
    </r>
    <r>
      <rPr>
        <sz val="10"/>
        <rFont val="Calibri"/>
        <family val="2"/>
      </rPr>
      <t>D</t>
    </r>
    <r>
      <rPr>
        <sz val="10"/>
        <rFont val="맑은 고딕"/>
        <family val="2"/>
        <charset val="129"/>
      </rPr>
      <t>EVEX Aprroval 찾아서 미 신청 분 확인이 필요한 상황이며 SPV간 이체로 인해 미신청분이 지급된 경우가 많아 다음주 중으로 정리 필요 함.</t>
    </r>
    <phoneticPr fontId="9" type="noConversion"/>
  </si>
  <si>
    <t>DEVEX/MW</t>
    <phoneticPr fontId="9" type="noConversion"/>
  </si>
  <si>
    <t>년 발전량</t>
    <phoneticPr fontId="9" type="noConversion"/>
  </si>
  <si>
    <r>
      <t xml:space="preserve">RPA </t>
    </r>
    <r>
      <rPr>
        <sz val="10"/>
        <rFont val="맑은 고딕"/>
        <family val="2"/>
        <charset val="129"/>
      </rPr>
      <t>단가</t>
    </r>
    <phoneticPr fontId="9" type="noConversion"/>
  </si>
  <si>
    <t>효율 감안</t>
    <phoneticPr fontId="9" type="noConversion"/>
  </si>
  <si>
    <t>년 매출액</t>
    <phoneticPr fontId="9" type="noConversion"/>
  </si>
  <si>
    <t>Ilshin Industry(Branch)(Drop)</t>
    <phoneticPr fontId="9" type="noConversion"/>
  </si>
  <si>
    <t>Lijin Factory 1</t>
    <phoneticPr fontId="9" type="noConversion"/>
  </si>
  <si>
    <t>Lijin Factory 2</t>
    <phoneticPr fontId="9" type="noConversion"/>
  </si>
  <si>
    <t>Esun(Drop_Tentative)</t>
    <phoneticPr fontId="9" type="noConversion"/>
  </si>
  <si>
    <t>Eco Inshutech(Drop_Tentative)</t>
    <phoneticPr fontId="9" type="noConversion"/>
  </si>
  <si>
    <t>Younggwang Industry</t>
  </si>
  <si>
    <t>BNB Composite(Drop)</t>
  </si>
  <si>
    <t>MPM Trade</t>
  </si>
  <si>
    <r>
      <t>Ajin P&amp;S(</t>
    </r>
    <r>
      <rPr>
        <sz val="10"/>
        <rFont val="맑은 고딕"/>
        <family val="2"/>
        <charset val="129"/>
      </rPr>
      <t>개인사업자)</t>
    </r>
    <r>
      <rPr>
        <sz val="10"/>
        <rFont val="Calibri"/>
        <family val="2"/>
      </rPr>
      <t>(Drop_Tentative)</t>
    </r>
    <phoneticPr fontId="9" type="noConversion"/>
  </si>
  <si>
    <t>TBC</t>
    <phoneticPr fontId="9" type="noConversion"/>
  </si>
  <si>
    <r>
      <t>Myunghyun Tech 1(</t>
    </r>
    <r>
      <rPr>
        <sz val="10"/>
        <rFont val="맑은 고딕"/>
        <family val="2"/>
        <charset val="129"/>
      </rPr>
      <t>개인사업자</t>
    </r>
    <r>
      <rPr>
        <sz val="10"/>
        <rFont val="Calibri"/>
        <family val="2"/>
      </rPr>
      <t>)(Drop_Tentative)</t>
    </r>
    <phoneticPr fontId="9" type="noConversion"/>
  </si>
  <si>
    <r>
      <t>Myunghyun Tech 2(</t>
    </r>
    <r>
      <rPr>
        <sz val="10"/>
        <rFont val="맑은 고딕"/>
        <family val="2"/>
        <charset val="129"/>
      </rPr>
      <t>개인사업자</t>
    </r>
    <r>
      <rPr>
        <sz val="10"/>
        <rFont val="Calibri"/>
        <family val="2"/>
      </rPr>
      <t>)(Drop_Tentative)</t>
    </r>
    <phoneticPr fontId="9" type="noConversion"/>
  </si>
  <si>
    <r>
      <t>Sehyun Chemical(</t>
    </r>
    <r>
      <rPr>
        <sz val="10"/>
        <rFont val="맑은 고딕"/>
        <family val="2"/>
        <charset val="129"/>
      </rPr>
      <t>개인사업자</t>
    </r>
    <r>
      <rPr>
        <sz val="10"/>
        <rFont val="Calibri"/>
        <family val="2"/>
      </rPr>
      <t>)(Drop_Tentative)</t>
    </r>
    <phoneticPr fontId="9" type="noConversion"/>
  </si>
  <si>
    <t>Broker</t>
  </si>
  <si>
    <t>Exit Cost (KRW)</t>
  </si>
  <si>
    <t>Exp. Refund (%)</t>
  </si>
  <si>
    <t>Method</t>
    <phoneticPr fontId="9" type="noConversion"/>
  </si>
  <si>
    <t>Energy Plan</t>
  </si>
  <si>
    <t>Hybrid deduction from DEVEX or Rooftop owner penalty</t>
  </si>
  <si>
    <t>Solar City</t>
  </si>
  <si>
    <t>Reimbursement</t>
    <phoneticPr fontId="9" type="noConversion"/>
  </si>
  <si>
    <t>Hybrid between deduction from DEVEX of Younggwang Industry (DAP Milestone) and return of funds</t>
    <phoneticPr fontId="9" type="noConversion"/>
  </si>
  <si>
    <t>Remark: Mortality rate approx &lt; 10%</t>
    <phoneticPr fontId="9" type="noConversion"/>
  </si>
  <si>
    <t>지급완료 금액</t>
    <phoneticPr fontId="9" type="noConversion"/>
  </si>
  <si>
    <t>OR M&amp;A</t>
    <phoneticPr fontId="9" type="noConversion"/>
  </si>
  <si>
    <t>개인사업자</t>
    <phoneticPr fontId="9" type="noConversion"/>
  </si>
  <si>
    <t>예산 관련 추가 프로젝트</t>
    <phoneticPr fontId="9" type="noConversion"/>
  </si>
  <si>
    <t>Bolt #5</t>
    <phoneticPr fontId="9" type="noConversion"/>
  </si>
  <si>
    <t xml:space="preserve">New project 1 | Solar </t>
    <phoneticPr fontId="9" type="noConversion"/>
  </si>
  <si>
    <t>New project 2 | Solar</t>
  </si>
  <si>
    <t>Bolt #8</t>
    <phoneticPr fontId="9" type="noConversion"/>
  </si>
  <si>
    <t>Bolt #9</t>
    <phoneticPr fontId="9" type="noConversion"/>
  </si>
  <si>
    <t>Jinyoung Metal Factory_1</t>
    <phoneticPr fontId="18" type="noConversion"/>
  </si>
  <si>
    <t>한전 계통연계비</t>
    <phoneticPr fontId="9" type="noConversion"/>
  </si>
  <si>
    <t>Jinyoung Metal Factory_2</t>
    <phoneticPr fontId="18" type="noConversion"/>
  </si>
  <si>
    <t>Geumjeong Techno</t>
    <phoneticPr fontId="9" type="noConversion"/>
  </si>
  <si>
    <t>Epyeonan nursing home(Drop)</t>
    <phoneticPr fontId="18" type="noConversion"/>
  </si>
  <si>
    <r>
      <rPr>
        <sz val="10"/>
        <color theme="1"/>
        <rFont val="맑은 고딕"/>
        <family val="2"/>
        <charset val="128"/>
      </rPr>
      <t>솔라시티</t>
    </r>
    <r>
      <rPr>
        <sz val="10"/>
        <color theme="1"/>
        <rFont val="Calibri"/>
        <family val="2"/>
      </rPr>
      <t xml:space="preserve"> </t>
    </r>
    <r>
      <rPr>
        <sz val="10"/>
        <color theme="1"/>
        <rFont val="맑은 고딕"/>
        <family val="2"/>
        <charset val="128"/>
      </rPr>
      <t>지급기준</t>
    </r>
    <phoneticPr fontId="18" type="noConversion"/>
  </si>
  <si>
    <r>
      <rPr>
        <sz val="10"/>
        <color theme="1"/>
        <rFont val="맑은 고딕"/>
        <family val="2"/>
        <charset val="129"/>
      </rPr>
      <t>구분</t>
    </r>
    <phoneticPr fontId="23" type="noConversion"/>
  </si>
  <si>
    <r>
      <rPr>
        <sz val="10"/>
        <color theme="1"/>
        <rFont val="맑은 고딕"/>
        <family val="2"/>
        <charset val="129"/>
      </rPr>
      <t>지급기준</t>
    </r>
    <r>
      <rPr>
        <sz val="10"/>
        <color theme="1"/>
        <rFont val="Calibri"/>
        <family val="2"/>
      </rPr>
      <t>(MW</t>
    </r>
    <r>
      <rPr>
        <sz val="10"/>
        <color theme="1"/>
        <rFont val="맑은 고딕"/>
        <family val="2"/>
        <charset val="129"/>
      </rPr>
      <t>당</t>
    </r>
    <r>
      <rPr>
        <sz val="10"/>
        <color theme="1"/>
        <rFont val="Calibri"/>
        <family val="2"/>
      </rPr>
      <t>)</t>
    </r>
    <phoneticPr fontId="18" type="noConversion"/>
  </si>
  <si>
    <r>
      <t>1</t>
    </r>
    <r>
      <rPr>
        <sz val="10"/>
        <color theme="1"/>
        <rFont val="맑은 고딕"/>
        <family val="2"/>
        <charset val="129"/>
      </rPr>
      <t>차</t>
    </r>
    <phoneticPr fontId="23" type="noConversion"/>
  </si>
  <si>
    <r>
      <t>2</t>
    </r>
    <r>
      <rPr>
        <sz val="10"/>
        <color theme="1"/>
        <rFont val="맑은 고딕"/>
        <family val="2"/>
        <charset val="129"/>
      </rPr>
      <t>차</t>
    </r>
  </si>
  <si>
    <r>
      <t>3</t>
    </r>
    <r>
      <rPr>
        <sz val="10"/>
        <color theme="1"/>
        <rFont val="맑은 고딕"/>
        <family val="2"/>
        <charset val="129"/>
      </rPr>
      <t>차</t>
    </r>
  </si>
  <si>
    <r>
      <t>4</t>
    </r>
    <r>
      <rPr>
        <sz val="10"/>
        <color theme="1"/>
        <rFont val="맑은 고딕"/>
        <family val="2"/>
        <charset val="129"/>
      </rPr>
      <t>차</t>
    </r>
    <phoneticPr fontId="9" type="noConversion"/>
  </si>
  <si>
    <r>
      <t>5</t>
    </r>
    <r>
      <rPr>
        <sz val="10"/>
        <color theme="1"/>
        <rFont val="맑은 고딕"/>
        <family val="2"/>
        <charset val="129"/>
      </rPr>
      <t>차</t>
    </r>
    <phoneticPr fontId="9" type="noConversion"/>
  </si>
  <si>
    <r>
      <t>6</t>
    </r>
    <r>
      <rPr>
        <sz val="10"/>
        <color theme="1"/>
        <rFont val="맑은 고딕"/>
        <family val="2"/>
        <charset val="129"/>
      </rPr>
      <t>차</t>
    </r>
    <phoneticPr fontId="23" type="noConversion"/>
  </si>
  <si>
    <r>
      <t>7</t>
    </r>
    <r>
      <rPr>
        <sz val="10"/>
        <color theme="1"/>
        <rFont val="맑은 고딕"/>
        <family val="2"/>
        <charset val="129"/>
      </rPr>
      <t>차</t>
    </r>
    <phoneticPr fontId="18" type="noConversion"/>
  </si>
  <si>
    <r>
      <t>8</t>
    </r>
    <r>
      <rPr>
        <sz val="10"/>
        <color theme="1"/>
        <rFont val="맑은 고딕"/>
        <family val="2"/>
        <charset val="129"/>
      </rPr>
      <t>차</t>
    </r>
    <phoneticPr fontId="18" type="noConversion"/>
  </si>
  <si>
    <r>
      <rPr>
        <sz val="10"/>
        <color theme="1"/>
        <rFont val="맑은 고딕"/>
        <family val="2"/>
        <charset val="129"/>
      </rPr>
      <t>합계</t>
    </r>
    <phoneticPr fontId="23" type="noConversion"/>
  </si>
  <si>
    <r>
      <rPr>
        <sz val="10"/>
        <color theme="1"/>
        <rFont val="맑은 고딕"/>
        <family val="2"/>
        <charset val="128"/>
      </rPr>
      <t>솔라시티</t>
    </r>
    <r>
      <rPr>
        <sz val="10"/>
        <color theme="1"/>
        <rFont val="Calibri"/>
        <family val="2"/>
      </rPr>
      <t>1</t>
    </r>
    <phoneticPr fontId="18" type="noConversion"/>
  </si>
  <si>
    <t>GM</t>
    <phoneticPr fontId="18" type="noConversion"/>
  </si>
  <si>
    <r>
      <rPr>
        <sz val="10"/>
        <color rgb="FF404040"/>
        <rFont val="맑은 고딕"/>
        <family val="2"/>
        <charset val="129"/>
      </rPr>
      <t>토지매입</t>
    </r>
    <phoneticPr fontId="18" type="noConversion"/>
  </si>
  <si>
    <t>Broker Fee</t>
    <phoneticPr fontId="18" type="noConversion"/>
  </si>
  <si>
    <r>
      <rPr>
        <sz val="10"/>
        <color rgb="FF404040"/>
        <rFont val="맑은 고딕"/>
        <family val="2"/>
        <charset val="129"/>
      </rPr>
      <t>선급임차료</t>
    </r>
    <phoneticPr fontId="18" type="noConversion"/>
  </si>
  <si>
    <r>
      <rPr>
        <sz val="10"/>
        <color theme="1"/>
        <rFont val="맑은 고딕"/>
        <family val="2"/>
        <charset val="128"/>
      </rPr>
      <t>솔라시티</t>
    </r>
    <r>
      <rPr>
        <sz val="10"/>
        <color theme="1"/>
        <rFont val="Calibri"/>
        <family val="2"/>
      </rPr>
      <t>2</t>
    </r>
    <phoneticPr fontId="18" type="noConversion"/>
  </si>
  <si>
    <t>APA</t>
    <phoneticPr fontId="18" type="noConversion"/>
  </si>
  <si>
    <t>Land Purchase</t>
  </si>
  <si>
    <t>Brokerage+Finder fee</t>
  </si>
  <si>
    <r>
      <rPr>
        <sz val="10"/>
        <color theme="1"/>
        <rFont val="맑은 고딕"/>
        <family val="2"/>
        <charset val="128"/>
      </rPr>
      <t>솔라시티</t>
    </r>
    <r>
      <rPr>
        <sz val="10"/>
        <color theme="1"/>
        <rFont val="Calibri"/>
        <family val="2"/>
      </rPr>
      <t>3</t>
    </r>
    <phoneticPr fontId="18" type="noConversion"/>
  </si>
  <si>
    <t>SPA</t>
    <phoneticPr fontId="18" type="noConversion"/>
  </si>
  <si>
    <t>DG</t>
    <phoneticPr fontId="18" type="noConversion"/>
  </si>
  <si>
    <r>
      <rPr>
        <sz val="10"/>
        <color theme="1"/>
        <rFont val="맑은 고딕"/>
        <family val="2"/>
        <charset val="128"/>
      </rPr>
      <t>지급</t>
    </r>
    <r>
      <rPr>
        <sz val="10"/>
        <color theme="1"/>
        <rFont val="Calibri"/>
        <family val="2"/>
      </rPr>
      <t>1</t>
    </r>
    <phoneticPr fontId="18" type="noConversion"/>
  </si>
  <si>
    <t>Pre-payment  Amount(5 Year)</t>
    <phoneticPr fontId="9" type="noConversion"/>
  </si>
  <si>
    <r>
      <rPr>
        <sz val="10"/>
        <color theme="1"/>
        <rFont val="맑은 고딕"/>
        <family val="2"/>
        <charset val="128"/>
      </rPr>
      <t>솔라시티</t>
    </r>
    <r>
      <rPr>
        <sz val="10"/>
        <color theme="1"/>
        <rFont val="Calibri"/>
        <family val="2"/>
      </rPr>
      <t>4</t>
    </r>
    <phoneticPr fontId="18" type="noConversion"/>
  </si>
  <si>
    <r>
      <rPr>
        <sz val="10"/>
        <color theme="1"/>
        <rFont val="맑은 고딕"/>
        <family val="2"/>
        <charset val="128"/>
      </rPr>
      <t>지급</t>
    </r>
    <r>
      <rPr>
        <sz val="10"/>
        <color theme="1"/>
        <rFont val="Calibri"/>
        <family val="2"/>
      </rPr>
      <t>2</t>
    </r>
    <phoneticPr fontId="18" type="noConversion"/>
  </si>
  <si>
    <t>Pre-payment  Amount(7 Year)</t>
    <phoneticPr fontId="9" type="noConversion"/>
  </si>
  <si>
    <r>
      <rPr>
        <sz val="10"/>
        <color theme="1"/>
        <rFont val="맑은 고딕"/>
        <family val="2"/>
        <charset val="128"/>
      </rPr>
      <t>솔라시티</t>
    </r>
    <r>
      <rPr>
        <sz val="10"/>
        <color theme="1"/>
        <rFont val="Calibri"/>
        <family val="2"/>
      </rPr>
      <t>5</t>
    </r>
    <r>
      <rPr>
        <sz val="11"/>
        <color theme="1"/>
        <rFont val="맑은 고딕"/>
        <family val="2"/>
        <charset val="129"/>
        <scheme val="minor"/>
      </rPr>
      <t/>
    </r>
  </si>
  <si>
    <t>솔라시티6</t>
    <phoneticPr fontId="18" type="noConversion"/>
  </si>
  <si>
    <t>지급4</t>
    <phoneticPr fontId="18" type="noConversion"/>
  </si>
  <si>
    <r>
      <rPr>
        <sz val="10"/>
        <color theme="1"/>
        <rFont val="맑은 고딕"/>
        <family val="2"/>
        <charset val="129"/>
      </rPr>
      <t>에너지플랜</t>
    </r>
    <r>
      <rPr>
        <sz val="10"/>
        <color theme="1"/>
        <rFont val="Calibri"/>
        <family val="2"/>
      </rPr>
      <t xml:space="preserve"> </t>
    </r>
    <r>
      <rPr>
        <sz val="10"/>
        <color theme="1"/>
        <rFont val="맑은 고딕"/>
        <family val="2"/>
        <charset val="128"/>
      </rPr>
      <t>지급기준</t>
    </r>
    <phoneticPr fontId="18" type="noConversion"/>
  </si>
  <si>
    <r>
      <rPr>
        <sz val="10"/>
        <color theme="1"/>
        <rFont val="맑은 고딕"/>
        <family val="2"/>
        <charset val="128"/>
      </rPr>
      <t>에너지플랜</t>
    </r>
    <r>
      <rPr>
        <sz val="10"/>
        <color theme="1"/>
        <rFont val="Calibri"/>
        <family val="2"/>
      </rPr>
      <t>1</t>
    </r>
    <phoneticPr fontId="18" type="noConversion"/>
  </si>
  <si>
    <r>
      <rPr>
        <sz val="10"/>
        <color theme="1"/>
        <rFont val="맑은 고딕"/>
        <family val="2"/>
        <charset val="128"/>
      </rPr>
      <t>일반</t>
    </r>
    <r>
      <rPr>
        <sz val="10"/>
        <color theme="1"/>
        <rFont val="Calibri"/>
        <family val="2"/>
      </rPr>
      <t>(</t>
    </r>
    <r>
      <rPr>
        <sz val="10"/>
        <color theme="1"/>
        <rFont val="맑은 고딕"/>
        <family val="2"/>
        <charset val="129"/>
      </rPr>
      <t>진영금속, 카이로스)</t>
    </r>
    <phoneticPr fontId="18" type="noConversion"/>
  </si>
  <si>
    <r>
      <rPr>
        <sz val="10"/>
        <color theme="1"/>
        <rFont val="맑은 고딕"/>
        <family val="2"/>
        <charset val="128"/>
      </rPr>
      <t>에너지플랜</t>
    </r>
    <r>
      <rPr>
        <sz val="10"/>
        <color theme="1"/>
        <rFont val="Calibri"/>
        <family val="2"/>
      </rPr>
      <t>2</t>
    </r>
    <phoneticPr fontId="18" type="noConversion"/>
  </si>
  <si>
    <r>
      <rPr>
        <sz val="10"/>
        <color theme="1"/>
        <rFont val="맑은 고딕"/>
        <family val="2"/>
        <charset val="128"/>
      </rPr>
      <t>일반</t>
    </r>
    <phoneticPr fontId="18" type="noConversion"/>
  </si>
  <si>
    <r>
      <rPr>
        <sz val="10"/>
        <color theme="1"/>
        <rFont val="맑은 고딕"/>
        <family val="2"/>
        <charset val="128"/>
      </rPr>
      <t>에너지플랜</t>
    </r>
    <r>
      <rPr>
        <sz val="10"/>
        <color theme="1"/>
        <rFont val="Calibri"/>
        <family val="2"/>
      </rPr>
      <t>3</t>
    </r>
    <phoneticPr fontId="18" type="noConversion"/>
  </si>
  <si>
    <r>
      <rPr>
        <sz val="10"/>
        <color theme="1"/>
        <rFont val="맑은 고딕"/>
        <family val="2"/>
        <charset val="128"/>
      </rPr>
      <t>에너지플랜</t>
    </r>
    <r>
      <rPr>
        <sz val="10"/>
        <color theme="1"/>
        <rFont val="Calibri"/>
        <family val="2"/>
      </rPr>
      <t>4</t>
    </r>
    <phoneticPr fontId="18" type="noConversion"/>
  </si>
  <si>
    <r>
      <rPr>
        <sz val="10"/>
        <color theme="1"/>
        <rFont val="맑은 고딕"/>
        <family val="2"/>
        <charset val="128"/>
      </rPr>
      <t>에너지플랜</t>
    </r>
    <r>
      <rPr>
        <sz val="10"/>
        <color theme="1"/>
        <rFont val="Calibri"/>
        <family val="2"/>
      </rPr>
      <t>5</t>
    </r>
    <phoneticPr fontId="18" type="noConversion"/>
  </si>
  <si>
    <r>
      <rPr>
        <sz val="10"/>
        <color theme="1"/>
        <rFont val="맑은 고딕"/>
        <family val="2"/>
        <charset val="128"/>
      </rPr>
      <t>에너지플랜</t>
    </r>
    <r>
      <rPr>
        <sz val="10"/>
        <color theme="1"/>
        <rFont val="Calibri"/>
        <family val="2"/>
      </rPr>
      <t>6</t>
    </r>
    <phoneticPr fontId="18" type="noConversion"/>
  </si>
  <si>
    <r>
      <rPr>
        <sz val="10"/>
        <color theme="1"/>
        <rFont val="맑은 고딕"/>
        <family val="2"/>
        <charset val="128"/>
      </rPr>
      <t>에너지플랜</t>
    </r>
    <r>
      <rPr>
        <sz val="10"/>
        <color theme="1"/>
        <rFont val="Calibri"/>
        <family val="2"/>
      </rPr>
      <t>7</t>
    </r>
    <phoneticPr fontId="18" type="noConversion"/>
  </si>
  <si>
    <r>
      <rPr>
        <sz val="10"/>
        <color theme="1"/>
        <rFont val="맑은 고딕"/>
        <family val="2"/>
        <charset val="128"/>
      </rPr>
      <t>에너지플랜</t>
    </r>
    <r>
      <rPr>
        <sz val="10"/>
        <color theme="1"/>
        <rFont val="Calibri"/>
        <family val="2"/>
      </rPr>
      <t>8</t>
    </r>
    <r>
      <rPr>
        <sz val="10"/>
        <color theme="1"/>
        <rFont val="Calibri"/>
        <family val="2"/>
        <charset val="128"/>
      </rPr>
      <t xml:space="preserve"> - </t>
    </r>
    <r>
      <rPr>
        <sz val="10"/>
        <color theme="1"/>
        <rFont val="맑은 고딕"/>
        <family val="2"/>
        <charset val="129"/>
      </rPr>
      <t>긴급제안</t>
    </r>
    <phoneticPr fontId="18" type="noConversion"/>
  </si>
  <si>
    <r>
      <rPr>
        <sz val="10"/>
        <color theme="1"/>
        <rFont val="맑은 고딕"/>
        <family val="2"/>
        <charset val="128"/>
      </rPr>
      <t>에너지플랜</t>
    </r>
    <r>
      <rPr>
        <sz val="10"/>
        <color theme="1"/>
        <rFont val="Calibri"/>
        <family val="2"/>
      </rPr>
      <t>9</t>
    </r>
    <r>
      <rPr>
        <sz val="10"/>
        <color theme="1"/>
        <rFont val="Calibri"/>
        <family val="2"/>
        <charset val="128"/>
      </rPr>
      <t xml:space="preserve"> - </t>
    </r>
    <r>
      <rPr>
        <sz val="10"/>
        <color theme="1"/>
        <rFont val="맑은 고딕"/>
        <family val="2"/>
        <charset val="129"/>
      </rPr>
      <t>긴급제안</t>
    </r>
    <phoneticPr fontId="18" type="noConversion"/>
  </si>
  <si>
    <t>Bolt Taeyanggwang 3HO</t>
    <phoneticPr fontId="18" type="noConversion"/>
  </si>
  <si>
    <t>314-86-68320</t>
    <phoneticPr fontId="18" type="noConversion"/>
  </si>
  <si>
    <t>110111-9077284</t>
    <phoneticPr fontId="18" type="noConversion"/>
  </si>
  <si>
    <t>#224, 42, Eonju-ro 147-gil, Gangnam-gu, Seoul, Korea</t>
    <phoneticPr fontId="18" type="noConversion"/>
  </si>
  <si>
    <t>KB Bank : 096301-04-103330</t>
    <phoneticPr fontId="18" type="noConversion"/>
  </si>
  <si>
    <t>Milestone 3</t>
    <phoneticPr fontId="23" type="noConversion"/>
  </si>
  <si>
    <t>Milestone 7</t>
  </si>
  <si>
    <t>Seun Steel Gyeongju</t>
    <phoneticPr fontId="23" type="noConversion"/>
  </si>
  <si>
    <t>Solar city</t>
    <phoneticPr fontId="18" type="noConversion"/>
  </si>
  <si>
    <t>Oneel</t>
    <phoneticPr fontId="23" type="noConversion"/>
  </si>
  <si>
    <t>기술검토비</t>
    <phoneticPr fontId="9" type="noConversion"/>
  </si>
  <si>
    <t>LSG</t>
    <phoneticPr fontId="18" type="noConversion"/>
  </si>
  <si>
    <t>Hanseo Motors</t>
    <phoneticPr fontId="18" type="noConversion"/>
  </si>
  <si>
    <t>Daechon Headquarters</t>
    <phoneticPr fontId="18" type="noConversion"/>
  </si>
  <si>
    <t>EBL,DAP</t>
    <phoneticPr fontId="9" type="noConversion"/>
  </si>
  <si>
    <t>Changseong High Tech</t>
    <phoneticPr fontId="18" type="noConversion"/>
  </si>
  <si>
    <t>Daechon Busan</t>
    <phoneticPr fontId="9" type="noConversion"/>
  </si>
  <si>
    <t>E-Tech</t>
    <phoneticPr fontId="9" type="noConversion"/>
  </si>
  <si>
    <t>Dongsung Metal</t>
    <phoneticPr fontId="18" type="noConversion"/>
  </si>
  <si>
    <t>179-87-03361</t>
    <phoneticPr fontId="18" type="noConversion"/>
  </si>
  <si>
    <t>110111-9077721</t>
    <phoneticPr fontId="18" type="noConversion"/>
  </si>
  <si>
    <t>#225, 42, Eonju-ro 147-gil, Gangnam-gu, Seoul, Korea</t>
    <phoneticPr fontId="18" type="noConversion"/>
  </si>
  <si>
    <t>KB Bank : 096301-04-105347</t>
    <phoneticPr fontId="18" type="noConversion"/>
  </si>
  <si>
    <t>Nuriplan(UnisonHKR)</t>
    <phoneticPr fontId="9" type="noConversion"/>
  </si>
  <si>
    <t>MKENG</t>
    <phoneticPr fontId="9" type="noConversion"/>
  </si>
  <si>
    <t>Sangmyung Enfra</t>
    <phoneticPr fontId="9" type="noConversion"/>
  </si>
  <si>
    <t>Woori One</t>
    <phoneticPr fontId="9" type="noConversion"/>
  </si>
  <si>
    <t>Eurowinspia</t>
    <phoneticPr fontId="9" type="noConversion"/>
  </si>
  <si>
    <t>RMK</t>
    <phoneticPr fontId="9" type="noConversion"/>
  </si>
  <si>
    <t>Samwon PNP</t>
    <phoneticPr fontId="9" type="noConversion"/>
  </si>
  <si>
    <t>Daesung Fruit Industry</t>
    <phoneticPr fontId="9" type="noConversion"/>
  </si>
  <si>
    <t>Ilsan Metal</t>
    <phoneticPr fontId="9" type="noConversion"/>
  </si>
  <si>
    <t>Ilshin Industry(HQ)</t>
    <phoneticPr fontId="9" type="noConversion"/>
  </si>
  <si>
    <t>Ilshin Industry(Branch)</t>
    <phoneticPr fontId="9" type="noConversion"/>
  </si>
  <si>
    <t>LC-Tech</t>
    <phoneticPr fontId="9" type="noConversion"/>
  </si>
  <si>
    <t>Bolt Taeyanggwang 6HO</t>
    <phoneticPr fontId="18" type="noConversion"/>
  </si>
  <si>
    <t>339-86-03554</t>
    <phoneticPr fontId="18" type="noConversion"/>
  </si>
  <si>
    <t>110111-9077888</t>
    <phoneticPr fontId="18" type="noConversion"/>
  </si>
  <si>
    <t>#231, 42, Eonju-ro 147-gil, Gangnam-gu, Seoul, Korea</t>
    <phoneticPr fontId="18" type="noConversion"/>
  </si>
  <si>
    <t>KB Bank : 096337-04-011223</t>
    <phoneticPr fontId="18" type="noConversion"/>
  </si>
  <si>
    <t>Esun</t>
    <phoneticPr fontId="23" type="noConversion"/>
  </si>
  <si>
    <t>Sejin SMC</t>
    <phoneticPr fontId="23" type="noConversion"/>
  </si>
  <si>
    <t>Seoyong</t>
    <phoneticPr fontId="23" type="noConversion"/>
  </si>
  <si>
    <t>Cosmo chemical</t>
    <phoneticPr fontId="18" type="noConversion"/>
  </si>
  <si>
    <t>SEAh ESAB 1</t>
    <phoneticPr fontId="9" type="noConversion"/>
  </si>
  <si>
    <t>SEAh ESAB 2</t>
    <phoneticPr fontId="9" type="noConversion"/>
  </si>
  <si>
    <t>Kuma Pipe</t>
    <phoneticPr fontId="9" type="noConversion"/>
  </si>
  <si>
    <t>Shinsung Logistics &amp; Development</t>
    <phoneticPr fontId="9" type="noConversion"/>
  </si>
  <si>
    <t>Youngpoong Paper</t>
    <phoneticPr fontId="9" type="noConversion"/>
  </si>
  <si>
    <t>Bolt Taeyanggwang 7HO</t>
    <phoneticPr fontId="18" type="noConversion"/>
  </si>
  <si>
    <t>504-87-03534</t>
    <phoneticPr fontId="18" type="noConversion"/>
  </si>
  <si>
    <t>110111-9077622</t>
    <phoneticPr fontId="18" type="noConversion"/>
  </si>
  <si>
    <t>#233, 42, Eonju-ro 147-gil, Gangnam-gu, Seoul, Korea</t>
    <phoneticPr fontId="18" type="noConversion"/>
  </si>
  <si>
    <t>KB Bank : 096301-04-103343</t>
    <phoneticPr fontId="18" type="noConversion"/>
  </si>
  <si>
    <t>Eco Inshutech</t>
    <phoneticPr fontId="23" type="noConversion"/>
  </si>
  <si>
    <t>Younggwang Industry</t>
    <phoneticPr fontId="23" type="noConversion"/>
  </si>
  <si>
    <t>BNB Composite(Drop)</t>
    <phoneticPr fontId="9" type="noConversion"/>
  </si>
  <si>
    <r>
      <t>DAP(</t>
    </r>
    <r>
      <rPr>
        <b/>
        <sz val="10"/>
        <color rgb="FF404040"/>
        <rFont val="맑은 고딕"/>
        <family val="2"/>
        <charset val="129"/>
      </rPr>
      <t>용량변경)</t>
    </r>
    <phoneticPr fontId="9" type="noConversion"/>
  </si>
  <si>
    <t>MPM Trade</t>
    <phoneticPr fontId="9" type="noConversion"/>
  </si>
  <si>
    <t>Ajin P&amp;S</t>
    <phoneticPr fontId="23" type="noConversion"/>
  </si>
  <si>
    <t>Myunghyun Tech 1</t>
    <phoneticPr fontId="23" type="noConversion"/>
  </si>
  <si>
    <t>Myunghyun Tech 2</t>
    <phoneticPr fontId="23" type="noConversion"/>
  </si>
  <si>
    <t>Sehyun Chemical</t>
    <phoneticPr fontId="23" type="noConversion"/>
  </si>
  <si>
    <t>Category</t>
  </si>
  <si>
    <t>Details</t>
  </si>
  <si>
    <t>① RMK</t>
    <phoneticPr fontId="9" type="noConversion"/>
  </si>
  <si>
    <t>② Daesung Fruit Industry</t>
    <phoneticPr fontId="9" type="noConversion"/>
  </si>
  <si>
    <t>③ Ilshin Industry(HQ)</t>
    <phoneticPr fontId="9" type="noConversion"/>
  </si>
  <si>
    <t>④ Ilshin Industry</t>
    <phoneticPr fontId="9" type="noConversion"/>
  </si>
  <si>
    <t>⑤ Ilsan Metal</t>
    <phoneticPr fontId="9" type="noConversion"/>
  </si>
  <si>
    <r>
      <rPr>
        <b/>
        <sz val="9"/>
        <color rgb="FFFFFFFF"/>
        <rFont val="Segoe UI Symbol"/>
        <family val="3"/>
      </rPr>
      <t>⑥</t>
    </r>
    <r>
      <rPr>
        <b/>
        <sz val="9"/>
        <color rgb="FFFFFFFF"/>
        <rFont val="새굴림"/>
        <family val="3"/>
        <charset val="129"/>
      </rPr>
      <t xml:space="preserve"> LC Tech</t>
    </r>
    <phoneticPr fontId="9" type="noConversion"/>
  </si>
  <si>
    <t>⑦ Taeseong Mold Industry 1</t>
    <phoneticPr fontId="9" type="noConversion"/>
  </si>
  <si>
    <t>⑧ Taeseong Mold Industry 2</t>
    <phoneticPr fontId="9" type="noConversion"/>
  </si>
  <si>
    <t>(Branch)</t>
  </si>
  <si>
    <t>Installation Address</t>
  </si>
  <si>
    <t>Chunhwa Industrial Complex Road 25, Bubuk-myeon, Miryang-si,   Gyeongsangnam-do</t>
  </si>
  <si>
    <t>Budeul-ro 620, Ujeong-eup, Hwaseong-si, Gyeonggi-do</t>
  </si>
  <si>
    <t>33-27, Sindan 1-gil, Yeoju-si, Gyeonggi-do</t>
  </si>
  <si>
    <t>58, Sanggu 5-gil, Daesin-myeon, Yeoju-si, Gyeonggi-do</t>
  </si>
  <si>
    <t>Surihol-ro 42, Beobwon-eup, Paju-si, Gyeonggi-do</t>
  </si>
  <si>
    <t>817, 2ba Shihawgongdan, 86, gunjacheonro 9beon-gil, Siheung, Gyeonggi-do</t>
  </si>
  <si>
    <t>36 Nonggongdanji-gil, Hapdeok-eup, Dangjin-si, Chungcheongnam-do</t>
    <phoneticPr fontId="9" type="noConversion"/>
  </si>
  <si>
    <t>29 Hapdeok Sandan 3-ro, Hapdeok-eup, Dangjin-si, Chungcheongnam-do</t>
    <phoneticPr fontId="9" type="noConversion"/>
  </si>
  <si>
    <t>Number of  Modules</t>
  </si>
  <si>
    <t>1,536 units</t>
  </si>
  <si>
    <t>488 units</t>
  </si>
  <si>
    <t>1,550 units</t>
  </si>
  <si>
    <t>310 units</t>
  </si>
  <si>
    <t>241units</t>
  </si>
  <si>
    <t>268 units</t>
  </si>
  <si>
    <t>1,431.3 MWh/yr</t>
  </si>
  <si>
    <t>451.1 MWh/yr</t>
  </si>
  <si>
    <t>1,436 MWh/yr</t>
  </si>
  <si>
    <t>285 MWh/yr</t>
  </si>
  <si>
    <t>216.2 MWh/yr</t>
  </si>
  <si>
    <t>255.6 MWh/yr</t>
    <phoneticPr fontId="9" type="noConversion"/>
  </si>
  <si>
    <t>554.7 MWh/yr</t>
    <phoneticPr fontId="9" type="noConversion"/>
  </si>
  <si>
    <t>280 MWh/yr</t>
    <phoneticPr fontId="9" type="noConversion"/>
  </si>
  <si>
    <t xml:space="preserve"> NEH</t>
  </si>
  <si>
    <t>Year: 1,475 hrs /</t>
  </si>
  <si>
    <t>Year: 1,431 hrs /</t>
  </si>
  <si>
    <t>Year: 1,436 hrs /</t>
  </si>
  <si>
    <t>Year: 1,425 hrs /</t>
  </si>
  <si>
    <t>Year: 1,386 hrs /</t>
  </si>
  <si>
    <t>Year: 1,478 hrs /</t>
  </si>
  <si>
    <t>Year: 1,494 hrs /</t>
    <phoneticPr fontId="9" type="noConversion"/>
  </si>
  <si>
    <t>Day: 4.04 hrs</t>
  </si>
  <si>
    <t>Day: 3.92 hrs</t>
  </si>
  <si>
    <t>Day: 3.93 hrs</t>
  </si>
  <si>
    <t>Day: 3.90 hrs</t>
  </si>
  <si>
    <t>Day: 3.80 hrs</t>
  </si>
  <si>
    <t>Day: 4.05 hrs</t>
  </si>
  <si>
    <t>Day: 4.09 hrs</t>
    <phoneticPr fontId="9" type="noConversion"/>
  </si>
  <si>
    <t>IRR</t>
  </si>
  <si>
    <t>KRW 50 million / MW</t>
  </si>
  <si>
    <t>KRW 40 million / MW</t>
  </si>
  <si>
    <t>Grid Line</t>
  </si>
  <si>
    <t>Asan S/S, Omok D/L</t>
  </si>
  <si>
    <r>
      <t>Joahm S/S, Jugok D/L</t>
    </r>
    <r>
      <rPr>
        <sz val="7"/>
        <color rgb="FF000000"/>
        <rFont val="맑은 고딕"/>
        <family val="3"/>
        <charset val="129"/>
      </rPr>
      <t>　</t>
    </r>
  </si>
  <si>
    <r>
      <t>　</t>
    </r>
    <r>
      <rPr>
        <sz val="7"/>
        <color rgb="FF000000"/>
        <rFont val="Open Sans Light"/>
        <family val="2"/>
      </rPr>
      <t>Yeoju S/S, Hyeonsu D/L</t>
    </r>
  </si>
  <si>
    <r>
      <t>Jije S/S, Boreung D/L</t>
    </r>
    <r>
      <rPr>
        <b/>
        <sz val="7"/>
        <color rgb="FF000000"/>
        <rFont val="맑은 고딕"/>
        <family val="3"/>
        <charset val="129"/>
      </rPr>
      <t>　</t>
    </r>
  </si>
  <si>
    <r>
      <t>Sunyoo S/S, Daereung D/L</t>
    </r>
    <r>
      <rPr>
        <b/>
        <sz val="7"/>
        <color rgb="FF000000"/>
        <rFont val="맑은 고딕"/>
        <family val="3"/>
        <charset val="129"/>
      </rPr>
      <t>　</t>
    </r>
  </si>
  <si>
    <t>South Sihwa S/S, Nari D/L</t>
  </si>
  <si>
    <t>Hapdeok S/S, Dugyeon D/L</t>
    <phoneticPr fontId="23" type="noConversion"/>
  </si>
  <si>
    <t>Hapdeok S/S, Onsan D/L</t>
    <phoneticPr fontId="23" type="noConversion"/>
  </si>
  <si>
    <t>4MW available</t>
  </si>
  <si>
    <t>2.7MW available</t>
  </si>
  <si>
    <t>2.6MW available</t>
  </si>
  <si>
    <t>0.4MW available</t>
  </si>
  <si>
    <t>1.2MW available</t>
  </si>
  <si>
    <t>5MW available</t>
  </si>
  <si>
    <t>8.8MW available</t>
    <phoneticPr fontId="23" type="noConversion"/>
  </si>
  <si>
    <t>12MW available</t>
    <phoneticPr fontId="23" type="noConversion"/>
  </si>
  <si>
    <t>[Unit : KRW / incl. VAT]</t>
    <phoneticPr fontId="9" type="noConversion"/>
  </si>
  <si>
    <t>Project Name</t>
    <phoneticPr fontId="9" type="noConversion"/>
  </si>
  <si>
    <t>Capacity</t>
    <phoneticPr fontId="9" type="noConversion"/>
  </si>
  <si>
    <t>IRR</t>
    <phoneticPr fontId="9" type="noConversion"/>
  </si>
  <si>
    <t>Lease Agreement</t>
    <phoneticPr fontId="9" type="noConversion"/>
  </si>
  <si>
    <t>EBL</t>
  </si>
  <si>
    <t>DAP</t>
  </si>
  <si>
    <t>Taeseong Mold Industry 1</t>
    <phoneticPr fontId="9" type="noConversion"/>
  </si>
  <si>
    <t>Taeseong Mold Industry 2</t>
    <phoneticPr fontId="9" type="noConversion"/>
  </si>
  <si>
    <t>Money at Risk</t>
    <phoneticPr fontId="9" type="noConversion"/>
  </si>
  <si>
    <t>[Unit : EUR]</t>
    <phoneticPr fontId="9" type="noConversion"/>
  </si>
  <si>
    <t>Bolt Taeyanggwang 5HO</t>
    <phoneticPr fontId="18" type="noConversion"/>
  </si>
  <si>
    <t>221-81-52083</t>
    <phoneticPr fontId="18" type="noConversion"/>
  </si>
  <si>
    <t>110111-9077341</t>
    <phoneticPr fontId="18" type="noConversion"/>
  </si>
  <si>
    <t>#226, 42, Eonju-ro 147-gil, Gangnam-gu, Seoul, Korea</t>
    <phoneticPr fontId="18" type="noConversion"/>
  </si>
  <si>
    <t>KB Bank : 096301-04-105350</t>
    <phoneticPr fontId="18" type="noConversion"/>
  </si>
  <si>
    <r>
      <rPr>
        <sz val="12"/>
        <color theme="1"/>
        <rFont val="Segoe UI Symbol"/>
        <family val="2"/>
      </rPr>
      <t>◆</t>
    </r>
    <r>
      <rPr>
        <sz val="12"/>
        <color theme="1"/>
        <rFont val="Calibri"/>
        <family val="2"/>
      </rPr>
      <t xml:space="preserve"> Dropped Project</t>
    </r>
    <phoneticPr fontId="9" type="noConversion"/>
  </si>
  <si>
    <t>Remarks</t>
    <phoneticPr fontId="18" type="noConversion"/>
  </si>
  <si>
    <t>It will be deducted from the payment amount of another project of Solar city.</t>
    <phoneticPr fontId="9" type="noConversion"/>
  </si>
  <si>
    <t>Originated is scheduled for operation after development</t>
    <phoneticPr fontId="9" type="noConversion"/>
  </si>
  <si>
    <t>SPV NO</t>
    <phoneticPr fontId="18" type="noConversion"/>
  </si>
  <si>
    <t>Reason for drop</t>
    <phoneticPr fontId="9" type="noConversion"/>
  </si>
  <si>
    <t>Credit Rating: CCC- / Due to the low credit rating, the project carries risk and may cause issues during divestment, so it should be considered for exclusion.</t>
    <phoneticPr fontId="9" type="noConversion"/>
  </si>
  <si>
    <t>Credit Rating: CC+ / Due to the low credit rating, the project carries risk and may cause issues during divestment, so it should be considered for exclusion.</t>
    <phoneticPr fontId="9" type="noConversion"/>
  </si>
  <si>
    <t>During the QC process, the project was dropped due to the emergence of a business continuity risk caused by the deterioration of the lessor’s financial condition.</t>
    <phoneticPr fontId="9" type="noConversion"/>
  </si>
  <si>
    <t>Difficulties in matching EPC and proceeding with sale for projects under individual proprietorship
Final purchase proposal received from buyer:
- Condition of landlord’s enrollment in lease guarantee insurance
- Final purchase price of KRW 1.2 billion per MW
Conditions deemed unacceptable; decision made to drop the project</t>
    <phoneticPr fontId="9" type="noConversion"/>
  </si>
  <si>
    <t>Difficulties in matching EPC and proceeding with sale for projects under individual proprietorship
Final purchase proposal received from buyer:
- Condition of landlord’s enrollment in lease guarantee insurance
- Final purchase price of KRW 1.2 billion per MW
Conditions deemed unacceptable; decision made to drop the project</t>
  </si>
  <si>
    <t>Milestone 1(COD -5Mon)</t>
    <phoneticPr fontId="9" type="noConversion"/>
  </si>
  <si>
    <t>Milestone 2(COD -1Mon)</t>
    <phoneticPr fontId="9" type="noConversion"/>
  </si>
  <si>
    <t>Milestone 3(COD)</t>
    <phoneticPr fontId="9" type="noConversion"/>
  </si>
  <si>
    <t>선로비 Total</t>
    <phoneticPr fontId="9" type="noConversion"/>
  </si>
  <si>
    <t>기타시설부담금1</t>
    <phoneticPr fontId="9" type="noConversion"/>
  </si>
  <si>
    <t>기타시설부담금2</t>
    <phoneticPr fontId="9" type="noConversion"/>
  </si>
  <si>
    <t>표준시설부담금</t>
    <phoneticPr fontId="9" type="noConversion"/>
  </si>
  <si>
    <t>Payment Date</t>
    <phoneticPr fontId="9" type="noConversion"/>
  </si>
  <si>
    <t>Paid Amount</t>
    <phoneticPr fontId="9" type="noConversion"/>
  </si>
  <si>
    <t>미지급액</t>
    <phoneticPr fontId="9" type="noConversion"/>
  </si>
  <si>
    <t>계통연계비</t>
    <phoneticPr fontId="9" type="noConversion"/>
  </si>
  <si>
    <t>Eco Inshutech(Drop)</t>
    <phoneticPr fontId="9" type="noConversion"/>
  </si>
  <si>
    <t>Taeseong Mold Industry 1(Drop)</t>
    <phoneticPr fontId="9" type="noConversion"/>
  </si>
  <si>
    <t>Taeseong Mold Industry 2(Drop)</t>
    <phoneticPr fontId="9" type="noConversion"/>
  </si>
  <si>
    <r>
      <t xml:space="preserve">CAPEX/MW COD </t>
    </r>
    <r>
      <rPr>
        <sz val="10"/>
        <rFont val="맑은 고딕"/>
        <family val="2"/>
        <charset val="129"/>
      </rPr>
      <t>적용</t>
    </r>
    <phoneticPr fontId="9" type="noConversion"/>
  </si>
  <si>
    <r>
      <t xml:space="preserve">CAPEX/MW EPC </t>
    </r>
    <r>
      <rPr>
        <sz val="10"/>
        <rFont val="맑은 고딕"/>
        <family val="2"/>
        <charset val="129"/>
      </rPr>
      <t>계약</t>
    </r>
    <phoneticPr fontId="9" type="noConversion"/>
  </si>
  <si>
    <t>Drop 반환액</t>
    <phoneticPr fontId="9" type="noConversion"/>
  </si>
  <si>
    <t>Drop 미 상환액</t>
    <phoneticPr fontId="9" type="noConversion"/>
  </si>
  <si>
    <t>엘에스지</t>
    <phoneticPr fontId="9" type="noConversion"/>
  </si>
  <si>
    <t>한서모터스</t>
    <phoneticPr fontId="9" type="noConversion"/>
  </si>
  <si>
    <t>최초용량</t>
    <phoneticPr fontId="9" type="noConversion"/>
  </si>
  <si>
    <r>
      <t xml:space="preserve">DAP </t>
    </r>
    <r>
      <rPr>
        <sz val="10"/>
        <rFont val="맑은 고딕"/>
        <family val="2"/>
        <charset val="129"/>
      </rPr>
      <t>용량</t>
    </r>
    <phoneticPr fontId="9" type="noConversion"/>
  </si>
  <si>
    <t>년 임차료</t>
    <phoneticPr fontId="9" type="noConversion"/>
  </si>
  <si>
    <r>
      <t>5</t>
    </r>
    <r>
      <rPr>
        <sz val="10"/>
        <rFont val="맑은 고딕"/>
        <family val="2"/>
        <charset val="129"/>
      </rPr>
      <t>년 선납임차료</t>
    </r>
    <phoneticPr fontId="9" type="noConversion"/>
  </si>
  <si>
    <r>
      <t>2</t>
    </r>
    <r>
      <rPr>
        <sz val="10"/>
        <rFont val="맑은 고딕"/>
        <family val="3"/>
        <charset val="129"/>
      </rPr>
      <t>년 선납임차료</t>
    </r>
    <phoneticPr fontId="9" type="noConversion"/>
  </si>
  <si>
    <r>
      <t xml:space="preserve">COD </t>
    </r>
    <r>
      <rPr>
        <sz val="10"/>
        <rFont val="맑은 고딕"/>
        <family val="2"/>
        <charset val="129"/>
      </rPr>
      <t>잔여 임차료</t>
    </r>
    <phoneticPr fontId="9" type="noConversion"/>
  </si>
  <si>
    <t>지급일자</t>
    <phoneticPr fontId="9" type="noConversion"/>
  </si>
  <si>
    <r>
      <t>[</t>
    </r>
    <r>
      <rPr>
        <sz val="10"/>
        <rFont val="맑은 고딕"/>
        <family val="2"/>
        <charset val="129"/>
      </rPr>
      <t>단위 : 원</t>
    </r>
    <r>
      <rPr>
        <sz val="10"/>
        <rFont val="Arial"/>
        <family val="2"/>
      </rPr>
      <t>]</t>
    </r>
    <phoneticPr fontId="9" type="noConversion"/>
  </si>
  <si>
    <t>Milestone 3 비율</t>
    <phoneticPr fontId="9" type="noConversion"/>
  </si>
  <si>
    <t>Milestone 3 지급</t>
    <phoneticPr fontId="9" type="noConversion"/>
  </si>
  <si>
    <t>금일 지급 계획(DEVEX)</t>
    <phoneticPr fontId="9" type="noConversion"/>
  </si>
  <si>
    <t>볼트태양광3호</t>
    <phoneticPr fontId="9" type="noConversion"/>
  </si>
  <si>
    <t>금일 지급 총액</t>
    <phoneticPr fontId="9" type="noConversion"/>
  </si>
  <si>
    <t>볼트태양광3호 잔액</t>
    <phoneticPr fontId="9" type="noConversion"/>
  </si>
  <si>
    <t>지급액</t>
    <phoneticPr fontId="9" type="noConversion"/>
  </si>
  <si>
    <t>지급 후 잔액</t>
    <phoneticPr fontId="9" type="noConversion"/>
  </si>
  <si>
    <t>(선납임차료)</t>
    <phoneticPr fontId="9" type="noConversion"/>
  </si>
  <si>
    <t>Milestone 2 비율</t>
    <phoneticPr fontId="9" type="noConversion"/>
  </si>
  <si>
    <t>※ 상기 선납임차료는 세금계산서 발행 후 지급 계획으로 발행 후 연락 드린다고 함.</t>
    <phoneticPr fontId="9" type="noConversion"/>
  </si>
  <si>
    <t>DG_BoltTaeyanggwang 4HO_RMK_IRR</t>
    <phoneticPr fontId="9" type="noConversion"/>
  </si>
  <si>
    <r>
      <t>DG_BoltTaeyanggwang 4HO_</t>
    </r>
    <r>
      <rPr>
        <b/>
        <sz val="9"/>
        <color theme="1"/>
        <rFont val="Calibri"/>
        <family val="2"/>
      </rPr>
      <t>Lijin Factory 1</t>
    </r>
    <r>
      <rPr>
        <sz val="9"/>
        <color theme="1"/>
        <rFont val="Calibri"/>
        <family val="2"/>
      </rPr>
      <t>_IRR</t>
    </r>
    <phoneticPr fontId="9" type="noConversion"/>
  </si>
  <si>
    <r>
      <t>DG_BoltTaeyanggwang 4HO_</t>
    </r>
    <r>
      <rPr>
        <b/>
        <sz val="9"/>
        <color theme="1"/>
        <rFont val="Calibri"/>
        <family val="2"/>
      </rPr>
      <t>Lijin Factory 2</t>
    </r>
    <r>
      <rPr>
        <sz val="9"/>
        <color theme="1"/>
        <rFont val="Calibri"/>
        <family val="2"/>
      </rPr>
      <t>_IRR</t>
    </r>
    <phoneticPr fontId="9" type="noConversion"/>
  </si>
  <si>
    <r>
      <t>DG_BoltTaeyanggwang 4HO_</t>
    </r>
    <r>
      <rPr>
        <b/>
        <sz val="9"/>
        <color theme="1"/>
        <rFont val="Calibri"/>
        <family val="2"/>
      </rPr>
      <t>Kinam Metal</t>
    </r>
    <r>
      <rPr>
        <sz val="9"/>
        <color theme="1"/>
        <rFont val="Calibri"/>
        <family val="2"/>
      </rPr>
      <t>_IRR</t>
    </r>
    <phoneticPr fontId="9" type="noConversion"/>
  </si>
  <si>
    <r>
      <t>DG_BoltTaeyanggwang 4HO_</t>
    </r>
    <r>
      <rPr>
        <b/>
        <sz val="9"/>
        <color theme="1"/>
        <rFont val="Calibri"/>
        <family val="2"/>
      </rPr>
      <t>JK Fiber</t>
    </r>
    <r>
      <rPr>
        <sz val="9"/>
        <color theme="1"/>
        <rFont val="Calibri"/>
        <family val="2"/>
      </rPr>
      <t>_IRR</t>
    </r>
    <phoneticPr fontId="9" type="noConversion"/>
  </si>
  <si>
    <t>50,25</t>
    <phoneticPr fontId="23" type="noConversion"/>
  </si>
  <si>
    <t>BOLT 4</t>
    <phoneticPr fontId="9" type="noConversion"/>
  </si>
  <si>
    <t>kinam Metal</t>
    <phoneticPr fontId="9" type="noConversion"/>
  </si>
  <si>
    <t>JK Fiber</t>
    <phoneticPr fontId="9" type="noConversion"/>
  </si>
  <si>
    <t>Project 1</t>
    <phoneticPr fontId="9" type="noConversion"/>
  </si>
  <si>
    <t>Project 9</t>
  </si>
  <si>
    <t>Gyeongsangnam-do</t>
  </si>
  <si>
    <t>Gyeongsangbuk-do</t>
  </si>
  <si>
    <t>RTB date</t>
    <phoneticPr fontId="9" type="noConversion"/>
  </si>
  <si>
    <t>No</t>
    <phoneticPr fontId="9" type="noConversion"/>
  </si>
  <si>
    <t>N/A</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</si>
</sst>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6" formatCode="&quot;₩&quot;#,##0;[Red]\-&quot;₩&quot;#,##0"/>
    <numFmt numFmtId="42" formatCode="_-&quot;₩&quot;* #,##0_-;\-&quot;₩&quot;* #,##0_-;_-&quot;₩&quot;* &quot;-&quot;_-;_-@_-"/>
    <numFmt numFmtId="41" formatCode="_-* #,##0_-;\-* #,##0_-;_-* &quot;-&quot;_-;_-@_-"/>
    <numFmt numFmtId="176" formatCode="_(* #,##0.00_);_(* \(#,##0.00\);_(* &quot;-&quot;??_);_(@_)"/>
    <numFmt numFmtId="177" formatCode="###,##0"/>
    <numFmt numFmtId="178" formatCode="_-[$€-2]\ * #,##0.00_-;\-[$€-2]\ * #,##0.00_-;_-[$€-2]\ * &quot;-&quot;??_-;_-@_-"/>
    <numFmt numFmtId="179" formatCode="[$-409]dd/mmm/yy;@"/>
    <numFmt numFmtId="180" formatCode="#,##0.00_ ;[Red]\-#,##0.00\ "/>
    <numFmt numFmtId="181" formatCode="0.0%"/>
    <numFmt numFmtId="182" formatCode="_(* #,##0_);_(* \(#,##0\);_(* &quot;-&quot;??_);_(@_)"/>
    <numFmt numFmtId="183" formatCode="&quot;€&quot;#,##0.00;[Red]\-#,##0.00&quot;€&quot;"/>
    <numFmt numFmtId="184" formatCode="&quot;(c. EUR &quot;#,##0.00&quot;)&quot;"/>
    <numFmt numFmtId="185" formatCode="0.00_ "/>
    <numFmt numFmtId="186" formatCode="&quot;EUR   &quot;#,##0.00;[Red]\-#,##0.00"/>
    <numFmt numFmtId="187" formatCode="&quot;EUR  &quot;#,##0.00;[Red]\-#,##0.00"/>
    <numFmt numFmtId="188" formatCode="&quot;₩&quot;#,##0_);[Red]\(&quot;₩&quot;#,##0\)"/>
    <numFmt numFmtId="189" formatCode="0_);[Red]\(0\)"/>
    <numFmt numFmtId="190" formatCode="&quot;₩&quot;#,##0.00_);[Red]\(&quot;₩&quot;#,##0.00\)"/>
    <numFmt numFmtId="191" formatCode="&quot;₩&quot;#,##0.0_);[Red]\(&quot;₩&quot;#,##0.0\)"/>
    <numFmt numFmtId="192" formatCode="yyyy/mm/dd;@"/>
    <numFmt numFmtId="193" formatCode="0.000"/>
    <numFmt numFmtId="194" formatCode="0.000_ "/>
    <numFmt numFmtId="195" formatCode="0.00000"/>
    <numFmt numFmtId="196" formatCode="0.00000_ "/>
    <numFmt numFmtId="197" formatCode="0.000000"/>
    <numFmt numFmtId="198" formatCode="&quot;₩&quot;#,##0"/>
    <numFmt numFmtId="199" formatCode="#,##0_ "/>
    <numFmt numFmtId="200" formatCode="[=1]&quot;Yes&quot;;[=0]&quot;No&quot;;&quot;Invalid&quot;"/>
    <numFmt numFmtId="201" formatCode="_-* #,##0.0000_-;\-* #,##0.0000_-;_-* &quot;-&quot;_-;_-@_-"/>
    <numFmt numFmtId="202" formatCode="#,##0.0"/>
    <numFmt numFmtId="203" formatCode="\K\R\W#,##0;[Red]\K\R\W\-#,##0"/>
    <numFmt numFmtId="204" formatCode="&quot;EUR&quot;#,##0.00;[Red]&quot;EUR&quot;\-#,##0.00"/>
    <numFmt numFmtId="205" formatCode="0.000%"/>
    <numFmt numFmtId="206" formatCode="#,##0_ ;[Red]\-#,##0\ "/>
    <numFmt numFmtId="207" formatCode="#,##0&quot;Year&quot;"/>
    <numFmt numFmtId="208" formatCode="#,##0.0;[Red]\-#,##0.0"/>
    <numFmt numFmtId="209" formatCode="#,##0.000;[Red]\-#,##0.000"/>
  </numFmts>
  <fonts count="121">
    <font>
      <sz val="10"/>
      <name val="Arial"/>
      <family val="2"/>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0"/>
      <name val="Arial"/>
      <family val="2"/>
    </font>
    <font>
      <b/>
      <sz val="11"/>
      <name val="맑은 고딕"/>
      <family val="3"/>
      <charset val="129"/>
    </font>
    <font>
      <sz val="11"/>
      <name val="맑은 고딕"/>
      <family val="3"/>
      <charset val="129"/>
    </font>
    <font>
      <sz val="10"/>
      <name val="맑은 고딕"/>
      <family val="3"/>
      <charset val="129"/>
    </font>
    <font>
      <sz val="8"/>
      <name val="돋움"/>
      <family val="3"/>
      <charset val="129"/>
    </font>
    <font>
      <b/>
      <sz val="10"/>
      <name val="맑은 고딕"/>
      <family val="3"/>
      <charset val="129"/>
    </font>
    <font>
      <b/>
      <sz val="10"/>
      <name val="Arial"/>
      <family val="2"/>
    </font>
    <font>
      <sz val="10"/>
      <name val="Arial"/>
      <family val="3"/>
    </font>
    <font>
      <b/>
      <sz val="10"/>
      <name val="Arial"/>
      <family val="3"/>
    </font>
    <font>
      <b/>
      <sz val="12"/>
      <color rgb="FF111111"/>
      <name val="Arial"/>
      <family val="2"/>
    </font>
    <font>
      <b/>
      <sz val="11"/>
      <name val="맑은 고딕"/>
      <family val="3"/>
      <charset val="129"/>
      <scheme val="major"/>
    </font>
    <font>
      <sz val="10"/>
      <name val="맑은 고딕"/>
      <family val="2"/>
      <charset val="129"/>
    </font>
    <font>
      <sz val="10"/>
      <color theme="1"/>
      <name val="Calibri"/>
      <family val="2"/>
    </font>
    <font>
      <sz val="8"/>
      <name val="맑은 고딕"/>
      <family val="3"/>
      <charset val="129"/>
      <scheme val="minor"/>
    </font>
    <font>
      <sz val="10"/>
      <color rgb="FF000000"/>
      <name val="Calibri"/>
      <family val="2"/>
    </font>
    <font>
      <b/>
      <sz val="10"/>
      <color rgb="FF000000"/>
      <name val="Calibri"/>
      <family val="2"/>
    </font>
    <font>
      <i/>
      <sz val="10"/>
      <color rgb="FF000000"/>
      <name val="Calibri"/>
      <family val="2"/>
    </font>
    <font>
      <b/>
      <sz val="10"/>
      <color rgb="FF156082"/>
      <name val="Calibri"/>
      <family val="2"/>
    </font>
    <font>
      <sz val="8"/>
      <name val="맑은 고딕"/>
      <family val="2"/>
      <charset val="129"/>
      <scheme val="minor"/>
    </font>
    <font>
      <sz val="11"/>
      <color theme="1"/>
      <name val="맑은 고딕"/>
      <family val="2"/>
      <charset val="128"/>
      <scheme val="minor"/>
    </font>
    <font>
      <sz val="10"/>
      <color rgb="FF404040"/>
      <name val="Calibri"/>
      <family val="2"/>
    </font>
    <font>
      <sz val="10"/>
      <color theme="1" tint="0.249977111117893"/>
      <name val="Calibri"/>
      <family val="2"/>
    </font>
    <font>
      <sz val="10"/>
      <color rgb="FF404040"/>
      <name val="맑은 고딕"/>
      <family val="2"/>
      <charset val="129"/>
    </font>
    <font>
      <u/>
      <sz val="10"/>
      <color theme="10"/>
      <name val="Arial"/>
      <family val="2"/>
    </font>
    <font>
      <sz val="10"/>
      <name val="돋움"/>
      <family val="3"/>
      <charset val="129"/>
    </font>
    <font>
      <b/>
      <sz val="10"/>
      <name val="맑은 고딕"/>
      <family val="2"/>
      <charset val="129"/>
    </font>
    <font>
      <sz val="9"/>
      <name val="맑은 고딕"/>
      <family val="2"/>
      <charset val="129"/>
    </font>
    <font>
      <sz val="9"/>
      <name val="맑은 고딕"/>
      <family val="3"/>
      <charset val="129"/>
    </font>
    <font>
      <sz val="10"/>
      <color theme="0"/>
      <name val="Calibri"/>
      <family val="2"/>
    </font>
    <font>
      <sz val="10"/>
      <color theme="1"/>
      <name val="맑은 고딕"/>
      <family val="2"/>
      <charset val="128"/>
    </font>
    <font>
      <sz val="10"/>
      <color theme="1"/>
      <name val="맑은 고딕"/>
      <family val="2"/>
      <charset val="129"/>
    </font>
    <font>
      <sz val="10"/>
      <color rgb="FFFF0000"/>
      <name val="Calibri"/>
      <family val="2"/>
    </font>
    <font>
      <sz val="10"/>
      <color theme="1"/>
      <name val="Calibri"/>
      <family val="2"/>
      <charset val="128"/>
    </font>
    <font>
      <sz val="10"/>
      <name val="Arial"/>
      <family val="2"/>
      <charset val="129"/>
    </font>
    <font>
      <sz val="10"/>
      <name val="Calibri"/>
      <family val="2"/>
    </font>
    <font>
      <b/>
      <sz val="10"/>
      <name val="Calibri"/>
      <family val="2"/>
    </font>
    <font>
      <sz val="11"/>
      <color theme="1"/>
      <name val="Calibri"/>
      <family val="2"/>
    </font>
    <font>
      <sz val="11"/>
      <color theme="0"/>
      <name val="Calibri"/>
      <family val="2"/>
    </font>
    <font>
      <b/>
      <sz val="16"/>
      <color theme="1"/>
      <name val="Calibri"/>
      <family val="2"/>
    </font>
    <font>
      <b/>
      <sz val="11"/>
      <color theme="1"/>
      <name val="Calibri"/>
      <family val="2"/>
    </font>
    <font>
      <b/>
      <sz val="10"/>
      <color theme="1"/>
      <name val="Calibri"/>
      <family val="2"/>
    </font>
    <font>
      <sz val="9"/>
      <color theme="1"/>
      <name val="Calibri"/>
      <family val="2"/>
    </font>
    <font>
      <b/>
      <sz val="9"/>
      <color theme="1"/>
      <name val="Calibri"/>
      <family val="2"/>
    </font>
    <font>
      <sz val="16"/>
      <name val="Arial"/>
      <family val="2"/>
    </font>
    <font>
      <b/>
      <sz val="10"/>
      <color rgb="FF404040"/>
      <name val="Calibri"/>
      <family val="2"/>
      <charset val="129"/>
    </font>
    <font>
      <b/>
      <sz val="10"/>
      <color rgb="FF404040"/>
      <name val="맑은 고딕"/>
      <family val="2"/>
      <charset val="129"/>
    </font>
    <font>
      <sz val="10"/>
      <color theme="1"/>
      <name val="Calibri"/>
      <family val="2"/>
      <charset val="129"/>
    </font>
    <font>
      <b/>
      <sz val="10"/>
      <color rgb="FFFF0000"/>
      <name val="Calibri"/>
      <family val="2"/>
    </font>
    <font>
      <sz val="12"/>
      <color theme="1"/>
      <name val="Calibri"/>
      <family val="2"/>
    </font>
    <font>
      <sz val="12"/>
      <color theme="1"/>
      <name val="Segoe UI Symbol"/>
      <family val="2"/>
    </font>
    <font>
      <b/>
      <sz val="10"/>
      <color rgb="FF404040"/>
      <name val="Calibri"/>
      <family val="2"/>
    </font>
    <font>
      <b/>
      <sz val="10"/>
      <color theme="1" tint="0.249977111117893"/>
      <name val="Calibri"/>
      <family val="2"/>
    </font>
    <font>
      <b/>
      <sz val="10"/>
      <color rgb="FF156082"/>
      <name val="맑은 고딕"/>
      <family val="2"/>
      <charset val="129"/>
    </font>
    <font>
      <sz val="10"/>
      <color theme="0"/>
      <name val="Calibri"/>
      <family val="2"/>
      <charset val="129"/>
    </font>
    <font>
      <sz val="10"/>
      <color theme="0"/>
      <name val="맑은 고딕"/>
      <family val="2"/>
      <charset val="129"/>
    </font>
    <font>
      <sz val="10"/>
      <name val="Calibri"/>
      <family val="2"/>
      <charset val="129"/>
    </font>
    <font>
      <sz val="18"/>
      <name val="Arial"/>
      <family val="2"/>
    </font>
    <font>
      <sz val="12"/>
      <color rgb="FF000000"/>
      <name val="Open Sans Light"/>
      <family val="2"/>
    </font>
    <font>
      <b/>
      <sz val="12"/>
      <color rgb="FFFFFFFF"/>
      <name val="Open Sans Light"/>
      <family val="2"/>
    </font>
    <font>
      <b/>
      <sz val="10"/>
      <color rgb="FFFFFFFF"/>
      <name val="Open Sans Light"/>
      <family val="2"/>
    </font>
    <font>
      <sz val="10"/>
      <color rgb="FF000000"/>
      <name val="Open Sans Light"/>
      <family val="2"/>
    </font>
    <font>
      <b/>
      <sz val="12"/>
      <color rgb="FF000000"/>
      <name val="Open Sans Light"/>
      <family val="2"/>
    </font>
    <font>
      <b/>
      <sz val="9"/>
      <color rgb="FFFFFFFF"/>
      <name val="Calibri"/>
      <family val="2"/>
    </font>
    <font>
      <sz val="9"/>
      <color rgb="FF000000"/>
      <name val="돋움"/>
      <family val="3"/>
      <charset val="129"/>
    </font>
    <font>
      <b/>
      <sz val="9"/>
      <color rgb="FF0070C0"/>
      <name val="Calibri"/>
      <family val="2"/>
    </font>
    <font>
      <b/>
      <sz val="9"/>
      <color rgb="FF000000"/>
      <name val="Calibri"/>
      <family val="2"/>
    </font>
    <font>
      <b/>
      <sz val="11"/>
      <color rgb="FF000000"/>
      <name val="Arial"/>
      <family val="2"/>
    </font>
    <font>
      <sz val="11"/>
      <color rgb="FFBFBFBF"/>
      <name val="Arial"/>
      <family val="2"/>
    </font>
    <font>
      <sz val="11"/>
      <color rgb="FF000000"/>
      <name val="Arial"/>
      <family val="2"/>
    </font>
    <font>
      <b/>
      <sz val="11"/>
      <color rgb="FFBFBFBF"/>
      <name val="Arial"/>
      <family val="2"/>
    </font>
    <font>
      <b/>
      <sz val="11"/>
      <color theme="1"/>
      <name val="맑은 고딕"/>
      <family val="3"/>
      <charset val="129"/>
      <scheme val="minor"/>
    </font>
    <font>
      <b/>
      <i/>
      <sz val="9"/>
      <color rgb="FF000000"/>
      <name val="돋움"/>
      <family val="3"/>
      <charset val="129"/>
    </font>
    <font>
      <b/>
      <i/>
      <sz val="9"/>
      <color rgb="FF000000"/>
      <name val="Calibri"/>
      <family val="2"/>
    </font>
    <font>
      <b/>
      <sz val="20"/>
      <color rgb="FF000000"/>
      <name val="Open Sans Light"/>
      <family val="2"/>
    </font>
    <font>
      <b/>
      <sz val="10"/>
      <color theme="1"/>
      <name val="Gadugi"/>
      <family val="2"/>
    </font>
    <font>
      <sz val="11"/>
      <color theme="1"/>
      <name val="Gadugi"/>
      <family val="2"/>
    </font>
    <font>
      <sz val="8"/>
      <color theme="1"/>
      <name val="Gadugi"/>
      <family val="2"/>
    </font>
    <font>
      <b/>
      <sz val="10"/>
      <color theme="0"/>
      <name val="Gadugi"/>
      <family val="2"/>
    </font>
    <font>
      <sz val="10"/>
      <color theme="1"/>
      <name val="Gadugi"/>
      <family val="2"/>
    </font>
    <font>
      <sz val="8"/>
      <color theme="0" tint="-0.499984740745262"/>
      <name val="Gadugi"/>
      <family val="2"/>
    </font>
    <font>
      <b/>
      <sz val="8"/>
      <color theme="1"/>
      <name val="Gadugi"/>
      <family val="2"/>
    </font>
    <font>
      <i/>
      <sz val="10"/>
      <color theme="1"/>
      <name val="Gadugi"/>
      <family val="2"/>
    </font>
    <font>
      <sz val="10"/>
      <color rgb="FF0000FF"/>
      <name val="Gadugi"/>
      <family val="2"/>
    </font>
    <font>
      <sz val="8"/>
      <name val="맑은 고딕"/>
      <family val="2"/>
      <scheme val="minor"/>
    </font>
    <font>
      <sz val="10"/>
      <color theme="0" tint="-0.499984740745262"/>
      <name val="Gadugi"/>
      <family val="2"/>
    </font>
    <font>
      <sz val="10"/>
      <color rgb="FFFF0000"/>
      <name val="Gadugi"/>
      <family val="2"/>
    </font>
    <font>
      <sz val="10"/>
      <color rgb="FF0066FF"/>
      <name val="Gadugi"/>
      <family val="2"/>
    </font>
    <font>
      <sz val="10"/>
      <color theme="0"/>
      <name val="Gadugi"/>
      <family val="2"/>
    </font>
    <font>
      <sz val="10"/>
      <color theme="1"/>
      <name val="맑은 고딕"/>
      <family val="3"/>
      <charset val="129"/>
    </font>
    <font>
      <sz val="11"/>
      <color theme="0"/>
      <name val="맑은 고딕"/>
      <family val="2"/>
      <scheme val="minor"/>
    </font>
    <font>
      <sz val="10"/>
      <color rgb="FF0000FF"/>
      <name val="맑은 고딕"/>
      <family val="2"/>
      <charset val="129"/>
    </font>
    <font>
      <b/>
      <sz val="9"/>
      <color indexed="81"/>
      <name val="Tahoma"/>
      <family val="2"/>
    </font>
    <font>
      <sz val="11"/>
      <color theme="0"/>
      <name val="맑은 고딕"/>
      <family val="3"/>
      <charset val="129"/>
      <scheme val="minor"/>
    </font>
    <font>
      <b/>
      <sz val="11"/>
      <color theme="1"/>
      <name val="맑은 고딕"/>
      <family val="2"/>
      <scheme val="minor"/>
    </font>
    <font>
      <b/>
      <sz val="10"/>
      <color theme="1"/>
      <name val="Arial"/>
      <family val="2"/>
    </font>
    <font>
      <b/>
      <sz val="10.5"/>
      <color rgb="FF000000"/>
      <name val="Open Sans Light"/>
      <family val="2"/>
    </font>
    <font>
      <sz val="10.5"/>
      <color rgb="FF000000"/>
      <name val="Open Sans Light"/>
      <family val="2"/>
    </font>
    <font>
      <b/>
      <sz val="9"/>
      <color rgb="FFFFFFFF"/>
      <name val="Open Sans Light"/>
      <family val="2"/>
    </font>
    <font>
      <sz val="9"/>
      <name val="Arial"/>
      <family val="2"/>
    </font>
    <font>
      <b/>
      <sz val="9"/>
      <color rgb="FF000000"/>
      <name val="Open Sans Light"/>
      <family val="2"/>
    </font>
    <font>
      <sz val="9"/>
      <color rgb="FF000000"/>
      <name val="Open Sans Light"/>
      <family val="2"/>
    </font>
    <font>
      <sz val="9"/>
      <name val="Calibri"/>
      <family val="2"/>
    </font>
    <font>
      <sz val="9"/>
      <color rgb="FF000000"/>
      <name val="Calibri"/>
      <family val="2"/>
    </font>
    <font>
      <sz val="10"/>
      <color rgb="FF0000FF"/>
      <name val="맑은 고딕"/>
      <family val="3"/>
      <charset val="129"/>
    </font>
    <font>
      <b/>
      <sz val="10.5"/>
      <color rgb="FFFFFFFF"/>
      <name val="Open Sans Light"/>
      <family val="2"/>
    </font>
    <font>
      <b/>
      <sz val="10"/>
      <color rgb="FF000000"/>
      <name val="Open Sans Light"/>
      <family val="2"/>
    </font>
    <font>
      <sz val="7"/>
      <color rgb="FF000000"/>
      <name val="맑은 고딕"/>
      <family val="3"/>
      <charset val="129"/>
    </font>
    <font>
      <sz val="7"/>
      <color rgb="FF000000"/>
      <name val="Open Sans Light"/>
      <family val="2"/>
    </font>
    <font>
      <b/>
      <sz val="7"/>
      <color rgb="FF000000"/>
      <name val="맑은 고딕"/>
      <family val="3"/>
      <charset val="129"/>
    </font>
    <font>
      <b/>
      <sz val="9"/>
      <color rgb="FFFFFFFF"/>
      <name val="새굴림"/>
      <family val="3"/>
      <charset val="129"/>
    </font>
    <font>
      <sz val="8"/>
      <color rgb="FF000000"/>
      <name val="Open Sans Light"/>
      <family val="2"/>
    </font>
    <font>
      <b/>
      <sz val="8"/>
      <color rgb="FF000000"/>
      <name val="Open Sans Light"/>
      <family val="2"/>
    </font>
    <font>
      <b/>
      <sz val="9"/>
      <color rgb="FFFFFFFF"/>
      <name val="Segoe UI Symbol"/>
      <family val="3"/>
    </font>
    <font>
      <sz val="11"/>
      <color theme="1"/>
      <name val="맑은 고딕"/>
      <family val="2"/>
      <scheme val="minor"/>
    </font>
    <font>
      <sz val="9"/>
      <color rgb="FF404040"/>
      <name val="맑은 고딕"/>
      <family val="2"/>
      <charset val="129"/>
    </font>
    <font>
      <sz val="10"/>
      <name val="Malgun Gothic"/>
      <family val="2"/>
      <charset val="129"/>
    </font>
  </fonts>
  <fills count="31">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FFFF00"/>
        <bgColor indexed="64"/>
      </patternFill>
    </fill>
    <fill>
      <patternFill patternType="solid">
        <fgColor theme="0"/>
        <bgColor indexed="64"/>
      </patternFill>
    </fill>
    <fill>
      <patternFill patternType="solid">
        <fgColor rgb="FFFFFFFF"/>
        <bgColor rgb="FF000000"/>
      </patternFill>
    </fill>
    <fill>
      <patternFill patternType="solid">
        <fgColor rgb="FFFBF5EF"/>
        <bgColor rgb="FF000000"/>
      </patternFill>
    </fill>
    <fill>
      <patternFill patternType="solid">
        <fgColor theme="9" tint="0.79998168889431442"/>
        <bgColor indexed="64"/>
      </patternFill>
    </fill>
    <fill>
      <patternFill patternType="solid">
        <fgColor theme="9" tint="0.79998168889431442"/>
        <bgColor rgb="FF000000"/>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3" tint="0.89999084444715716"/>
        <bgColor indexed="64"/>
      </patternFill>
    </fill>
    <fill>
      <patternFill patternType="solid">
        <fgColor theme="2"/>
        <bgColor indexed="64"/>
      </patternFill>
    </fill>
    <fill>
      <patternFill patternType="solid">
        <fgColor theme="2" tint="-9.9978637043366805E-2"/>
        <bgColor indexed="64"/>
      </patternFill>
    </fill>
    <fill>
      <patternFill patternType="solid">
        <fgColor rgb="FF1E528C"/>
        <bgColor indexed="64"/>
      </patternFill>
    </fill>
    <fill>
      <patternFill patternType="solid">
        <fgColor rgb="FF00B050"/>
        <bgColor indexed="64"/>
      </patternFill>
    </fill>
    <fill>
      <patternFill patternType="solid">
        <fgColor rgb="FFFDE9D9"/>
        <bgColor indexed="64"/>
      </patternFill>
    </fill>
    <fill>
      <patternFill patternType="solid">
        <fgColor rgb="FFF2F2F2"/>
        <bgColor indexed="64"/>
      </patternFill>
    </fill>
    <fill>
      <patternFill patternType="solid">
        <fgColor rgb="FF5F5F5F"/>
        <bgColor indexed="64"/>
      </patternFill>
    </fill>
    <fill>
      <patternFill patternType="solid">
        <fgColor rgb="FF37A2B1"/>
        <bgColor indexed="64"/>
      </patternFill>
    </fill>
    <fill>
      <patternFill patternType="solid">
        <fgColor rgb="FF05DB7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70C0"/>
        <bgColor indexed="64"/>
      </patternFill>
    </fill>
    <fill>
      <patternFill patternType="solid">
        <fgColor rgb="FF34EA86"/>
        <bgColor indexed="64"/>
      </patternFill>
    </fill>
    <fill>
      <patternFill patternType="solid">
        <fgColor rgb="FF056FC7"/>
        <bgColor indexed="64"/>
      </patternFill>
    </fill>
    <fill>
      <patternFill patternType="solid">
        <fgColor theme="1" tint="0.499984740745262"/>
        <bgColor indexed="64"/>
      </patternFill>
    </fill>
    <fill>
      <patternFill patternType="solid">
        <fgColor theme="6" tint="0.79998168889431442"/>
        <bgColor indexed="64"/>
      </patternFill>
    </fill>
  </fills>
  <borders count="174">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theme="0" tint="-0.499984740745262"/>
      </bottom>
      <diagonal/>
    </border>
    <border>
      <left style="thin">
        <color indexed="64"/>
      </left>
      <right style="thin">
        <color indexed="64"/>
      </right>
      <top/>
      <bottom style="thin">
        <color indexed="64"/>
      </bottom>
      <diagonal/>
    </border>
    <border>
      <left style="thin">
        <color indexed="64"/>
      </left>
      <right style="thin">
        <color indexed="64"/>
      </right>
      <top style="thin">
        <color theme="0" tint="-0.499984740745262"/>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theme="0" tint="-0.499984740745262"/>
      </bottom>
      <diagonal/>
    </border>
    <border>
      <left style="thin">
        <color indexed="64"/>
      </left>
      <right style="thin">
        <color indexed="64"/>
      </right>
      <top/>
      <bottom style="hair">
        <color theme="0" tint="-0.499984740745262"/>
      </bottom>
      <diagonal/>
    </border>
    <border>
      <left style="thin">
        <color indexed="64"/>
      </left>
      <right style="thin">
        <color indexed="64"/>
      </right>
      <top style="hair">
        <color theme="0" tint="-0.499984740745262"/>
      </top>
      <bottom style="hair">
        <color theme="0" tint="-0.499984740745262"/>
      </bottom>
      <diagonal/>
    </border>
    <border>
      <left/>
      <right style="thin">
        <color indexed="64"/>
      </right>
      <top/>
      <bottom/>
      <diagonal/>
    </border>
    <border>
      <left style="thin">
        <color theme="0" tint="-0.499984740745262"/>
      </left>
      <right style="thin">
        <color indexed="64"/>
      </right>
      <top/>
      <bottom style="hair">
        <color theme="0" tint="-0.499984740745262"/>
      </bottom>
      <diagonal/>
    </border>
    <border>
      <left style="thin">
        <color indexed="64"/>
      </left>
      <right style="thin">
        <color indexed="64"/>
      </right>
      <top style="hair">
        <color theme="0" tint="-0.499984740745262"/>
      </top>
      <bottom/>
      <diagonal/>
    </border>
    <border>
      <left style="thin">
        <color indexed="64"/>
      </left>
      <right style="thin">
        <color indexed="64"/>
      </right>
      <top style="hair">
        <color theme="0" tint="-0.499984740745262"/>
      </top>
      <bottom style="thin">
        <color indexed="64"/>
      </bottom>
      <diagonal/>
    </border>
    <border>
      <left style="thin">
        <color theme="0" tint="-0.499984740745262"/>
      </left>
      <right style="thin">
        <color indexed="64"/>
      </right>
      <top style="hair">
        <color theme="0" tint="-0.499984740745262"/>
      </top>
      <bottom style="thin">
        <color indexed="64"/>
      </bottom>
      <diagonal/>
    </border>
    <border>
      <left style="thin">
        <color theme="0" tint="-0.499984740745262"/>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auto="1"/>
      </left>
      <right style="thin">
        <color auto="1"/>
      </right>
      <top/>
      <bottom style="hair">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right/>
      <top style="hair">
        <color indexed="64"/>
      </top>
      <bottom/>
      <diagonal/>
    </border>
    <border>
      <left/>
      <right style="thin">
        <color indexed="64"/>
      </right>
      <top style="hair">
        <color indexed="64"/>
      </top>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diagonal/>
    </border>
    <border>
      <left style="thin">
        <color indexed="64"/>
      </left>
      <right/>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auto="1"/>
      </left>
      <right/>
      <top/>
      <bottom style="hair">
        <color auto="1"/>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right style="thin">
        <color auto="1"/>
      </right>
      <top/>
      <bottom style="hair">
        <color auto="1"/>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style="thin">
        <color indexed="64"/>
      </bottom>
      <diagonal/>
    </border>
    <border>
      <left style="medium">
        <color rgb="FFFF0000"/>
      </left>
      <right style="medium">
        <color rgb="FFFF0000"/>
      </right>
      <top style="thin">
        <color indexed="64"/>
      </top>
      <bottom/>
      <diagonal/>
    </border>
    <border>
      <left style="medium">
        <color rgb="FFFF0000"/>
      </left>
      <right style="medium">
        <color rgb="FFFF0000"/>
      </right>
      <top/>
      <bottom/>
      <diagonal/>
    </border>
    <border>
      <left style="medium">
        <color rgb="FFFF0000"/>
      </left>
      <right style="medium">
        <color rgb="FFFF0000"/>
      </right>
      <top/>
      <bottom style="hair">
        <color auto="1"/>
      </bottom>
      <diagonal/>
    </border>
    <border>
      <left style="medium">
        <color rgb="FFFF0000"/>
      </left>
      <right style="medium">
        <color rgb="FFFF0000"/>
      </right>
      <top style="hair">
        <color indexed="64"/>
      </top>
      <bottom/>
      <diagonal/>
    </border>
    <border>
      <left style="medium">
        <color rgb="FFFF0000"/>
      </left>
      <right style="medium">
        <color rgb="FFFF0000"/>
      </right>
      <top style="hair">
        <color indexed="64"/>
      </top>
      <bottom style="thin">
        <color indexed="64"/>
      </bottom>
      <diagonal/>
    </border>
    <border>
      <left style="medium">
        <color rgb="FFFF0000"/>
      </left>
      <right style="medium">
        <color rgb="FFFF0000"/>
      </right>
      <top style="thin">
        <color indexed="64"/>
      </top>
      <bottom style="thin">
        <color indexed="64"/>
      </bottom>
      <diagonal/>
    </border>
    <border>
      <left style="medium">
        <color rgb="FFFF0000"/>
      </left>
      <right style="medium">
        <color rgb="FFFF0000"/>
      </right>
      <top/>
      <bottom style="medium">
        <color rgb="FFFF0000"/>
      </bottom>
      <diagonal/>
    </border>
    <border>
      <left/>
      <right style="medium">
        <color rgb="FFFF0000"/>
      </right>
      <top style="thin">
        <color indexed="64"/>
      </top>
      <bottom style="hair">
        <color indexed="64"/>
      </bottom>
      <diagonal/>
    </border>
    <border>
      <left/>
      <right style="medium">
        <color rgb="FFC00000"/>
      </right>
      <top/>
      <bottom/>
      <diagonal/>
    </border>
    <border>
      <left style="medium">
        <color rgb="FFC00000"/>
      </left>
      <right style="medium">
        <color rgb="FFC00000"/>
      </right>
      <top/>
      <bottom/>
      <diagonal/>
    </border>
    <border>
      <left style="medium">
        <color rgb="FFC00000"/>
      </left>
      <right/>
      <top/>
      <bottom/>
      <diagonal/>
    </border>
    <border>
      <left/>
      <right/>
      <top/>
      <bottom style="thin">
        <color rgb="FF000000"/>
      </bottom>
      <diagonal/>
    </border>
    <border>
      <left/>
      <right style="medium">
        <color rgb="FFC00000"/>
      </right>
      <top/>
      <bottom style="thin">
        <color rgb="FF000000"/>
      </bottom>
      <diagonal/>
    </border>
    <border>
      <left style="medium">
        <color rgb="FFC00000"/>
      </left>
      <right style="medium">
        <color rgb="FFC00000"/>
      </right>
      <top/>
      <bottom style="thin">
        <color rgb="FF000000"/>
      </bottom>
      <diagonal/>
    </border>
    <border>
      <left style="medium">
        <color rgb="FFC00000"/>
      </left>
      <right/>
      <top/>
      <bottom style="thin">
        <color rgb="FF000000"/>
      </bottom>
      <diagonal/>
    </border>
    <border>
      <left/>
      <right/>
      <top style="thin">
        <color rgb="FF000000"/>
      </top>
      <bottom/>
      <diagonal/>
    </border>
    <border>
      <left style="medium">
        <color rgb="FFC00000"/>
      </left>
      <right style="medium">
        <color rgb="FFC00000"/>
      </right>
      <top style="thin">
        <color rgb="FF000000"/>
      </top>
      <bottom/>
      <diagonal/>
    </border>
    <border>
      <left style="medium">
        <color rgb="FFC00000"/>
      </left>
      <right/>
      <top style="thin">
        <color rgb="FF000000"/>
      </top>
      <bottom/>
      <diagonal/>
    </border>
    <border>
      <left/>
      <right/>
      <top/>
      <bottom style="dashed">
        <color rgb="FFBFBFBF"/>
      </bottom>
      <diagonal/>
    </border>
    <border>
      <left/>
      <right/>
      <top style="dashed">
        <color rgb="FFBFBFBF"/>
      </top>
      <bottom style="dashed">
        <color rgb="FFBFBFBF"/>
      </bottom>
      <diagonal/>
    </border>
    <border>
      <left/>
      <right/>
      <top style="dashed">
        <color rgb="FFBFBFBF"/>
      </top>
      <bottom/>
      <diagonal/>
    </border>
    <border>
      <left/>
      <right/>
      <top/>
      <bottom style="hair">
        <color auto="1"/>
      </bottom>
      <diagonal/>
    </border>
    <border>
      <left/>
      <right style="medium">
        <color rgb="FFC00000"/>
      </right>
      <top/>
      <bottom style="hair">
        <color auto="1"/>
      </bottom>
      <diagonal/>
    </border>
    <border>
      <left style="medium">
        <color rgb="FFC00000"/>
      </left>
      <right style="medium">
        <color rgb="FFC00000"/>
      </right>
      <top/>
      <bottom style="hair">
        <color auto="1"/>
      </bottom>
      <diagonal/>
    </border>
    <border>
      <left style="medium">
        <color rgb="FFC00000"/>
      </left>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right style="hair">
        <color auto="1"/>
      </right>
      <top/>
      <bottom/>
      <diagonal/>
    </border>
    <border>
      <left style="hair">
        <color auto="1"/>
      </left>
      <right/>
      <top/>
      <bottom style="hair">
        <color auto="1"/>
      </bottom>
      <diagonal/>
    </border>
    <border>
      <left/>
      <right style="hair">
        <color auto="1"/>
      </right>
      <top style="thin">
        <color indexed="64"/>
      </top>
      <bottom style="hair">
        <color auto="1"/>
      </bottom>
      <diagonal/>
    </border>
    <border>
      <left style="hair">
        <color auto="1"/>
      </left>
      <right/>
      <top style="hair">
        <color auto="1"/>
      </top>
      <bottom style="hair">
        <color auto="1"/>
      </bottom>
      <diagonal/>
    </border>
    <border>
      <left style="medium">
        <color rgb="FFC00000"/>
      </left>
      <right style="medium">
        <color rgb="FFC00000"/>
      </right>
      <top style="medium">
        <color rgb="FFC00000"/>
      </top>
      <bottom style="medium">
        <color rgb="FFC00000"/>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style="hair">
        <color auto="1"/>
      </bottom>
      <diagonal/>
    </border>
    <border>
      <left style="thin">
        <color rgb="FF000000"/>
      </left>
      <right style="thin">
        <color rgb="FF000000"/>
      </right>
      <top/>
      <bottom style="hair">
        <color auto="1"/>
      </bottom>
      <diagonal/>
    </border>
    <border>
      <left style="thin">
        <color rgb="FF000000"/>
      </left>
      <right/>
      <top/>
      <bottom style="hair">
        <color auto="1"/>
      </bottom>
      <diagonal/>
    </border>
    <border>
      <left/>
      <right style="thin">
        <color rgb="FF000000"/>
      </right>
      <top style="hair">
        <color auto="1"/>
      </top>
      <bottom style="hair">
        <color auto="1"/>
      </bottom>
      <diagonal/>
    </border>
    <border>
      <left/>
      <right/>
      <top style="hair">
        <color indexed="64"/>
      </top>
      <bottom style="thin">
        <color indexed="64"/>
      </bottom>
      <diagonal/>
    </border>
    <border>
      <left/>
      <right style="thin">
        <color rgb="FF000000"/>
      </right>
      <top style="hair">
        <color auto="1"/>
      </top>
      <bottom/>
      <diagonal/>
    </border>
    <border>
      <left style="medium">
        <color rgb="FFC00000"/>
      </left>
      <right/>
      <top style="medium">
        <color rgb="FFC00000"/>
      </top>
      <bottom style="medium">
        <color rgb="FFC00000"/>
      </bottom>
      <diagonal/>
    </border>
    <border>
      <left/>
      <right style="thin">
        <color indexed="64"/>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thin">
        <color rgb="FF000000"/>
      </left>
      <right/>
      <top style="medium">
        <color rgb="FFC00000"/>
      </top>
      <bottom style="medium">
        <color rgb="FFC00000"/>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style="thin">
        <color rgb="FFFFFFFF"/>
      </right>
      <top style="thin">
        <color rgb="FF000000"/>
      </top>
      <bottom/>
      <diagonal/>
    </border>
    <border>
      <left/>
      <right style="thin">
        <color rgb="FFFFFFFF"/>
      </right>
      <top/>
      <bottom style="thin">
        <color rgb="FF000000"/>
      </bottom>
      <diagonal/>
    </border>
    <border>
      <left style="thin">
        <color rgb="FFFFFFFF"/>
      </left>
      <right style="thin">
        <color rgb="FFFFFFFF"/>
      </right>
      <top style="thin">
        <color rgb="FF000000"/>
      </top>
      <bottom/>
      <diagonal/>
    </border>
    <border>
      <left style="thin">
        <color rgb="FFFFFFFF"/>
      </left>
      <right style="thin">
        <color rgb="FFFFFFFF"/>
      </right>
      <top/>
      <bottom style="thin">
        <color rgb="FF000000"/>
      </bottom>
      <diagonal/>
    </border>
    <border>
      <left style="thin">
        <color rgb="FFFFFFFF"/>
      </left>
      <right/>
      <top style="thin">
        <color rgb="FF000000"/>
      </top>
      <bottom style="thin">
        <color rgb="FFFFFFFF"/>
      </bottom>
      <diagonal/>
    </border>
    <border>
      <left/>
      <right style="thin">
        <color rgb="FFFFFFFF"/>
      </right>
      <top style="thin">
        <color rgb="FF000000"/>
      </top>
      <bottom style="thin">
        <color rgb="FFFFFFFF"/>
      </bottom>
      <diagonal/>
    </border>
    <border>
      <left/>
      <right/>
      <top style="thin">
        <color rgb="FF000000"/>
      </top>
      <bottom style="thin">
        <color rgb="FFFFFFFF"/>
      </bottom>
      <diagonal/>
    </border>
    <border>
      <left style="thin">
        <color rgb="FFFFFFFF"/>
      </left>
      <right style="thin">
        <color rgb="FFFFFFFF"/>
      </right>
      <top style="thin">
        <color rgb="FFFFFFFF"/>
      </top>
      <bottom style="thin">
        <color rgb="FF000000"/>
      </bottom>
      <diagonal/>
    </border>
    <border>
      <left style="thin">
        <color rgb="FFFFFFFF"/>
      </left>
      <right/>
      <top style="thin">
        <color rgb="FFFFFFFF"/>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rgb="FF000000"/>
      </right>
      <top style="thin">
        <color indexed="64"/>
      </top>
      <bottom style="thin">
        <color indexed="64"/>
      </bottom>
      <diagonal/>
    </border>
    <border>
      <left/>
      <right style="thin">
        <color rgb="FFFFFFFF"/>
      </right>
      <top/>
      <bottom/>
      <diagonal/>
    </border>
    <border>
      <left style="thin">
        <color rgb="FFFFFFFF"/>
      </left>
      <right/>
      <top style="thin">
        <color rgb="FF000000"/>
      </top>
      <bottom/>
      <diagonal/>
    </border>
    <border>
      <left style="thin">
        <color rgb="FFFFFFFF"/>
      </left>
      <right/>
      <top/>
      <bottom style="thin">
        <color rgb="FF000000"/>
      </bottom>
      <diagonal/>
    </border>
    <border>
      <left style="thin">
        <color rgb="FF000000"/>
      </left>
      <right style="dotted">
        <color rgb="FF000000"/>
      </right>
      <top style="thin">
        <color rgb="FF000000"/>
      </top>
      <bottom style="thin">
        <color rgb="FF000000"/>
      </bottom>
      <diagonal/>
    </border>
    <border>
      <left style="dotted">
        <color rgb="FF000000"/>
      </left>
      <right style="dotted">
        <color rgb="FF000000"/>
      </right>
      <top style="thin">
        <color rgb="FF000000"/>
      </top>
      <bottom style="thin">
        <color rgb="FF000000"/>
      </bottom>
      <diagonal/>
    </border>
    <border>
      <left style="dotted">
        <color rgb="FF000000"/>
      </left>
      <right/>
      <top style="thin">
        <color rgb="FF000000"/>
      </top>
      <bottom style="thin">
        <color rgb="FF000000"/>
      </bottom>
      <diagonal/>
    </border>
    <border>
      <left style="thin">
        <color rgb="FF000000"/>
      </left>
      <right style="dotted">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dotted">
        <color rgb="FF000000"/>
      </left>
      <right/>
      <top style="thin">
        <color rgb="FF000000"/>
      </top>
      <bottom style="dotted">
        <color rgb="FF000000"/>
      </bottom>
      <diagonal/>
    </border>
    <border>
      <left style="thin">
        <color rgb="FF000000"/>
      </left>
      <right/>
      <top style="dotted">
        <color rgb="FF000000"/>
      </top>
      <bottom style="thin">
        <color rgb="FF000000"/>
      </bottom>
      <diagonal/>
    </border>
    <border>
      <left/>
      <right/>
      <top style="dotted">
        <color rgb="FF000000"/>
      </top>
      <bottom style="thin">
        <color rgb="FF000000"/>
      </bottom>
      <diagonal/>
    </border>
    <border>
      <left style="thin">
        <color rgb="FF000000"/>
      </left>
      <right style="dotted">
        <color rgb="FF000000"/>
      </right>
      <top style="thin">
        <color rgb="FF000000"/>
      </top>
      <bottom/>
      <diagonal/>
    </border>
    <border>
      <left style="thin">
        <color rgb="FF000000"/>
      </left>
      <right style="dotted">
        <color rgb="FF000000"/>
      </right>
      <top/>
      <bottom style="thin">
        <color rgb="FF000000"/>
      </bottom>
      <diagonal/>
    </border>
    <border>
      <left style="dotted">
        <color rgb="FF000000"/>
      </left>
      <right style="dotted">
        <color rgb="FF000000"/>
      </right>
      <top style="thin">
        <color rgb="FF000000"/>
      </top>
      <bottom/>
      <diagonal/>
    </border>
    <border>
      <left style="dotted">
        <color rgb="FF000000"/>
      </left>
      <right style="dotted">
        <color rgb="FF000000"/>
      </right>
      <top/>
      <bottom style="thin">
        <color rgb="FF000000"/>
      </bottom>
      <diagonal/>
    </border>
    <border>
      <left style="dotted">
        <color rgb="FF000000"/>
      </left>
      <right/>
      <top style="thin">
        <color rgb="FF000000"/>
      </top>
      <bottom/>
      <diagonal/>
    </border>
    <border>
      <left style="dotted">
        <color rgb="FF000000"/>
      </left>
      <right/>
      <top/>
      <bottom style="thin">
        <color rgb="FF000000"/>
      </bottom>
      <diagonal/>
    </border>
    <border>
      <left style="thin">
        <color rgb="FF000000"/>
      </left>
      <right style="dotted">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dotted">
        <color rgb="FF000000"/>
      </left>
      <right/>
      <top style="dotted">
        <color rgb="FF000000"/>
      </top>
      <bottom style="thin">
        <color rgb="FF000000"/>
      </bottom>
      <diagonal/>
    </border>
    <border>
      <left style="hair">
        <color auto="1"/>
      </left>
      <right style="hair">
        <color auto="1"/>
      </right>
      <top style="thin">
        <color indexed="64"/>
      </top>
      <bottom style="hair">
        <color auto="1"/>
      </bottom>
      <diagonal/>
    </border>
  </borders>
  <cellStyleXfs count="13">
    <xf numFmtId="0" fontId="0" fillId="0" borderId="0" applyNumberFormat="0" applyFont="0" applyFill="0" applyBorder="0" applyAlignment="0" applyProtection="0"/>
    <xf numFmtId="41" fontId="5" fillId="0" borderId="0" applyNumberFormat="0" applyFont="0" applyFill="0" applyBorder="0" applyAlignment="0" applyProtection="0"/>
    <xf numFmtId="0" fontId="4" fillId="0" borderId="0">
      <alignment vertical="center"/>
    </xf>
    <xf numFmtId="38" fontId="24" fillId="0" borderId="0" applyFont="0" applyFill="0" applyBorder="0" applyAlignment="0" applyProtection="0">
      <alignment vertical="center"/>
    </xf>
    <xf numFmtId="41" fontId="4" fillId="0" borderId="0" applyFont="0" applyFill="0" applyBorder="0" applyAlignment="0" applyProtection="0">
      <alignment vertical="center"/>
    </xf>
    <xf numFmtId="0" fontId="24" fillId="0" borderId="0">
      <alignment vertical="center"/>
    </xf>
    <xf numFmtId="0" fontId="28" fillId="0" borderId="0" applyNumberFormat="0" applyFill="0" applyBorder="0" applyAlignment="0" applyProtection="0"/>
    <xf numFmtId="0" fontId="3" fillId="0" borderId="0">
      <alignment vertical="center"/>
    </xf>
    <xf numFmtId="9" fontId="24" fillId="0" borderId="0" applyFont="0" applyFill="0" applyBorder="0" applyAlignment="0" applyProtection="0">
      <alignment vertical="center"/>
    </xf>
    <xf numFmtId="0" fontId="2" fillId="0" borderId="0">
      <alignment vertical="center"/>
    </xf>
    <xf numFmtId="41" fontId="2" fillId="0" borderId="0" applyFont="0" applyFill="0" applyBorder="0" applyAlignment="0" applyProtection="0">
      <alignment vertical="center"/>
    </xf>
    <xf numFmtId="42" fontId="5" fillId="0" borderId="0" applyFont="0" applyFill="0" applyBorder="0" applyAlignment="0" applyProtection="0">
      <alignment vertical="center"/>
    </xf>
    <xf numFmtId="9" fontId="5" fillId="0" borderId="0" applyFont="0" applyFill="0" applyBorder="0" applyAlignment="0" applyProtection="0">
      <alignment vertical="center"/>
    </xf>
  </cellStyleXfs>
  <cellXfs count="1596">
    <xf numFmtId="0" fontId="0" fillId="0" borderId="0" xfId="0" applyNumberFormat="1" applyFont="1" applyFill="1" applyBorder="1" applyAlignment="1"/>
    <xf numFmtId="177" fontId="8" fillId="0" borderId="1" xfId="0" applyNumberFormat="1" applyFont="1" applyFill="1" applyBorder="1" applyAlignment="1">
      <alignment horizontal="right"/>
    </xf>
    <xf numFmtId="0" fontId="8" fillId="0" borderId="1" xfId="0" applyNumberFormat="1" applyFont="1" applyFill="1" applyBorder="1" applyAlignment="1">
      <alignment horizontal="left"/>
    </xf>
    <xf numFmtId="0" fontId="8" fillId="4" borderId="1" xfId="0" applyNumberFormat="1" applyFont="1" applyFill="1" applyBorder="1" applyAlignment="1">
      <alignment horizontal="left"/>
    </xf>
    <xf numFmtId="177" fontId="8" fillId="4" borderId="1" xfId="0" applyNumberFormat="1" applyFont="1" applyFill="1" applyBorder="1" applyAlignment="1">
      <alignment horizontal="right"/>
    </xf>
    <xf numFmtId="38" fontId="0" fillId="0" borderId="0" xfId="1" applyNumberFormat="1" applyFont="1" applyFill="1" applyBorder="1" applyAlignment="1"/>
    <xf numFmtId="0" fontId="0" fillId="0" borderId="0" xfId="0" applyNumberFormat="1" applyFont="1" applyFill="1" applyBorder="1" applyAlignment="1">
      <alignment vertical="center"/>
    </xf>
    <xf numFmtId="0" fontId="7" fillId="2" borderId="1" xfId="0" applyNumberFormat="1" applyFont="1" applyFill="1" applyBorder="1" applyAlignment="1">
      <alignment horizontal="center" vertical="center"/>
    </xf>
    <xf numFmtId="0" fontId="8" fillId="4" borderId="1" xfId="0" applyNumberFormat="1" applyFont="1" applyFill="1" applyBorder="1" applyAlignment="1">
      <alignment horizontal="left" vertical="center"/>
    </xf>
    <xf numFmtId="10" fontId="0" fillId="0" borderId="0" xfId="0" applyNumberFormat="1" applyFont="1" applyFill="1" applyBorder="1" applyAlignment="1">
      <alignment vertical="center"/>
    </xf>
    <xf numFmtId="14" fontId="0" fillId="0" borderId="0" xfId="0" applyNumberFormat="1" applyFont="1" applyFill="1" applyBorder="1" applyAlignment="1">
      <alignment vertical="center"/>
    </xf>
    <xf numFmtId="0" fontId="0" fillId="0" borderId="0" xfId="0" applyNumberFormat="1" applyFont="1" applyFill="1" applyBorder="1" applyAlignment="1">
      <alignment horizontal="center" vertical="center"/>
    </xf>
    <xf numFmtId="38" fontId="0" fillId="0" borderId="0" xfId="0" applyNumberFormat="1" applyFont="1" applyFill="1" applyBorder="1" applyAlignment="1">
      <alignment vertical="center"/>
    </xf>
    <xf numFmtId="177" fontId="0" fillId="0" borderId="0" xfId="0" applyNumberFormat="1" applyFont="1" applyFill="1" applyBorder="1" applyAlignment="1">
      <alignment vertical="center"/>
    </xf>
    <xf numFmtId="38" fontId="11" fillId="0" borderId="2" xfId="0" applyNumberFormat="1" applyFont="1" applyFill="1" applyBorder="1" applyAlignment="1">
      <alignment vertical="center"/>
    </xf>
    <xf numFmtId="38" fontId="11" fillId="0" borderId="3" xfId="0" applyNumberFormat="1" applyFont="1" applyFill="1" applyBorder="1" applyAlignment="1">
      <alignment vertical="center"/>
    </xf>
    <xf numFmtId="14" fontId="0" fillId="0" borderId="2" xfId="0" applyNumberFormat="1" applyFont="1" applyFill="1" applyBorder="1" applyAlignment="1">
      <alignment horizontal="center" vertical="center"/>
    </xf>
    <xf numFmtId="0" fontId="0" fillId="0" borderId="2" xfId="0" applyNumberFormat="1" applyFont="1" applyFill="1" applyBorder="1" applyAlignment="1">
      <alignment horizontal="center" vertical="center"/>
    </xf>
    <xf numFmtId="38" fontId="0" fillId="0" borderId="2" xfId="0" applyNumberFormat="1" applyFont="1" applyFill="1" applyBorder="1" applyAlignment="1">
      <alignment vertical="center"/>
    </xf>
    <xf numFmtId="177" fontId="0" fillId="0" borderId="2" xfId="0" applyNumberFormat="1" applyFont="1" applyFill="1" applyBorder="1" applyAlignment="1">
      <alignment vertical="center"/>
    </xf>
    <xf numFmtId="0" fontId="0" fillId="0" borderId="2" xfId="0" applyNumberFormat="1" applyFont="1" applyFill="1" applyBorder="1" applyAlignment="1">
      <alignment vertical="center"/>
    </xf>
    <xf numFmtId="38" fontId="0" fillId="0" borderId="2" xfId="1" applyNumberFormat="1" applyFont="1" applyFill="1" applyBorder="1" applyAlignment="1">
      <alignment vertical="center"/>
    </xf>
    <xf numFmtId="14" fontId="10" fillId="0" borderId="2" xfId="0" applyNumberFormat="1" applyFont="1" applyFill="1" applyBorder="1" applyAlignment="1">
      <alignment horizontal="center" vertical="center"/>
    </xf>
    <xf numFmtId="0" fontId="11" fillId="0" borderId="2" xfId="0" applyNumberFormat="1" applyFont="1" applyFill="1" applyBorder="1" applyAlignment="1">
      <alignment vertical="center"/>
    </xf>
    <xf numFmtId="42" fontId="0" fillId="0" borderId="0" xfId="1" applyNumberFormat="1" applyFont="1" applyFill="1" applyBorder="1" applyAlignment="1">
      <alignment horizontal="center" vertical="center"/>
    </xf>
    <xf numFmtId="0" fontId="0" fillId="0" borderId="2" xfId="0" applyNumberFormat="1" applyFont="1" applyFill="1" applyBorder="1" applyAlignment="1"/>
    <xf numFmtId="0" fontId="0" fillId="0" borderId="0" xfId="0" applyNumberFormat="1" applyFont="1" applyFill="1" applyBorder="1" applyAlignment="1">
      <alignment horizontal="right"/>
    </xf>
    <xf numFmtId="38" fontId="0" fillId="0" borderId="0" xfId="0" applyNumberFormat="1" applyFont="1" applyFill="1" applyBorder="1" applyAlignment="1"/>
    <xf numFmtId="177" fontId="11" fillId="0" borderId="2" xfId="0" applyNumberFormat="1" applyFont="1" applyFill="1" applyBorder="1" applyAlignment="1">
      <alignment vertical="center"/>
    </xf>
    <xf numFmtId="0" fontId="8" fillId="0" borderId="0" xfId="0" applyNumberFormat="1" applyFont="1" applyFill="1" applyBorder="1" applyAlignment="1">
      <alignment vertical="center"/>
    </xf>
    <xf numFmtId="0" fontId="10" fillId="0" borderId="4" xfId="0" applyNumberFormat="1" applyFont="1" applyFill="1" applyBorder="1" applyAlignment="1">
      <alignment horizontal="center" vertical="center"/>
    </xf>
    <xf numFmtId="14" fontId="8" fillId="0" borderId="2" xfId="0" applyNumberFormat="1" applyFont="1" applyFill="1" applyBorder="1" applyAlignment="1">
      <alignment horizontal="center" vertical="center"/>
    </xf>
    <xf numFmtId="38" fontId="11" fillId="0" borderId="2" xfId="1" applyNumberFormat="1" applyFont="1" applyFill="1" applyBorder="1" applyAlignment="1">
      <alignment vertical="center"/>
    </xf>
    <xf numFmtId="0" fontId="6" fillId="3" borderId="0" xfId="0" applyNumberFormat="1" applyFont="1" applyFill="1" applyBorder="1" applyAlignment="1">
      <alignment horizontal="right" vertical="center"/>
    </xf>
    <xf numFmtId="0" fontId="6" fillId="3" borderId="0" xfId="0" applyNumberFormat="1" applyFont="1" applyFill="1" applyBorder="1" applyAlignment="1"/>
    <xf numFmtId="0" fontId="8" fillId="0" borderId="2" xfId="0" applyNumberFormat="1" applyFont="1" applyFill="1" applyBorder="1" applyAlignment="1">
      <alignment horizontal="center" vertical="center"/>
    </xf>
    <xf numFmtId="0" fontId="14" fillId="0" borderId="0" xfId="0" applyNumberFormat="1" applyFont="1" applyFill="1" applyBorder="1" applyAlignment="1"/>
    <xf numFmtId="0" fontId="15" fillId="0" borderId="0" xfId="0" applyNumberFormat="1" applyFont="1" applyFill="1" applyBorder="1" applyAlignment="1">
      <alignment horizontal="right"/>
    </xf>
    <xf numFmtId="178" fontId="14" fillId="0" borderId="0" xfId="1" applyNumberFormat="1" applyFont="1" applyFill="1" applyBorder="1" applyAlignment="1"/>
    <xf numFmtId="0" fontId="0" fillId="0" borderId="0" xfId="0" applyNumberFormat="1" applyFont="1" applyFill="1" applyBorder="1" applyAlignment="1">
      <alignment horizontal="right" vertical="center"/>
    </xf>
    <xf numFmtId="0" fontId="12" fillId="0" borderId="2" xfId="0" applyNumberFormat="1" applyFont="1" applyFill="1" applyBorder="1" applyAlignment="1">
      <alignment horizontal="center" vertical="center"/>
    </xf>
    <xf numFmtId="10" fontId="0" fillId="0" borderId="2" xfId="0" applyNumberFormat="1" applyFont="1" applyFill="1" applyBorder="1" applyAlignment="1">
      <alignment vertical="center"/>
    </xf>
    <xf numFmtId="0" fontId="13" fillId="0" borderId="2" xfId="0" applyNumberFormat="1" applyFont="1" applyFill="1" applyBorder="1" applyAlignment="1">
      <alignment horizontal="center" vertical="center"/>
    </xf>
    <xf numFmtId="0" fontId="16" fillId="0" borderId="0" xfId="0" applyNumberFormat="1" applyFont="1" applyFill="1" applyBorder="1" applyAlignment="1">
      <alignment vertical="center"/>
    </xf>
    <xf numFmtId="179" fontId="0" fillId="0" borderId="2" xfId="0" applyNumberFormat="1" applyFont="1" applyFill="1" applyBorder="1" applyAlignment="1">
      <alignment horizontal="center" vertical="center"/>
    </xf>
    <xf numFmtId="40" fontId="0" fillId="0" borderId="2" xfId="0" applyNumberFormat="1" applyFont="1" applyFill="1" applyBorder="1" applyAlignment="1">
      <alignment vertical="center"/>
    </xf>
    <xf numFmtId="180" fontId="0" fillId="0" borderId="2" xfId="0" applyNumberFormat="1" applyFont="1" applyFill="1" applyBorder="1" applyAlignment="1">
      <alignment vertical="center"/>
    </xf>
    <xf numFmtId="38" fontId="11" fillId="0" borderId="2" xfId="0" applyNumberFormat="1" applyFont="1" applyFill="1" applyBorder="1" applyAlignment="1">
      <alignment horizontal="center" vertical="center"/>
    </xf>
    <xf numFmtId="40" fontId="11" fillId="0" borderId="2" xfId="0" applyNumberFormat="1" applyFont="1" applyFill="1" applyBorder="1" applyAlignment="1">
      <alignment vertical="center"/>
    </xf>
    <xf numFmtId="180" fontId="11" fillId="0" borderId="2" xfId="0" applyNumberFormat="1" applyFont="1" applyFill="1" applyBorder="1" applyAlignment="1">
      <alignment vertical="center"/>
    </xf>
    <xf numFmtId="0" fontId="11" fillId="0" borderId="2" xfId="0" applyNumberFormat="1" applyFont="1" applyFill="1" applyBorder="1" applyAlignment="1">
      <alignment horizontal="center" vertical="center"/>
    </xf>
    <xf numFmtId="0" fontId="14" fillId="0" borderId="0" xfId="0" quotePrefix="1" applyNumberFormat="1" applyFont="1" applyFill="1" applyBorder="1" applyAlignment="1"/>
    <xf numFmtId="0" fontId="17" fillId="5" borderId="0" xfId="2" applyFont="1" applyFill="1">
      <alignment vertical="center"/>
    </xf>
    <xf numFmtId="0" fontId="17" fillId="0" borderId="0" xfId="2" applyFont="1">
      <alignment vertical="center"/>
    </xf>
    <xf numFmtId="0" fontId="19" fillId="6" borderId="0" xfId="2" applyFont="1" applyFill="1">
      <alignment vertical="center"/>
    </xf>
    <xf numFmtId="0" fontId="20" fillId="6" borderId="0" xfId="2" applyFont="1" applyFill="1" applyAlignment="1">
      <alignment horizontal="center" vertical="center"/>
    </xf>
    <xf numFmtId="0" fontId="19" fillId="6" borderId="0" xfId="2" applyFont="1" applyFill="1" applyAlignment="1">
      <alignment horizontal="center" vertical="center"/>
    </xf>
    <xf numFmtId="0" fontId="21" fillId="6" borderId="0" xfId="2" applyFont="1" applyFill="1" applyAlignment="1">
      <alignment horizontal="right"/>
    </xf>
    <xf numFmtId="0" fontId="19" fillId="0" borderId="0" xfId="2" applyFont="1">
      <alignment vertical="center"/>
    </xf>
    <xf numFmtId="0" fontId="22" fillId="7" borderId="2" xfId="2" applyFont="1" applyFill="1" applyBorder="1" applyAlignment="1">
      <alignment horizontal="center" vertical="center" wrapText="1" readingOrder="1"/>
    </xf>
    <xf numFmtId="0" fontId="22" fillId="0" borderId="0" xfId="2" applyFont="1" applyAlignment="1">
      <alignment horizontal="center" vertical="center" wrapText="1" readingOrder="1"/>
    </xf>
    <xf numFmtId="0" fontId="22" fillId="0" borderId="10" xfId="2" applyFont="1" applyBorder="1" applyAlignment="1">
      <alignment horizontal="center" vertical="center" wrapText="1" readingOrder="1"/>
    </xf>
    <xf numFmtId="0" fontId="20" fillId="6" borderId="0" xfId="2" applyFont="1" applyFill="1">
      <alignment vertical="center"/>
    </xf>
    <xf numFmtId="10" fontId="25" fillId="0" borderId="11" xfId="2" applyNumberFormat="1" applyFont="1" applyBorder="1" applyAlignment="1">
      <alignment horizontal="center" vertical="center"/>
    </xf>
    <xf numFmtId="3" fontId="26" fillId="0" borderId="11" xfId="2" applyNumberFormat="1" applyFont="1" applyBorder="1" applyAlignment="1">
      <alignment horizontal="center" vertical="center"/>
    </xf>
    <xf numFmtId="10" fontId="25" fillId="0" borderId="12" xfId="2" applyNumberFormat="1" applyFont="1" applyBorder="1" applyAlignment="1">
      <alignment horizontal="center" vertical="center"/>
    </xf>
    <xf numFmtId="38" fontId="25" fillId="0" borderId="11" xfId="3" applyFont="1" applyBorder="1" applyAlignment="1">
      <alignment horizontal="center" vertical="center"/>
    </xf>
    <xf numFmtId="14" fontId="25" fillId="0" borderId="11" xfId="2" applyNumberFormat="1" applyFont="1" applyBorder="1" applyAlignment="1">
      <alignment horizontal="center" vertical="center"/>
    </xf>
    <xf numFmtId="14" fontId="25" fillId="0" borderId="12" xfId="2" applyNumberFormat="1" applyFont="1" applyBorder="1" applyAlignment="1">
      <alignment horizontal="center" vertical="center"/>
    </xf>
    <xf numFmtId="181" fontId="25" fillId="0" borderId="12" xfId="2" applyNumberFormat="1" applyFont="1" applyBorder="1" applyAlignment="1">
      <alignment horizontal="center" vertical="center"/>
    </xf>
    <xf numFmtId="38" fontId="25" fillId="0" borderId="12" xfId="3" applyFont="1" applyFill="1" applyBorder="1" applyAlignment="1">
      <alignment horizontal="center" vertical="center"/>
    </xf>
    <xf numFmtId="41" fontId="25" fillId="0" borderId="12" xfId="4" applyFont="1" applyFill="1" applyBorder="1" applyAlignment="1">
      <alignment horizontal="center" vertical="center"/>
    </xf>
    <xf numFmtId="14" fontId="25" fillId="0" borderId="13" xfId="2" applyNumberFormat="1" applyFont="1" applyBorder="1" applyAlignment="1">
      <alignment horizontal="center" vertical="center"/>
    </xf>
    <xf numFmtId="41" fontId="25" fillId="0" borderId="14" xfId="4" applyFont="1" applyFill="1" applyBorder="1" applyAlignment="1">
      <alignment horizontal="center" vertical="center"/>
    </xf>
    <xf numFmtId="41" fontId="25" fillId="0" borderId="15" xfId="4" applyFont="1" applyFill="1" applyBorder="1" applyAlignment="1">
      <alignment horizontal="center" vertical="center"/>
    </xf>
    <xf numFmtId="10" fontId="25" fillId="0" borderId="13" xfId="2" applyNumberFormat="1" applyFont="1" applyBorder="1" applyAlignment="1">
      <alignment horizontal="center" vertical="center"/>
    </xf>
    <xf numFmtId="3" fontId="26" fillId="0" borderId="13" xfId="2" applyNumberFormat="1" applyFont="1" applyBorder="1" applyAlignment="1">
      <alignment horizontal="center" vertical="center"/>
    </xf>
    <xf numFmtId="38" fontId="25" fillId="0" borderId="13" xfId="3" applyFont="1" applyBorder="1" applyAlignment="1">
      <alignment horizontal="center" vertical="center"/>
    </xf>
    <xf numFmtId="14" fontId="26" fillId="0" borderId="13" xfId="2" applyNumberFormat="1" applyFont="1" applyBorder="1" applyAlignment="1">
      <alignment horizontal="center" vertical="center"/>
    </xf>
    <xf numFmtId="181" fontId="25" fillId="0" borderId="13" xfId="2" applyNumberFormat="1" applyFont="1" applyBorder="1" applyAlignment="1">
      <alignment horizontal="center" vertical="center"/>
    </xf>
    <xf numFmtId="38" fontId="25" fillId="0" borderId="13" xfId="3" applyFont="1" applyFill="1" applyBorder="1" applyAlignment="1">
      <alignment horizontal="center" vertical="center"/>
    </xf>
    <xf numFmtId="41" fontId="25" fillId="0" borderId="13" xfId="4" applyFont="1" applyFill="1" applyBorder="1" applyAlignment="1">
      <alignment horizontal="center" vertical="center"/>
    </xf>
    <xf numFmtId="3" fontId="26" fillId="0" borderId="16" xfId="2" applyNumberFormat="1" applyFont="1" applyBorder="1" applyAlignment="1">
      <alignment horizontal="center" vertical="center"/>
    </xf>
    <xf numFmtId="10" fontId="25" fillId="0" borderId="16" xfId="2" applyNumberFormat="1" applyFont="1" applyBorder="1" applyAlignment="1">
      <alignment horizontal="center" vertical="center"/>
    </xf>
    <xf numFmtId="38" fontId="25" fillId="0" borderId="16" xfId="3" applyFont="1" applyBorder="1" applyAlignment="1">
      <alignment horizontal="center" vertical="center"/>
    </xf>
    <xf numFmtId="14" fontId="25" fillId="0" borderId="16" xfId="2" applyNumberFormat="1" applyFont="1" applyBorder="1" applyAlignment="1">
      <alignment horizontal="center" vertical="center"/>
    </xf>
    <xf numFmtId="181" fontId="25" fillId="0" borderId="16" xfId="2" applyNumberFormat="1" applyFont="1" applyBorder="1" applyAlignment="1">
      <alignment horizontal="center" vertical="center"/>
    </xf>
    <xf numFmtId="38" fontId="25" fillId="0" borderId="16" xfId="3" applyFont="1" applyFill="1" applyBorder="1" applyAlignment="1">
      <alignment horizontal="center" vertical="center"/>
    </xf>
    <xf numFmtId="10" fontId="25" fillId="0" borderId="14" xfId="2" applyNumberFormat="1" applyFont="1" applyBorder="1" applyAlignment="1">
      <alignment horizontal="center" vertical="center"/>
    </xf>
    <xf numFmtId="41" fontId="25" fillId="0" borderId="17" xfId="4" applyFont="1" applyFill="1" applyBorder="1" applyAlignment="1">
      <alignment horizontal="center" vertical="center"/>
    </xf>
    <xf numFmtId="41" fontId="25" fillId="0" borderId="18" xfId="4" applyFont="1" applyFill="1" applyBorder="1" applyAlignment="1">
      <alignment horizontal="center" vertical="center"/>
    </xf>
    <xf numFmtId="10" fontId="25" fillId="0" borderId="2" xfId="2" applyNumberFormat="1" applyFont="1" applyBorder="1" applyAlignment="1">
      <alignment horizontal="center" vertical="center"/>
    </xf>
    <xf numFmtId="3" fontId="26" fillId="0" borderId="2" xfId="2" applyNumberFormat="1" applyFont="1" applyBorder="1" applyAlignment="1">
      <alignment horizontal="center" vertical="center"/>
    </xf>
    <xf numFmtId="14" fontId="25" fillId="0" borderId="2" xfId="2" applyNumberFormat="1" applyFont="1" applyBorder="1" applyAlignment="1">
      <alignment horizontal="center" vertical="center"/>
    </xf>
    <xf numFmtId="181" fontId="25" fillId="0" borderId="2" xfId="2" applyNumberFormat="1" applyFont="1" applyBorder="1" applyAlignment="1">
      <alignment horizontal="center" vertical="center"/>
    </xf>
    <xf numFmtId="38" fontId="25" fillId="0" borderId="2" xfId="3" applyFont="1" applyFill="1" applyBorder="1" applyAlignment="1">
      <alignment horizontal="center" vertical="center"/>
    </xf>
    <xf numFmtId="41" fontId="25" fillId="0" borderId="2" xfId="4" applyFont="1" applyFill="1" applyBorder="1" applyAlignment="1">
      <alignment horizontal="center" vertical="center"/>
    </xf>
    <xf numFmtId="41" fontId="25" fillId="0" borderId="19" xfId="4" applyFont="1" applyFill="1" applyBorder="1" applyAlignment="1">
      <alignment horizontal="center" vertical="center"/>
    </xf>
    <xf numFmtId="3" fontId="26" fillId="0" borderId="12" xfId="2" applyNumberFormat="1" applyFont="1" applyBorder="1" applyAlignment="1">
      <alignment horizontal="center" vertical="center"/>
    </xf>
    <xf numFmtId="38" fontId="25" fillId="0" borderId="12" xfId="3" applyFont="1" applyBorder="1" applyAlignment="1">
      <alignment horizontal="center" vertical="center"/>
    </xf>
    <xf numFmtId="181" fontId="25" fillId="0" borderId="10" xfId="2" applyNumberFormat="1" applyFont="1" applyBorder="1" applyAlignment="1">
      <alignment horizontal="center" vertical="center"/>
    </xf>
    <xf numFmtId="10" fontId="25" fillId="0" borderId="17" xfId="2" applyNumberFormat="1" applyFont="1" applyBorder="1" applyAlignment="1">
      <alignment horizontal="center" vertical="center"/>
    </xf>
    <xf numFmtId="3" fontId="26" fillId="0" borderId="17" xfId="2" applyNumberFormat="1" applyFont="1" applyBorder="1" applyAlignment="1">
      <alignment horizontal="center" vertical="center"/>
    </xf>
    <xf numFmtId="38" fontId="25" fillId="0" borderId="17" xfId="3" applyFont="1" applyBorder="1" applyAlignment="1">
      <alignment horizontal="center" vertical="center"/>
    </xf>
    <xf numFmtId="14" fontId="25" fillId="0" borderId="17" xfId="2" applyNumberFormat="1" applyFont="1" applyBorder="1" applyAlignment="1">
      <alignment horizontal="center" vertical="center"/>
    </xf>
    <xf numFmtId="181" fontId="25" fillId="0" borderId="17" xfId="2" applyNumberFormat="1" applyFont="1" applyBorder="1" applyAlignment="1">
      <alignment horizontal="center" vertical="center"/>
    </xf>
    <xf numFmtId="38" fontId="25" fillId="0" borderId="17" xfId="3" applyFont="1" applyFill="1" applyBorder="1" applyAlignment="1">
      <alignment horizontal="center" vertical="center"/>
    </xf>
    <xf numFmtId="0" fontId="20" fillId="0" borderId="0" xfId="2" applyFont="1">
      <alignment vertical="center"/>
    </xf>
    <xf numFmtId="10" fontId="25" fillId="8" borderId="12" xfId="2" applyNumberFormat="1" applyFont="1" applyFill="1" applyBorder="1" applyAlignment="1">
      <alignment horizontal="center" vertical="center"/>
    </xf>
    <xf numFmtId="3" fontId="26" fillId="8" borderId="12" xfId="2" applyNumberFormat="1" applyFont="1" applyFill="1" applyBorder="1" applyAlignment="1">
      <alignment horizontal="center" vertical="center"/>
    </xf>
    <xf numFmtId="14" fontId="25" fillId="8" borderId="12" xfId="2" applyNumberFormat="1" applyFont="1" applyFill="1" applyBorder="1" applyAlignment="1">
      <alignment horizontal="center" vertical="center"/>
    </xf>
    <xf numFmtId="181" fontId="25" fillId="8" borderId="12" xfId="2" applyNumberFormat="1" applyFont="1" applyFill="1" applyBorder="1" applyAlignment="1">
      <alignment horizontal="center" vertical="center"/>
    </xf>
    <xf numFmtId="41" fontId="25" fillId="8" borderId="12" xfId="4" applyFont="1" applyFill="1" applyBorder="1" applyAlignment="1">
      <alignment horizontal="center" vertical="center"/>
    </xf>
    <xf numFmtId="41" fontId="25" fillId="8" borderId="15" xfId="4" applyFont="1" applyFill="1" applyBorder="1" applyAlignment="1">
      <alignment horizontal="center" vertical="center"/>
    </xf>
    <xf numFmtId="10" fontId="25" fillId="8" borderId="13" xfId="2" applyNumberFormat="1" applyFont="1" applyFill="1" applyBorder="1" applyAlignment="1">
      <alignment horizontal="center" vertical="center"/>
    </xf>
    <xf numFmtId="3" fontId="26" fillId="8" borderId="13" xfId="2" applyNumberFormat="1" applyFont="1" applyFill="1" applyBorder="1" applyAlignment="1">
      <alignment horizontal="center" vertical="center"/>
    </xf>
    <xf numFmtId="14" fontId="25" fillId="8" borderId="13" xfId="2" applyNumberFormat="1" applyFont="1" applyFill="1" applyBorder="1" applyAlignment="1">
      <alignment horizontal="center" vertical="center"/>
    </xf>
    <xf numFmtId="181" fontId="25" fillId="8" borderId="13" xfId="2" applyNumberFormat="1" applyFont="1" applyFill="1" applyBorder="1" applyAlignment="1">
      <alignment horizontal="center" vertical="center"/>
    </xf>
    <xf numFmtId="41" fontId="25" fillId="8" borderId="13" xfId="4" applyFont="1" applyFill="1" applyBorder="1" applyAlignment="1">
      <alignment horizontal="center" vertical="center"/>
    </xf>
    <xf numFmtId="10" fontId="25" fillId="8" borderId="17" xfId="2" applyNumberFormat="1" applyFont="1" applyFill="1" applyBorder="1" applyAlignment="1">
      <alignment horizontal="center" vertical="center"/>
    </xf>
    <xf numFmtId="3" fontId="26" fillId="8" borderId="17" xfId="2" applyNumberFormat="1" applyFont="1" applyFill="1" applyBorder="1" applyAlignment="1">
      <alignment horizontal="center" vertical="center"/>
    </xf>
    <xf numFmtId="181" fontId="25" fillId="8" borderId="17" xfId="2" applyNumberFormat="1" applyFont="1" applyFill="1" applyBorder="1" applyAlignment="1">
      <alignment horizontal="center" vertical="center"/>
    </xf>
    <xf numFmtId="41" fontId="25" fillId="8" borderId="17" xfId="4" applyFont="1" applyFill="1" applyBorder="1" applyAlignment="1">
      <alignment horizontal="center" vertical="center"/>
    </xf>
    <xf numFmtId="41" fontId="25" fillId="8" borderId="18" xfId="4" applyFont="1" applyFill="1" applyBorder="1" applyAlignment="1">
      <alignment horizontal="center" vertical="center"/>
    </xf>
    <xf numFmtId="10" fontId="25" fillId="8" borderId="2" xfId="2" applyNumberFormat="1" applyFont="1" applyFill="1" applyBorder="1" applyAlignment="1">
      <alignment horizontal="center" vertical="center"/>
    </xf>
    <xf numFmtId="3" fontId="26" fillId="8" borderId="2" xfId="2" applyNumberFormat="1" applyFont="1" applyFill="1" applyBorder="1" applyAlignment="1">
      <alignment horizontal="center" vertical="center"/>
    </xf>
    <xf numFmtId="14" fontId="25" fillId="8" borderId="2" xfId="2" applyNumberFormat="1" applyFont="1" applyFill="1" applyBorder="1" applyAlignment="1">
      <alignment horizontal="center" vertical="center"/>
    </xf>
    <xf numFmtId="181" fontId="25" fillId="8" borderId="2" xfId="2" applyNumberFormat="1" applyFont="1" applyFill="1" applyBorder="1" applyAlignment="1">
      <alignment horizontal="center" vertical="center"/>
    </xf>
    <xf numFmtId="38" fontId="25" fillId="8" borderId="2" xfId="3" applyFont="1" applyFill="1" applyBorder="1" applyAlignment="1">
      <alignment horizontal="center" vertical="center"/>
    </xf>
    <xf numFmtId="41" fontId="25" fillId="8" borderId="2" xfId="4" applyFont="1" applyFill="1" applyBorder="1" applyAlignment="1">
      <alignment horizontal="center" vertical="center"/>
    </xf>
    <xf numFmtId="41" fontId="25" fillId="8" borderId="19" xfId="4" applyFont="1" applyFill="1" applyBorder="1" applyAlignment="1">
      <alignment horizontal="center" vertical="center"/>
    </xf>
    <xf numFmtId="3" fontId="17" fillId="0" borderId="0" xfId="2" applyNumberFormat="1" applyFont="1">
      <alignment vertical="center"/>
    </xf>
    <xf numFmtId="38" fontId="17" fillId="0" borderId="0" xfId="3" applyFont="1">
      <alignment vertical="center"/>
    </xf>
    <xf numFmtId="38" fontId="17" fillId="0" borderId="0" xfId="3" applyFont="1" applyFill="1" applyBorder="1">
      <alignment vertical="center"/>
    </xf>
    <xf numFmtId="38" fontId="25" fillId="0" borderId="11" xfId="3" applyFont="1" applyFill="1" applyBorder="1" applyAlignment="1">
      <alignment horizontal="center" vertical="center"/>
    </xf>
    <xf numFmtId="181" fontId="25" fillId="0" borderId="11" xfId="2" applyNumberFormat="1" applyFont="1" applyBorder="1" applyAlignment="1">
      <alignment horizontal="center" vertical="center"/>
    </xf>
    <xf numFmtId="41" fontId="25" fillId="0" borderId="11" xfId="4" applyFont="1" applyBorder="1" applyAlignment="1">
      <alignment horizontal="center" vertical="center"/>
    </xf>
    <xf numFmtId="41" fontId="25" fillId="0" borderId="13" xfId="4" applyFont="1" applyBorder="1" applyAlignment="1">
      <alignment horizontal="center" vertical="center"/>
    </xf>
    <xf numFmtId="14" fontId="25" fillId="0" borderId="20" xfId="2" applyNumberFormat="1" applyFont="1" applyBorder="1" applyAlignment="1">
      <alignment horizontal="center" vertical="center"/>
    </xf>
    <xf numFmtId="38" fontId="19" fillId="6" borderId="2" xfId="2" applyNumberFormat="1" applyFont="1" applyFill="1" applyBorder="1">
      <alignment vertical="center"/>
    </xf>
    <xf numFmtId="41" fontId="27" fillId="0" borderId="13" xfId="4" applyFont="1" applyBorder="1" applyAlignment="1">
      <alignment horizontal="center" vertical="center"/>
    </xf>
    <xf numFmtId="181" fontId="25" fillId="8" borderId="11" xfId="2" applyNumberFormat="1" applyFont="1" applyFill="1" applyBorder="1" applyAlignment="1">
      <alignment horizontal="center" vertical="center"/>
    </xf>
    <xf numFmtId="0" fontId="19" fillId="8" borderId="2" xfId="2" applyFont="1" applyFill="1" applyBorder="1">
      <alignment vertical="center"/>
    </xf>
    <xf numFmtId="41" fontId="17" fillId="0" borderId="0" xfId="2" applyNumberFormat="1" applyFont="1">
      <alignment vertical="center"/>
    </xf>
    <xf numFmtId="182" fontId="17" fillId="0" borderId="0" xfId="2" applyNumberFormat="1" applyFont="1">
      <alignment vertical="center"/>
    </xf>
    <xf numFmtId="41" fontId="25" fillId="0" borderId="11" xfId="4" applyFont="1" applyFill="1" applyBorder="1" applyAlignment="1">
      <alignment horizontal="center" vertical="center"/>
    </xf>
    <xf numFmtId="0" fontId="22" fillId="0" borderId="0" xfId="2" applyFont="1" applyAlignment="1">
      <alignment vertical="center" readingOrder="1"/>
    </xf>
    <xf numFmtId="10" fontId="25" fillId="8" borderId="11" xfId="2" applyNumberFormat="1" applyFont="1" applyFill="1" applyBorder="1" applyAlignment="1">
      <alignment horizontal="center" vertical="center"/>
    </xf>
    <xf numFmtId="3" fontId="26" fillId="8" borderId="11" xfId="2" applyNumberFormat="1" applyFont="1" applyFill="1" applyBorder="1" applyAlignment="1">
      <alignment horizontal="center" vertical="center"/>
    </xf>
    <xf numFmtId="14" fontId="26" fillId="8" borderId="11" xfId="2" applyNumberFormat="1" applyFont="1" applyFill="1" applyBorder="1" applyAlignment="1">
      <alignment horizontal="center" vertical="center"/>
    </xf>
    <xf numFmtId="38" fontId="25" fillId="8" borderId="11" xfId="3" applyFont="1" applyFill="1" applyBorder="1" applyAlignment="1">
      <alignment horizontal="center" vertical="center"/>
    </xf>
    <xf numFmtId="41" fontId="25" fillId="8" borderId="11" xfId="4" applyFont="1" applyFill="1" applyBorder="1" applyAlignment="1">
      <alignment horizontal="center" vertical="center"/>
    </xf>
    <xf numFmtId="14" fontId="26" fillId="8" borderId="13" xfId="2" applyNumberFormat="1" applyFont="1" applyFill="1" applyBorder="1" applyAlignment="1">
      <alignment horizontal="center" vertical="center"/>
    </xf>
    <xf numFmtId="38" fontId="25" fillId="8" borderId="13" xfId="3" applyFont="1" applyFill="1" applyBorder="1" applyAlignment="1">
      <alignment horizontal="center" vertical="center"/>
    </xf>
    <xf numFmtId="0" fontId="19" fillId="9" borderId="17" xfId="2" applyFont="1" applyFill="1" applyBorder="1">
      <alignment vertical="center"/>
    </xf>
    <xf numFmtId="14" fontId="26" fillId="8" borderId="17" xfId="2" applyNumberFormat="1" applyFont="1" applyFill="1" applyBorder="1" applyAlignment="1">
      <alignment horizontal="center" vertical="center"/>
    </xf>
    <xf numFmtId="38" fontId="25" fillId="8" borderId="17" xfId="3" applyFont="1" applyFill="1" applyBorder="1" applyAlignment="1">
      <alignment horizontal="center" vertical="center"/>
    </xf>
    <xf numFmtId="182" fontId="25" fillId="8" borderId="17" xfId="2" applyNumberFormat="1" applyFont="1" applyFill="1" applyBorder="1" applyAlignment="1">
      <alignment horizontal="center" vertical="center"/>
    </xf>
    <xf numFmtId="182" fontId="25" fillId="0" borderId="14" xfId="2" applyNumberFormat="1" applyFont="1" applyBorder="1" applyAlignment="1">
      <alignment horizontal="center" vertical="center"/>
    </xf>
    <xf numFmtId="38" fontId="17" fillId="5" borderId="0" xfId="3" applyFont="1" applyFill="1">
      <alignment vertical="center"/>
    </xf>
    <xf numFmtId="14" fontId="26" fillId="0" borderId="11" xfId="2" applyNumberFormat="1" applyFont="1" applyBorder="1" applyAlignment="1">
      <alignment horizontal="center" vertical="center"/>
    </xf>
    <xf numFmtId="41" fontId="27" fillId="0" borderId="13" xfId="4" applyFont="1" applyFill="1" applyBorder="1" applyAlignment="1">
      <alignment horizontal="center" vertical="center"/>
    </xf>
    <xf numFmtId="10" fontId="25" fillId="0" borderId="0" xfId="2" applyNumberFormat="1" applyFont="1" applyAlignment="1">
      <alignment horizontal="center" vertical="center"/>
    </xf>
    <xf numFmtId="0" fontId="16" fillId="0" borderId="2" xfId="0" applyNumberFormat="1" applyFont="1" applyFill="1" applyBorder="1" applyAlignment="1">
      <alignment horizontal="center" vertical="center"/>
    </xf>
    <xf numFmtId="6" fontId="0" fillId="0" borderId="2" xfId="1" applyNumberFormat="1" applyFont="1" applyFill="1" applyBorder="1" applyAlignment="1">
      <alignment vertical="center"/>
    </xf>
    <xf numFmtId="183" fontId="0" fillId="0" borderId="2" xfId="1" applyNumberFormat="1" applyFont="1" applyFill="1" applyBorder="1" applyAlignment="1">
      <alignment vertical="center"/>
    </xf>
    <xf numFmtId="0" fontId="28" fillId="0" borderId="0" xfId="6" applyNumberFormat="1" applyFill="1" applyBorder="1" applyAlignment="1">
      <alignment vertical="center"/>
    </xf>
    <xf numFmtId="0" fontId="30" fillId="0" borderId="0" xfId="0" quotePrefix="1" applyNumberFormat="1" applyFont="1" applyFill="1" applyBorder="1" applyAlignment="1">
      <alignment vertical="center"/>
    </xf>
    <xf numFmtId="0" fontId="11" fillId="0" borderId="0" xfId="0" applyNumberFormat="1" applyFont="1" applyFill="1" applyBorder="1" applyAlignment="1">
      <alignment vertical="center"/>
    </xf>
    <xf numFmtId="0" fontId="0" fillId="0" borderId="0" xfId="0" quotePrefix="1" applyNumberFormat="1" applyFont="1" applyFill="1" applyBorder="1" applyAlignment="1">
      <alignment vertical="center"/>
    </xf>
    <xf numFmtId="3" fontId="26" fillId="4" borderId="2" xfId="2" applyNumberFormat="1" applyFont="1" applyFill="1" applyBorder="1" applyAlignment="1">
      <alignment horizontal="center" vertical="center"/>
    </xf>
    <xf numFmtId="0" fontId="17" fillId="0" borderId="0" xfId="5" applyFont="1">
      <alignment vertical="center"/>
    </xf>
    <xf numFmtId="40" fontId="33" fillId="0" borderId="0" xfId="5" applyNumberFormat="1" applyFont="1">
      <alignment vertical="center"/>
    </xf>
    <xf numFmtId="0" fontId="17" fillId="0" borderId="23" xfId="7" applyFont="1" applyBorder="1" applyAlignment="1">
      <alignment horizontal="center" vertical="center"/>
    </xf>
    <xf numFmtId="0" fontId="17" fillId="0" borderId="24" xfId="7" applyFont="1" applyBorder="1" applyAlignment="1">
      <alignment horizontal="center" vertical="center"/>
    </xf>
    <xf numFmtId="0" fontId="17" fillId="0" borderId="25" xfId="7" applyFont="1" applyBorder="1" applyAlignment="1">
      <alignment horizontal="center" vertical="center"/>
    </xf>
    <xf numFmtId="0" fontId="17" fillId="0" borderId="0" xfId="7" applyFont="1">
      <alignment vertical="center"/>
    </xf>
    <xf numFmtId="10" fontId="25" fillId="0" borderId="2" xfId="7" applyNumberFormat="1" applyFont="1" applyBorder="1" applyAlignment="1">
      <alignment horizontal="center" vertical="center"/>
    </xf>
    <xf numFmtId="38" fontId="25" fillId="0" borderId="2" xfId="3" applyFont="1" applyBorder="1" applyAlignment="1">
      <alignment horizontal="center" vertical="center"/>
    </xf>
    <xf numFmtId="9" fontId="17" fillId="0" borderId="2" xfId="8" applyFont="1" applyBorder="1" applyAlignment="1">
      <alignment horizontal="center" vertical="center"/>
    </xf>
    <xf numFmtId="9" fontId="17" fillId="0" borderId="27" xfId="7" applyNumberFormat="1" applyFont="1" applyBorder="1" applyAlignment="1">
      <alignment horizontal="center" vertical="center"/>
    </xf>
    <xf numFmtId="9" fontId="17" fillId="0" borderId="28" xfId="7" applyNumberFormat="1" applyFont="1" applyBorder="1" applyAlignment="1">
      <alignment horizontal="center" vertical="center"/>
    </xf>
    <xf numFmtId="9" fontId="17" fillId="0" borderId="2" xfId="7" applyNumberFormat="1" applyFont="1" applyBorder="1" applyAlignment="1">
      <alignment horizontal="center" vertical="center"/>
    </xf>
    <xf numFmtId="0" fontId="17" fillId="0" borderId="2" xfId="7" applyFont="1" applyBorder="1" applyAlignment="1">
      <alignment horizontal="center" vertical="center"/>
    </xf>
    <xf numFmtId="0" fontId="17" fillId="0" borderId="27" xfId="7" applyFont="1" applyBorder="1" applyAlignment="1">
      <alignment horizontal="center" vertical="center"/>
    </xf>
    <xf numFmtId="9" fontId="17" fillId="0" borderId="27" xfId="8" applyFont="1" applyBorder="1" applyAlignment="1">
      <alignment horizontal="center" vertical="center"/>
    </xf>
    <xf numFmtId="14" fontId="17" fillId="0" borderId="0" xfId="7" applyNumberFormat="1" applyFont="1">
      <alignment vertical="center"/>
    </xf>
    <xf numFmtId="10" fontId="25" fillId="0" borderId="32" xfId="7" applyNumberFormat="1" applyFont="1" applyBorder="1" applyAlignment="1">
      <alignment horizontal="center" vertical="center"/>
    </xf>
    <xf numFmtId="38" fontId="25" fillId="0" borderId="32" xfId="3" applyFont="1" applyBorder="1" applyAlignment="1">
      <alignment horizontal="center" vertical="center"/>
    </xf>
    <xf numFmtId="9" fontId="36" fillId="0" borderId="32" xfId="7" applyNumberFormat="1" applyFont="1" applyBorder="1" applyAlignment="1">
      <alignment horizontal="center" vertical="center"/>
    </xf>
    <xf numFmtId="9" fontId="17" fillId="0" borderId="32" xfId="7" applyNumberFormat="1" applyFont="1" applyBorder="1" applyAlignment="1">
      <alignment horizontal="center" vertical="center"/>
    </xf>
    <xf numFmtId="9" fontId="17" fillId="0" borderId="33" xfId="7" applyNumberFormat="1" applyFont="1" applyBorder="1" applyAlignment="1">
      <alignment horizontal="center" vertical="center"/>
    </xf>
    <xf numFmtId="9" fontId="17" fillId="0" borderId="34" xfId="7" applyNumberFormat="1" applyFont="1" applyBorder="1" applyAlignment="1">
      <alignment horizontal="center" vertical="center"/>
    </xf>
    <xf numFmtId="9" fontId="36" fillId="0" borderId="32" xfId="8" applyFont="1" applyBorder="1" applyAlignment="1">
      <alignment horizontal="center" vertical="center"/>
    </xf>
    <xf numFmtId="9" fontId="17" fillId="0" borderId="32" xfId="8" applyFont="1" applyBorder="1" applyAlignment="1">
      <alignment horizontal="center" vertical="center"/>
    </xf>
    <xf numFmtId="9" fontId="17" fillId="0" borderId="33" xfId="8" applyFont="1" applyBorder="1" applyAlignment="1">
      <alignment horizontal="center" vertical="center"/>
    </xf>
    <xf numFmtId="0" fontId="17" fillId="0" borderId="36" xfId="5" applyFont="1" applyBorder="1" applyAlignment="1">
      <alignment horizontal="center" vertical="center"/>
    </xf>
    <xf numFmtId="0" fontId="17" fillId="0" borderId="14" xfId="5" applyFont="1" applyBorder="1" applyAlignment="1">
      <alignment horizontal="center" vertical="center"/>
    </xf>
    <xf numFmtId="0" fontId="17" fillId="0" borderId="37" xfId="5" applyFont="1" applyBorder="1" applyAlignment="1">
      <alignment horizontal="center" vertical="center"/>
    </xf>
    <xf numFmtId="0" fontId="17" fillId="5" borderId="0" xfId="1" applyNumberFormat="1" applyFont="1" applyFill="1" applyAlignment="1">
      <alignment vertical="center"/>
    </xf>
    <xf numFmtId="0" fontId="8" fillId="0" borderId="0" xfId="0" applyNumberFormat="1" applyFont="1" applyFill="1" applyBorder="1" applyAlignment="1"/>
    <xf numFmtId="0" fontId="38" fillId="0" borderId="0" xfId="1" applyNumberFormat="1" applyFont="1" applyFill="1" applyBorder="1" applyAlignment="1">
      <alignment vertical="center"/>
    </xf>
    <xf numFmtId="0" fontId="0" fillId="0" borderId="0" xfId="1" applyNumberFormat="1" applyFont="1" applyFill="1" applyBorder="1" applyAlignment="1">
      <alignment horizontal="center" vertical="center"/>
    </xf>
    <xf numFmtId="0" fontId="0" fillId="0" borderId="0" xfId="1" applyNumberFormat="1" applyFont="1" applyFill="1" applyBorder="1" applyAlignment="1">
      <alignment vertical="center"/>
    </xf>
    <xf numFmtId="38" fontId="0" fillId="0" borderId="0" xfId="1" applyNumberFormat="1" applyFont="1" applyFill="1" applyBorder="1" applyAlignment="1">
      <alignment vertical="center"/>
    </xf>
    <xf numFmtId="0" fontId="0" fillId="0" borderId="0" xfId="1" applyNumberFormat="1" applyFont="1" applyFill="1" applyBorder="1" applyAlignment="1">
      <alignment horizontal="right" vertical="center"/>
    </xf>
    <xf numFmtId="0" fontId="0" fillId="8" borderId="2" xfId="1" applyNumberFormat="1" applyFont="1" applyFill="1" applyBorder="1" applyAlignment="1">
      <alignment horizontal="center" vertical="center"/>
    </xf>
    <xf numFmtId="40" fontId="16" fillId="8" borderId="2" xfId="1" applyNumberFormat="1" applyFont="1" applyFill="1" applyBorder="1" applyAlignment="1">
      <alignment horizontal="center" vertical="center"/>
    </xf>
    <xf numFmtId="0" fontId="16" fillId="8" borderId="2" xfId="1" applyNumberFormat="1" applyFont="1" applyFill="1" applyBorder="1" applyAlignment="1">
      <alignment horizontal="center" vertical="center"/>
    </xf>
    <xf numFmtId="0" fontId="0" fillId="0" borderId="2" xfId="1" applyNumberFormat="1" applyFont="1" applyFill="1" applyBorder="1" applyAlignment="1">
      <alignment horizontal="center" vertical="center"/>
    </xf>
    <xf numFmtId="40" fontId="0" fillId="0" borderId="2" xfId="1" applyNumberFormat="1" applyFont="1" applyFill="1" applyBorder="1" applyAlignment="1">
      <alignment vertical="center"/>
    </xf>
    <xf numFmtId="40" fontId="0" fillId="0" borderId="2" xfId="1" applyNumberFormat="1" applyFont="1" applyFill="1" applyBorder="1" applyAlignment="1">
      <alignment horizontal="center" vertical="center"/>
    </xf>
    <xf numFmtId="40" fontId="0" fillId="0" borderId="0" xfId="1" applyNumberFormat="1" applyFont="1" applyFill="1" applyBorder="1" applyAlignment="1">
      <alignment vertical="center"/>
    </xf>
    <xf numFmtId="40" fontId="0" fillId="0" borderId="0" xfId="1" applyNumberFormat="1" applyFont="1" applyFill="1" applyBorder="1" applyAlignment="1">
      <alignment horizontal="center" vertical="center"/>
    </xf>
    <xf numFmtId="0" fontId="11" fillId="0" borderId="2" xfId="1" applyNumberFormat="1" applyFont="1" applyFill="1" applyBorder="1" applyAlignment="1">
      <alignment horizontal="center" vertical="center"/>
    </xf>
    <xf numFmtId="0" fontId="39" fillId="0" borderId="0" xfId="0" applyNumberFormat="1" applyFont="1" applyFill="1" applyBorder="1" applyAlignment="1">
      <alignment vertical="center"/>
    </xf>
    <xf numFmtId="0" fontId="39" fillId="0" borderId="0" xfId="0" applyNumberFormat="1" applyFont="1" applyFill="1" applyBorder="1" applyAlignment="1">
      <alignment horizontal="center" vertical="center"/>
    </xf>
    <xf numFmtId="40" fontId="39" fillId="0" borderId="20" xfId="0" applyNumberFormat="1" applyFont="1" applyFill="1" applyBorder="1" applyAlignment="1">
      <alignment vertical="center"/>
    </xf>
    <xf numFmtId="38" fontId="39" fillId="0" borderId="20" xfId="0" applyNumberFormat="1" applyFont="1" applyFill="1" applyBorder="1" applyAlignment="1">
      <alignment vertical="center"/>
    </xf>
    <xf numFmtId="0" fontId="39" fillId="0" borderId="20" xfId="0" applyNumberFormat="1" applyFont="1" applyFill="1" applyBorder="1" applyAlignment="1">
      <alignment vertical="center"/>
    </xf>
    <xf numFmtId="3" fontId="39" fillId="0" borderId="20" xfId="0" applyNumberFormat="1" applyFont="1" applyFill="1" applyBorder="1" applyAlignment="1">
      <alignment vertical="center"/>
    </xf>
    <xf numFmtId="14" fontId="39" fillId="0" borderId="20" xfId="0" applyNumberFormat="1" applyFont="1" applyFill="1" applyBorder="1" applyAlignment="1">
      <alignment horizontal="center" vertical="center"/>
    </xf>
    <xf numFmtId="0" fontId="39" fillId="0" borderId="20" xfId="0" applyNumberFormat="1" applyFont="1" applyFill="1" applyBorder="1" applyAlignment="1">
      <alignment horizontal="center" vertical="center"/>
    </xf>
    <xf numFmtId="40" fontId="39" fillId="0" borderId="20" xfId="0" applyNumberFormat="1" applyFont="1" applyFill="1" applyBorder="1" applyAlignment="1">
      <alignment horizontal="center" vertical="center"/>
    </xf>
    <xf numFmtId="2" fontId="39" fillId="0" borderId="20" xfId="0" applyNumberFormat="1" applyFont="1" applyFill="1" applyBorder="1" applyAlignment="1">
      <alignment horizontal="center" vertical="center"/>
    </xf>
    <xf numFmtId="0" fontId="39" fillId="0" borderId="38" xfId="0" applyNumberFormat="1" applyFont="1" applyFill="1" applyBorder="1" applyAlignment="1">
      <alignment vertical="center"/>
    </xf>
    <xf numFmtId="0" fontId="39" fillId="0" borderId="38" xfId="0" applyNumberFormat="1" applyFont="1" applyFill="1" applyBorder="1" applyAlignment="1">
      <alignment horizontal="center" vertical="center"/>
    </xf>
    <xf numFmtId="38" fontId="39" fillId="0" borderId="38" xfId="0" applyNumberFormat="1" applyFont="1" applyFill="1" applyBorder="1" applyAlignment="1">
      <alignment vertical="center"/>
    </xf>
    <xf numFmtId="3" fontId="39" fillId="0" borderId="38" xfId="0" applyNumberFormat="1" applyFont="1" applyFill="1" applyBorder="1" applyAlignment="1">
      <alignment vertical="center"/>
    </xf>
    <xf numFmtId="40" fontId="39" fillId="0" borderId="39" xfId="0" applyNumberFormat="1" applyFont="1" applyFill="1" applyBorder="1" applyAlignment="1">
      <alignment vertical="center"/>
    </xf>
    <xf numFmtId="40" fontId="39" fillId="0" borderId="39" xfId="0" applyNumberFormat="1" applyFont="1" applyFill="1" applyBorder="1" applyAlignment="1">
      <alignment horizontal="center" vertical="center"/>
    </xf>
    <xf numFmtId="38" fontId="39" fillId="0" borderId="39" xfId="0" applyNumberFormat="1" applyFont="1" applyFill="1" applyBorder="1" applyAlignment="1">
      <alignment vertical="center"/>
    </xf>
    <xf numFmtId="0" fontId="39" fillId="0" borderId="39" xfId="0" applyNumberFormat="1" applyFont="1" applyFill="1" applyBorder="1" applyAlignment="1">
      <alignment horizontal="center" vertical="center"/>
    </xf>
    <xf numFmtId="0" fontId="39" fillId="0" borderId="39" xfId="0" applyNumberFormat="1" applyFont="1" applyFill="1" applyBorder="1" applyAlignment="1">
      <alignment vertical="center"/>
    </xf>
    <xf numFmtId="0" fontId="39" fillId="8" borderId="40" xfId="0" applyNumberFormat="1" applyFont="1" applyFill="1" applyBorder="1" applyAlignment="1">
      <alignment horizontal="center" vertical="center"/>
    </xf>
    <xf numFmtId="38" fontId="40" fillId="0" borderId="40" xfId="0" applyNumberFormat="1" applyFont="1" applyFill="1" applyBorder="1" applyAlignment="1">
      <alignment vertical="center"/>
    </xf>
    <xf numFmtId="0" fontId="40" fillId="0" borderId="40" xfId="0" applyNumberFormat="1" applyFont="1" applyFill="1" applyBorder="1" applyAlignment="1">
      <alignment horizontal="center" vertical="center"/>
    </xf>
    <xf numFmtId="0" fontId="41" fillId="0" borderId="0" xfId="9" applyFont="1">
      <alignment vertical="center"/>
    </xf>
    <xf numFmtId="0" fontId="42" fillId="0" borderId="0" xfId="9" applyFont="1">
      <alignment vertical="center"/>
    </xf>
    <xf numFmtId="0" fontId="43" fillId="0" borderId="0" xfId="9" applyFont="1">
      <alignment vertical="center"/>
    </xf>
    <xf numFmtId="0" fontId="41" fillId="0" borderId="0" xfId="9" applyFont="1" applyAlignment="1">
      <alignment horizontal="right" vertical="center"/>
    </xf>
    <xf numFmtId="0" fontId="44" fillId="8" borderId="6" xfId="9" applyFont="1" applyFill="1" applyBorder="1" applyAlignment="1">
      <alignment horizontal="center" vertical="center"/>
    </xf>
    <xf numFmtId="41" fontId="44" fillId="8" borderId="6" xfId="10" applyFont="1" applyFill="1" applyBorder="1" applyAlignment="1">
      <alignment horizontal="center" vertical="center"/>
    </xf>
    <xf numFmtId="0" fontId="44" fillId="11" borderId="6" xfId="9" applyFont="1" applyFill="1" applyBorder="1" applyAlignment="1">
      <alignment horizontal="center" vertical="center"/>
    </xf>
    <xf numFmtId="41" fontId="44" fillId="11" borderId="41" xfId="10" applyFont="1" applyFill="1" applyBorder="1" applyAlignment="1">
      <alignment horizontal="center" vertical="center"/>
    </xf>
    <xf numFmtId="0" fontId="17" fillId="0" borderId="23" xfId="9" applyFont="1" applyBorder="1" applyAlignment="1">
      <alignment horizontal="center" vertical="center"/>
    </xf>
    <xf numFmtId="41" fontId="17" fillId="0" borderId="23" xfId="9" applyNumberFormat="1" applyFont="1" applyBorder="1">
      <alignment vertical="center"/>
    </xf>
    <xf numFmtId="184" fontId="46" fillId="0" borderId="23" xfId="9" applyNumberFormat="1" applyFont="1" applyBorder="1">
      <alignment vertical="center"/>
    </xf>
    <xf numFmtId="184" fontId="46" fillId="0" borderId="25" xfId="9" applyNumberFormat="1" applyFont="1" applyBorder="1">
      <alignment vertical="center"/>
    </xf>
    <xf numFmtId="17" fontId="17" fillId="0" borderId="2" xfId="9" applyNumberFormat="1" applyFont="1" applyBorder="1" applyAlignment="1">
      <alignment horizontal="center" vertical="center"/>
    </xf>
    <xf numFmtId="41" fontId="17" fillId="0" borderId="2" xfId="9" applyNumberFormat="1" applyFont="1" applyBorder="1">
      <alignment vertical="center"/>
    </xf>
    <xf numFmtId="184" fontId="46" fillId="0" borderId="2" xfId="9" applyNumberFormat="1" applyFont="1" applyBorder="1">
      <alignment vertical="center"/>
    </xf>
    <xf numFmtId="184" fontId="46" fillId="0" borderId="28" xfId="9" applyNumberFormat="1" applyFont="1" applyBorder="1">
      <alignment vertical="center"/>
    </xf>
    <xf numFmtId="17" fontId="17" fillId="0" borderId="2" xfId="10" applyNumberFormat="1" applyFont="1" applyBorder="1" applyAlignment="1">
      <alignment horizontal="center" vertical="center"/>
    </xf>
    <xf numFmtId="184" fontId="47" fillId="0" borderId="2" xfId="9" applyNumberFormat="1" applyFont="1" applyBorder="1">
      <alignment vertical="center"/>
    </xf>
    <xf numFmtId="17" fontId="45" fillId="0" borderId="32" xfId="9" applyNumberFormat="1" applyFont="1" applyBorder="1" applyAlignment="1">
      <alignment horizontal="center" vertical="center"/>
    </xf>
    <xf numFmtId="41" fontId="45" fillId="0" borderId="32" xfId="9" applyNumberFormat="1" applyFont="1" applyBorder="1">
      <alignment vertical="center"/>
    </xf>
    <xf numFmtId="184" fontId="47" fillId="0" borderId="32" xfId="9" applyNumberFormat="1" applyFont="1" applyBorder="1">
      <alignment vertical="center"/>
    </xf>
    <xf numFmtId="184" fontId="47" fillId="0" borderId="34" xfId="9" applyNumberFormat="1" applyFont="1" applyBorder="1">
      <alignment vertical="center"/>
    </xf>
    <xf numFmtId="0" fontId="17" fillId="12" borderId="8" xfId="9" applyFont="1" applyFill="1" applyBorder="1" applyAlignment="1">
      <alignment horizontal="center" vertical="center"/>
    </xf>
    <xf numFmtId="41" fontId="17" fillId="12" borderId="8" xfId="9" applyNumberFormat="1" applyFont="1" applyFill="1" applyBorder="1">
      <alignment vertical="center"/>
    </xf>
    <xf numFmtId="184" fontId="46" fillId="12" borderId="8" xfId="9" applyNumberFormat="1" applyFont="1" applyFill="1" applyBorder="1">
      <alignment vertical="center"/>
    </xf>
    <xf numFmtId="184" fontId="46" fillId="12" borderId="43" xfId="9" applyNumberFormat="1" applyFont="1" applyFill="1" applyBorder="1">
      <alignment vertical="center"/>
    </xf>
    <xf numFmtId="17" fontId="17" fillId="12" borderId="2" xfId="9" applyNumberFormat="1" applyFont="1" applyFill="1" applyBorder="1" applyAlignment="1">
      <alignment horizontal="center" vertical="center"/>
    </xf>
    <xf numFmtId="41" fontId="17" fillId="12" borderId="2" xfId="9" applyNumberFormat="1" applyFont="1" applyFill="1" applyBorder="1">
      <alignment vertical="center"/>
    </xf>
    <xf numFmtId="184" fontId="46" fillId="12" borderId="2" xfId="9" applyNumberFormat="1" applyFont="1" applyFill="1" applyBorder="1">
      <alignment vertical="center"/>
    </xf>
    <xf numFmtId="184" fontId="46" fillId="12" borderId="28" xfId="9" applyNumberFormat="1" applyFont="1" applyFill="1" applyBorder="1">
      <alignment vertical="center"/>
    </xf>
    <xf numFmtId="17" fontId="17" fillId="12" borderId="2" xfId="10" applyNumberFormat="1" applyFont="1" applyFill="1" applyBorder="1" applyAlignment="1">
      <alignment horizontal="center" vertical="center"/>
    </xf>
    <xf numFmtId="17" fontId="45" fillId="12" borderId="32" xfId="10" applyNumberFormat="1" applyFont="1" applyFill="1" applyBorder="1" applyAlignment="1">
      <alignment horizontal="center" vertical="center"/>
    </xf>
    <xf numFmtId="41" fontId="45" fillId="12" borderId="32" xfId="9" applyNumberFormat="1" applyFont="1" applyFill="1" applyBorder="1">
      <alignment vertical="center"/>
    </xf>
    <xf numFmtId="184" fontId="47" fillId="12" borderId="32" xfId="9" applyNumberFormat="1" applyFont="1" applyFill="1" applyBorder="1">
      <alignment vertical="center"/>
    </xf>
    <xf numFmtId="184" fontId="47" fillId="12" borderId="34" xfId="9" applyNumberFormat="1" applyFont="1" applyFill="1" applyBorder="1">
      <alignment vertical="center"/>
    </xf>
    <xf numFmtId="0" fontId="17" fillId="0" borderId="8" xfId="9" applyFont="1" applyBorder="1" applyAlignment="1">
      <alignment horizontal="center" vertical="center"/>
    </xf>
    <xf numFmtId="41" fontId="17" fillId="0" borderId="8" xfId="9" applyNumberFormat="1" applyFont="1" applyBorder="1">
      <alignment vertical="center"/>
    </xf>
    <xf numFmtId="184" fontId="46" fillId="0" borderId="8" xfId="9" applyNumberFormat="1" applyFont="1" applyBorder="1">
      <alignment vertical="center"/>
    </xf>
    <xf numFmtId="184" fontId="46" fillId="0" borderId="43" xfId="9" applyNumberFormat="1" applyFont="1" applyBorder="1">
      <alignment vertical="center"/>
    </xf>
    <xf numFmtId="184" fontId="46" fillId="0" borderId="6" xfId="9" applyNumberFormat="1" applyFont="1" applyBorder="1">
      <alignment vertical="center"/>
    </xf>
    <xf numFmtId="184" fontId="46" fillId="0" borderId="41" xfId="9" applyNumberFormat="1" applyFont="1" applyBorder="1">
      <alignment vertical="center"/>
    </xf>
    <xf numFmtId="0" fontId="45" fillId="8" borderId="33" xfId="9" applyFont="1" applyFill="1" applyBorder="1" applyAlignment="1">
      <alignment horizontal="center" vertical="center"/>
    </xf>
    <xf numFmtId="41" fontId="45" fillId="8" borderId="32" xfId="10" applyFont="1" applyFill="1" applyBorder="1">
      <alignment vertical="center"/>
    </xf>
    <xf numFmtId="184" fontId="47" fillId="8" borderId="32" xfId="9" applyNumberFormat="1" applyFont="1" applyFill="1" applyBorder="1">
      <alignment vertical="center"/>
    </xf>
    <xf numFmtId="41" fontId="45" fillId="11" borderId="32" xfId="10" applyFont="1" applyFill="1" applyBorder="1">
      <alignment vertical="center"/>
    </xf>
    <xf numFmtId="184" fontId="47" fillId="11" borderId="34" xfId="9" applyNumberFormat="1" applyFont="1" applyFill="1" applyBorder="1">
      <alignment vertical="center"/>
    </xf>
    <xf numFmtId="41" fontId="41" fillId="0" borderId="0" xfId="10" applyFont="1">
      <alignment vertical="center"/>
    </xf>
    <xf numFmtId="14" fontId="26" fillId="11" borderId="13" xfId="2" applyNumberFormat="1" applyFont="1" applyFill="1" applyBorder="1" applyAlignment="1">
      <alignment horizontal="center" vertical="center"/>
    </xf>
    <xf numFmtId="14" fontId="25" fillId="11" borderId="13" xfId="2" applyNumberFormat="1" applyFont="1" applyFill="1" applyBorder="1" applyAlignment="1">
      <alignment horizontal="center" vertical="center"/>
    </xf>
    <xf numFmtId="181" fontId="25" fillId="11" borderId="13" xfId="2" applyNumberFormat="1" applyFont="1" applyFill="1" applyBorder="1" applyAlignment="1">
      <alignment horizontal="center" vertical="center"/>
    </xf>
    <xf numFmtId="38" fontId="25" fillId="11" borderId="12" xfId="3" applyFont="1" applyFill="1" applyBorder="1" applyAlignment="1">
      <alignment horizontal="center" vertical="center"/>
    </xf>
    <xf numFmtId="41" fontId="25" fillId="11" borderId="13" xfId="4" applyFont="1" applyFill="1" applyBorder="1" applyAlignment="1">
      <alignment horizontal="center" vertical="center"/>
    </xf>
    <xf numFmtId="38" fontId="25" fillId="8" borderId="12" xfId="3" applyFont="1" applyFill="1" applyBorder="1" applyAlignment="1">
      <alignment horizontal="center" vertical="center"/>
    </xf>
    <xf numFmtId="38" fontId="25" fillId="11" borderId="13" xfId="3" applyFont="1" applyFill="1" applyBorder="1" applyAlignment="1">
      <alignment horizontal="center" vertical="center"/>
    </xf>
    <xf numFmtId="185" fontId="39" fillId="0" borderId="20" xfId="0" applyNumberFormat="1" applyFont="1" applyFill="1" applyBorder="1" applyAlignment="1">
      <alignment horizontal="center" vertical="center"/>
    </xf>
    <xf numFmtId="38" fontId="40" fillId="10" borderId="8" xfId="0" applyNumberFormat="1" applyFont="1" applyFill="1" applyBorder="1" applyAlignment="1">
      <alignment vertical="center"/>
    </xf>
    <xf numFmtId="0" fontId="40" fillId="10" borderId="8" xfId="0" applyNumberFormat="1" applyFont="1" applyFill="1" applyBorder="1" applyAlignment="1">
      <alignment horizontal="center" vertical="center"/>
    </xf>
    <xf numFmtId="17" fontId="26" fillId="0" borderId="39" xfId="2" applyNumberFormat="1" applyFont="1" applyBorder="1" applyAlignment="1">
      <alignment horizontal="center" vertical="center"/>
    </xf>
    <xf numFmtId="17" fontId="39" fillId="0" borderId="20" xfId="0" applyNumberFormat="1" applyFont="1" applyFill="1" applyBorder="1" applyAlignment="1">
      <alignment horizontal="center" vertical="center"/>
    </xf>
    <xf numFmtId="17" fontId="40" fillId="0" borderId="40" xfId="0" applyNumberFormat="1" applyFont="1" applyFill="1" applyBorder="1" applyAlignment="1">
      <alignment horizontal="center" vertical="center"/>
    </xf>
    <xf numFmtId="17" fontId="39" fillId="0" borderId="38" xfId="0" applyNumberFormat="1" applyFont="1" applyFill="1" applyBorder="1" applyAlignment="1">
      <alignment horizontal="center" vertical="center"/>
    </xf>
    <xf numFmtId="0" fontId="0" fillId="8" borderId="2" xfId="1" applyNumberFormat="1" applyFont="1" applyFill="1" applyBorder="1" applyAlignment="1">
      <alignment horizontal="center" vertical="center" wrapText="1"/>
    </xf>
    <xf numFmtId="0" fontId="0" fillId="0" borderId="27" xfId="0" applyNumberFormat="1" applyFont="1" applyFill="1" applyBorder="1" applyAlignment="1"/>
    <xf numFmtId="0" fontId="30" fillId="0" borderId="2" xfId="1" applyNumberFormat="1" applyFont="1" applyFill="1" applyBorder="1" applyAlignment="1">
      <alignment vertical="center"/>
    </xf>
    <xf numFmtId="40" fontId="11" fillId="0" borderId="45" xfId="1" applyNumberFormat="1" applyFont="1" applyFill="1" applyBorder="1" applyAlignment="1">
      <alignment vertical="center"/>
    </xf>
    <xf numFmtId="186" fontId="11" fillId="0" borderId="2" xfId="1" applyNumberFormat="1" applyFont="1" applyFill="1" applyBorder="1" applyAlignment="1">
      <alignment vertical="center"/>
    </xf>
    <xf numFmtId="187" fontId="0" fillId="0" borderId="2" xfId="1" applyNumberFormat="1" applyFont="1" applyFill="1" applyBorder="1" applyAlignment="1">
      <alignment vertical="center"/>
    </xf>
    <xf numFmtId="187" fontId="11" fillId="0" borderId="2" xfId="1" applyNumberFormat="1" applyFont="1" applyFill="1" applyBorder="1" applyAlignment="1">
      <alignment vertical="center"/>
    </xf>
    <xf numFmtId="0" fontId="38" fillId="0" borderId="0" xfId="1" applyNumberFormat="1" applyFont="1" applyFill="1" applyBorder="1" applyAlignment="1">
      <alignment horizontal="left" vertical="center"/>
    </xf>
    <xf numFmtId="188" fontId="39" fillId="0" borderId="38" xfId="1" applyNumberFormat="1" applyFont="1" applyFill="1" applyBorder="1" applyAlignment="1">
      <alignment vertical="center"/>
    </xf>
    <xf numFmtId="188" fontId="39" fillId="0" borderId="39" xfId="0" applyNumberFormat="1" applyFont="1" applyFill="1" applyBorder="1" applyAlignment="1">
      <alignment vertical="center"/>
    </xf>
    <xf numFmtId="188" fontId="39" fillId="0" borderId="20" xfId="0" applyNumberFormat="1" applyFont="1" applyFill="1" applyBorder="1" applyAlignment="1">
      <alignment vertical="center"/>
    </xf>
    <xf numFmtId="188" fontId="39" fillId="0" borderId="20" xfId="11" applyNumberFormat="1" applyFont="1" applyFill="1" applyBorder="1" applyAlignment="1">
      <alignment vertical="center"/>
    </xf>
    <xf numFmtId="178" fontId="39" fillId="0" borderId="39" xfId="0" applyNumberFormat="1" applyFont="1" applyFill="1" applyBorder="1" applyAlignment="1">
      <alignment horizontal="center" vertical="center"/>
    </xf>
    <xf numFmtId="178" fontId="39" fillId="0" borderId="20" xfId="0" applyNumberFormat="1" applyFont="1" applyFill="1" applyBorder="1" applyAlignment="1">
      <alignment horizontal="center" vertical="center"/>
    </xf>
    <xf numFmtId="178" fontId="40" fillId="10" borderId="48" xfId="0" applyNumberFormat="1" applyFont="1" applyFill="1" applyBorder="1" applyAlignment="1">
      <alignment horizontal="center" vertical="center"/>
    </xf>
    <xf numFmtId="39" fontId="40" fillId="10" borderId="48" xfId="1" applyNumberFormat="1" applyFont="1" applyFill="1" applyBorder="1" applyAlignment="1">
      <alignment horizontal="right" vertical="center"/>
    </xf>
    <xf numFmtId="0" fontId="39" fillId="0" borderId="49" xfId="0" applyNumberFormat="1" applyFont="1" applyFill="1" applyBorder="1" applyAlignment="1">
      <alignment vertical="center"/>
    </xf>
    <xf numFmtId="38" fontId="39" fillId="0" borderId="50" xfId="0" applyNumberFormat="1" applyFont="1" applyFill="1" applyBorder="1" applyAlignment="1">
      <alignment vertical="center"/>
    </xf>
    <xf numFmtId="17" fontId="39" fillId="0" borderId="50" xfId="0" applyNumberFormat="1" applyFont="1" applyFill="1" applyBorder="1" applyAlignment="1">
      <alignment horizontal="center" vertical="center"/>
    </xf>
    <xf numFmtId="3" fontId="39" fillId="0" borderId="50" xfId="0" applyNumberFormat="1" applyFont="1" applyFill="1" applyBorder="1" applyAlignment="1">
      <alignment vertical="center"/>
    </xf>
    <xf numFmtId="0" fontId="39" fillId="0" borderId="50" xfId="0" applyNumberFormat="1" applyFont="1" applyFill="1" applyBorder="1" applyAlignment="1">
      <alignment horizontal="center" vertical="center"/>
    </xf>
    <xf numFmtId="178" fontId="39" fillId="0" borderId="51" xfId="0" applyNumberFormat="1" applyFont="1" applyFill="1" applyBorder="1" applyAlignment="1">
      <alignment horizontal="center" vertical="center"/>
    </xf>
    <xf numFmtId="38" fontId="39" fillId="0" borderId="0" xfId="0" applyNumberFormat="1" applyFont="1" applyFill="1" applyBorder="1" applyAlignment="1">
      <alignment vertical="center"/>
    </xf>
    <xf numFmtId="14" fontId="39" fillId="0" borderId="50" xfId="0" applyNumberFormat="1" applyFont="1" applyFill="1" applyBorder="1" applyAlignment="1">
      <alignment horizontal="center" vertical="center"/>
    </xf>
    <xf numFmtId="178" fontId="40" fillId="0" borderId="50" xfId="0" applyNumberFormat="1" applyFont="1" applyFill="1" applyBorder="1" applyAlignment="1">
      <alignment vertical="center"/>
    </xf>
    <xf numFmtId="0" fontId="39" fillId="0" borderId="50" xfId="0" applyNumberFormat="1" applyFont="1" applyFill="1" applyBorder="1" applyAlignment="1">
      <alignment vertical="center"/>
    </xf>
    <xf numFmtId="0" fontId="40" fillId="0" borderId="8" xfId="0" applyNumberFormat="1" applyFont="1" applyFill="1" applyBorder="1" applyAlignment="1">
      <alignment horizontal="center" vertical="center"/>
    </xf>
    <xf numFmtId="0" fontId="0" fillId="0" borderId="2" xfId="0" applyBorder="1" applyAlignment="1">
      <alignment horizontal="center" vertical="center"/>
    </xf>
    <xf numFmtId="189" fontId="0" fillId="0" borderId="0" xfId="0" applyNumberFormat="1" applyFont="1" applyFill="1" applyBorder="1" applyAlignment="1"/>
    <xf numFmtId="0" fontId="0" fillId="0" borderId="2" xfId="0" applyNumberFormat="1" applyFont="1" applyFill="1" applyBorder="1" applyAlignment="1">
      <alignment horizontal="center" vertical="center" wrapText="1"/>
    </xf>
    <xf numFmtId="0" fontId="0" fillId="0" borderId="0" xfId="0" applyNumberFormat="1" applyFont="1" applyFill="1" applyBorder="1" applyAlignment="1">
      <alignment horizontal="center" vertical="center" wrapText="1"/>
    </xf>
    <xf numFmtId="0" fontId="48" fillId="0" borderId="0" xfId="0" applyNumberFormat="1" applyFont="1" applyFill="1" applyBorder="1" applyAlignment="1">
      <alignment horizontal="center"/>
    </xf>
    <xf numFmtId="186" fontId="0" fillId="0" borderId="0" xfId="1" applyNumberFormat="1" applyFont="1" applyFill="1" applyBorder="1" applyAlignment="1">
      <alignment vertical="center"/>
    </xf>
    <xf numFmtId="186" fontId="11" fillId="0" borderId="0" xfId="1" applyNumberFormat="1" applyFont="1" applyFill="1" applyBorder="1" applyAlignment="1">
      <alignment vertical="center"/>
    </xf>
    <xf numFmtId="186" fontId="0" fillId="0" borderId="2" xfId="1" applyNumberFormat="1" applyFont="1" applyFill="1" applyBorder="1" applyAlignment="1">
      <alignment horizontal="center" vertical="center"/>
    </xf>
    <xf numFmtId="0" fontId="16" fillId="0" borderId="2" xfId="0" applyNumberFormat="1" applyFont="1" applyFill="1" applyBorder="1" applyAlignment="1">
      <alignment horizontal="center" wrapText="1"/>
    </xf>
    <xf numFmtId="0" fontId="0" fillId="0" borderId="2" xfId="0" applyNumberFormat="1" applyFont="1" applyFill="1" applyBorder="1" applyAlignment="1">
      <alignment horizontal="center"/>
    </xf>
    <xf numFmtId="186" fontId="0" fillId="0" borderId="2" xfId="1" applyNumberFormat="1" applyFont="1" applyFill="1" applyBorder="1" applyAlignment="1">
      <alignment horizontal="center" vertical="center" wrapText="1"/>
    </xf>
    <xf numFmtId="0" fontId="16" fillId="0" borderId="2" xfId="0" applyNumberFormat="1" applyFont="1" applyFill="1" applyBorder="1" applyAlignment="1">
      <alignment horizontal="center" vertical="center" wrapText="1"/>
    </xf>
    <xf numFmtId="186" fontId="11" fillId="0" borderId="2" xfId="1" applyNumberFormat="1" applyFont="1" applyFill="1" applyBorder="1" applyAlignment="1">
      <alignment horizontal="center" vertical="center" wrapText="1"/>
    </xf>
    <xf numFmtId="9" fontId="0" fillId="0" borderId="0" xfId="0" applyNumberFormat="1" applyFont="1" applyFill="1" applyBorder="1" applyAlignment="1"/>
    <xf numFmtId="0" fontId="0" fillId="0" borderId="0" xfId="1" applyNumberFormat="1" applyFont="1" applyFill="1" applyBorder="1" applyAlignment="1"/>
    <xf numFmtId="10" fontId="0" fillId="0" borderId="0" xfId="12" applyNumberFormat="1" applyFont="1" applyFill="1" applyBorder="1" applyAlignment="1"/>
    <xf numFmtId="10" fontId="0" fillId="0" borderId="0" xfId="0" applyNumberFormat="1" applyFont="1" applyFill="1" applyBorder="1" applyAlignment="1"/>
    <xf numFmtId="3" fontId="39" fillId="0" borderId="39" xfId="0" applyNumberFormat="1" applyFont="1" applyFill="1" applyBorder="1" applyAlignment="1">
      <alignment vertical="center"/>
    </xf>
    <xf numFmtId="41" fontId="49" fillId="11" borderId="13" xfId="4" applyFont="1" applyFill="1" applyBorder="1" applyAlignment="1">
      <alignment horizontal="center" vertical="center"/>
    </xf>
    <xf numFmtId="14" fontId="50" fillId="11" borderId="13" xfId="4" applyNumberFormat="1" applyFont="1" applyFill="1" applyBorder="1" applyAlignment="1">
      <alignment horizontal="center" vertical="center"/>
    </xf>
    <xf numFmtId="0" fontId="12" fillId="8" borderId="2" xfId="1" applyNumberFormat="1" applyFont="1" applyFill="1" applyBorder="1" applyAlignment="1">
      <alignment horizontal="center" vertical="center" wrapText="1"/>
    </xf>
    <xf numFmtId="0" fontId="39" fillId="0" borderId="0" xfId="0" applyNumberFormat="1" applyFont="1" applyFill="1" applyBorder="1" applyAlignment="1">
      <alignment horizontal="right" vertical="center"/>
    </xf>
    <xf numFmtId="0" fontId="39" fillId="0" borderId="27" xfId="0" applyNumberFormat="1" applyFont="1" applyFill="1" applyBorder="1" applyAlignment="1">
      <alignment horizontal="center" vertical="center" wrapText="1"/>
    </xf>
    <xf numFmtId="0" fontId="40" fillId="0" borderId="44" xfId="0" applyNumberFormat="1" applyFont="1" applyFill="1" applyBorder="1" applyAlignment="1">
      <alignment horizontal="center" vertical="center"/>
    </xf>
    <xf numFmtId="40" fontId="40" fillId="0" borderId="45" xfId="0" applyNumberFormat="1" applyFont="1" applyFill="1" applyBorder="1" applyAlignment="1">
      <alignment horizontal="center" vertical="center"/>
    </xf>
    <xf numFmtId="0" fontId="39" fillId="0" borderId="44" xfId="0" applyNumberFormat="1" applyFont="1" applyFill="1" applyBorder="1" applyAlignment="1">
      <alignment horizontal="center" vertical="center"/>
    </xf>
    <xf numFmtId="178" fontId="40" fillId="0" borderId="2" xfId="0" applyNumberFormat="1" applyFont="1" applyFill="1" applyBorder="1" applyAlignment="1">
      <alignment vertical="center"/>
    </xf>
    <xf numFmtId="38" fontId="40" fillId="0" borderId="2" xfId="0" applyNumberFormat="1" applyFont="1" applyFill="1" applyBorder="1" applyAlignment="1">
      <alignment vertical="center"/>
    </xf>
    <xf numFmtId="17" fontId="40" fillId="0" borderId="2" xfId="0" applyNumberFormat="1" applyFont="1" applyFill="1" applyBorder="1" applyAlignment="1">
      <alignment horizontal="center" vertical="center"/>
    </xf>
    <xf numFmtId="0" fontId="40" fillId="0" borderId="2" xfId="0" applyNumberFormat="1" applyFont="1" applyFill="1" applyBorder="1" applyAlignment="1">
      <alignment horizontal="center" vertical="center"/>
    </xf>
    <xf numFmtId="38" fontId="19" fillId="0" borderId="0" xfId="2" applyNumberFormat="1" applyFont="1">
      <alignment vertical="center"/>
    </xf>
    <xf numFmtId="0" fontId="51" fillId="0" borderId="0" xfId="5" applyFont="1">
      <alignment vertical="center"/>
    </xf>
    <xf numFmtId="3" fontId="17" fillId="5" borderId="0" xfId="2" applyNumberFormat="1" applyFont="1" applyFill="1">
      <alignment vertical="center"/>
    </xf>
    <xf numFmtId="3" fontId="19" fillId="6" borderId="0" xfId="2" applyNumberFormat="1" applyFont="1" applyFill="1">
      <alignment vertical="center"/>
    </xf>
    <xf numFmtId="38" fontId="39" fillId="0" borderId="20" xfId="0" applyNumberFormat="1" applyFont="1" applyFill="1" applyBorder="1" applyAlignment="1">
      <alignment horizontal="center" vertical="center"/>
    </xf>
    <xf numFmtId="37" fontId="0" fillId="0" borderId="0" xfId="1" applyNumberFormat="1" applyFont="1" applyFill="1" applyBorder="1" applyAlignment="1"/>
    <xf numFmtId="0" fontId="16" fillId="0" borderId="0" xfId="0" applyNumberFormat="1" applyFont="1" applyFill="1" applyBorder="1" applyAlignment="1"/>
    <xf numFmtId="38" fontId="17" fillId="5" borderId="0" xfId="1" applyNumberFormat="1" applyFont="1" applyFill="1" applyAlignment="1">
      <alignment vertical="center"/>
    </xf>
    <xf numFmtId="9" fontId="17" fillId="5" borderId="0" xfId="2" applyNumberFormat="1" applyFont="1" applyFill="1">
      <alignment vertical="center"/>
    </xf>
    <xf numFmtId="14" fontId="25" fillId="5" borderId="11" xfId="2" applyNumberFormat="1" applyFont="1" applyFill="1" applyBorder="1" applyAlignment="1">
      <alignment horizontal="center" vertical="center"/>
    </xf>
    <xf numFmtId="181" fontId="25" fillId="5" borderId="11" xfId="2" applyNumberFormat="1" applyFont="1" applyFill="1" applyBorder="1" applyAlignment="1">
      <alignment horizontal="center" vertical="center"/>
    </xf>
    <xf numFmtId="38" fontId="25" fillId="5" borderId="11" xfId="3" applyFont="1" applyFill="1" applyBorder="1" applyAlignment="1">
      <alignment horizontal="center" vertical="center"/>
    </xf>
    <xf numFmtId="41" fontId="25" fillId="5" borderId="11" xfId="4" applyFont="1" applyFill="1" applyBorder="1" applyAlignment="1">
      <alignment horizontal="center" vertical="center"/>
    </xf>
    <xf numFmtId="14" fontId="25" fillId="5" borderId="16" xfId="2" applyNumberFormat="1" applyFont="1" applyFill="1" applyBorder="1" applyAlignment="1">
      <alignment horizontal="center" vertical="center"/>
    </xf>
    <xf numFmtId="10" fontId="25" fillId="5" borderId="17" xfId="2" applyNumberFormat="1" applyFont="1" applyFill="1" applyBorder="1" applyAlignment="1">
      <alignment horizontal="center" vertical="center"/>
    </xf>
    <xf numFmtId="181" fontId="25" fillId="5" borderId="17" xfId="2" applyNumberFormat="1" applyFont="1" applyFill="1" applyBorder="1" applyAlignment="1">
      <alignment horizontal="center" vertical="center"/>
    </xf>
    <xf numFmtId="38" fontId="25" fillId="5" borderId="17" xfId="3" applyFont="1" applyFill="1" applyBorder="1" applyAlignment="1">
      <alignment horizontal="center" vertical="center"/>
    </xf>
    <xf numFmtId="0" fontId="0" fillId="0" borderId="2" xfId="0" applyFill="1" applyBorder="1" applyAlignment="1">
      <alignment horizontal="center" vertical="center"/>
    </xf>
    <xf numFmtId="38" fontId="16" fillId="0" borderId="0" xfId="0" applyNumberFormat="1" applyFont="1" applyFill="1" applyBorder="1" applyAlignment="1">
      <alignment vertical="center"/>
    </xf>
    <xf numFmtId="40" fontId="39" fillId="0" borderId="53" xfId="0" applyNumberFormat="1" applyFont="1" applyFill="1" applyBorder="1" applyAlignment="1">
      <alignment horizontal="center" vertical="center"/>
    </xf>
    <xf numFmtId="3" fontId="39" fillId="0" borderId="0" xfId="0" applyNumberFormat="1" applyFont="1" applyFill="1" applyBorder="1" applyAlignment="1">
      <alignment vertical="center"/>
    </xf>
    <xf numFmtId="0" fontId="0" fillId="0" borderId="0" xfId="1" applyNumberFormat="1" applyFont="1" applyFill="1" applyBorder="1" applyAlignment="1">
      <alignment vertical="center" wrapText="1"/>
    </xf>
    <xf numFmtId="0" fontId="0" fillId="0" borderId="27" xfId="1" applyNumberFormat="1" applyFont="1" applyFill="1" applyBorder="1" applyAlignment="1">
      <alignment horizontal="center" vertical="center"/>
    </xf>
    <xf numFmtId="0" fontId="11" fillId="0" borderId="27" xfId="1" applyNumberFormat="1" applyFont="1" applyFill="1" applyBorder="1" applyAlignment="1">
      <alignment horizontal="center" vertical="center"/>
    </xf>
    <xf numFmtId="0" fontId="30" fillId="0" borderId="2" xfId="1" applyNumberFormat="1" applyFont="1" applyFill="1" applyBorder="1" applyAlignment="1">
      <alignment horizontal="center" vertical="center"/>
    </xf>
    <xf numFmtId="3" fontId="36" fillId="0" borderId="20" xfId="0" applyNumberFormat="1" applyFont="1" applyFill="1" applyBorder="1" applyAlignment="1">
      <alignment vertical="center"/>
    </xf>
    <xf numFmtId="38" fontId="36" fillId="0" borderId="20" xfId="0" applyNumberFormat="1" applyFont="1" applyFill="1" applyBorder="1" applyAlignment="1">
      <alignment vertical="center"/>
    </xf>
    <xf numFmtId="38" fontId="36" fillId="0" borderId="50" xfId="0" applyNumberFormat="1" applyFont="1" applyFill="1" applyBorder="1" applyAlignment="1">
      <alignment vertical="center"/>
    </xf>
    <xf numFmtId="0" fontId="36" fillId="0" borderId="20" xfId="0" applyNumberFormat="1" applyFont="1" applyFill="1" applyBorder="1" applyAlignment="1">
      <alignment vertical="center"/>
    </xf>
    <xf numFmtId="178" fontId="52" fillId="0" borderId="2" xfId="0" applyNumberFormat="1" applyFont="1" applyFill="1" applyBorder="1" applyAlignment="1">
      <alignment vertical="center"/>
    </xf>
    <xf numFmtId="0" fontId="22" fillId="7" borderId="6" xfId="2" applyFont="1" applyFill="1" applyBorder="1" applyAlignment="1">
      <alignment horizontal="center" vertical="center" readingOrder="1"/>
    </xf>
    <xf numFmtId="0" fontId="25" fillId="0" borderId="2" xfId="2" applyFont="1" applyBorder="1" applyAlignment="1">
      <alignment horizontal="center" vertical="center" readingOrder="1"/>
    </xf>
    <xf numFmtId="0" fontId="53" fillId="5" borderId="0" xfId="2" applyFont="1" applyFill="1">
      <alignment vertical="center"/>
    </xf>
    <xf numFmtId="0" fontId="22" fillId="7" borderId="6" xfId="2" applyFont="1" applyFill="1" applyBorder="1" applyAlignment="1">
      <alignment horizontal="center" vertical="center" wrapText="1" readingOrder="1"/>
    </xf>
    <xf numFmtId="3" fontId="25" fillId="0" borderId="2" xfId="1" applyNumberFormat="1" applyFont="1" applyBorder="1" applyAlignment="1">
      <alignment horizontal="right" vertical="center" readingOrder="1"/>
    </xf>
    <xf numFmtId="3" fontId="55" fillId="0" borderId="2" xfId="1" applyNumberFormat="1" applyFont="1" applyBorder="1" applyAlignment="1">
      <alignment horizontal="right" vertical="center" readingOrder="1"/>
    </xf>
    <xf numFmtId="0" fontId="17" fillId="13" borderId="0" xfId="2" applyFont="1" applyFill="1">
      <alignment vertical="center"/>
    </xf>
    <xf numFmtId="0" fontId="11" fillId="0" borderId="0" xfId="1" applyNumberFormat="1" applyFont="1" applyFill="1" applyBorder="1" applyAlignment="1">
      <alignment vertical="center"/>
    </xf>
    <xf numFmtId="40" fontId="25" fillId="8" borderId="46" xfId="3" applyNumberFormat="1" applyFont="1" applyFill="1" applyBorder="1" applyAlignment="1">
      <alignment vertical="center" readingOrder="1"/>
    </xf>
    <xf numFmtId="40" fontId="25" fillId="8" borderId="57" xfId="3" applyNumberFormat="1" applyFont="1" applyFill="1" applyBorder="1" applyAlignment="1">
      <alignment vertical="center" readingOrder="1"/>
    </xf>
    <xf numFmtId="40" fontId="25" fillId="8" borderId="58" xfId="3" applyNumberFormat="1" applyFont="1" applyFill="1" applyBorder="1" applyAlignment="1">
      <alignment vertical="center" readingOrder="1"/>
    </xf>
    <xf numFmtId="40" fontId="25" fillId="8" borderId="0" xfId="3" applyNumberFormat="1" applyFont="1" applyFill="1" applyBorder="1" applyAlignment="1">
      <alignment vertical="center" readingOrder="1"/>
    </xf>
    <xf numFmtId="40" fontId="25" fillId="8" borderId="47" xfId="3" applyNumberFormat="1" applyFont="1" applyFill="1" applyBorder="1" applyAlignment="1">
      <alignment vertical="center" readingOrder="1"/>
    </xf>
    <xf numFmtId="40" fontId="25" fillId="8" borderId="54" xfId="3" applyNumberFormat="1" applyFont="1" applyFill="1" applyBorder="1" applyAlignment="1">
      <alignment vertical="center" readingOrder="1"/>
    </xf>
    <xf numFmtId="38" fontId="19" fillId="6" borderId="14" xfId="2" applyNumberFormat="1" applyFont="1" applyFill="1" applyBorder="1">
      <alignment vertical="center"/>
    </xf>
    <xf numFmtId="0" fontId="16" fillId="0" borderId="0" xfId="1" applyNumberFormat="1" applyFont="1" applyFill="1" applyBorder="1" applyAlignment="1">
      <alignment vertical="center"/>
    </xf>
    <xf numFmtId="37" fontId="33" fillId="0" borderId="0" xfId="1" applyNumberFormat="1" applyFont="1" applyFill="1" applyAlignment="1">
      <alignment vertical="center"/>
    </xf>
    <xf numFmtId="14" fontId="56" fillId="11" borderId="13" xfId="2" applyNumberFormat="1" applyFont="1" applyFill="1" applyBorder="1" applyAlignment="1">
      <alignment horizontal="center" vertical="center"/>
    </xf>
    <xf numFmtId="181" fontId="55" fillId="11" borderId="13" xfId="2" applyNumberFormat="1" applyFont="1" applyFill="1" applyBorder="1" applyAlignment="1">
      <alignment horizontal="center" vertical="center"/>
    </xf>
    <xf numFmtId="38" fontId="55" fillId="11" borderId="12" xfId="3" applyFont="1" applyFill="1" applyBorder="1" applyAlignment="1">
      <alignment horizontal="center" vertical="center"/>
    </xf>
    <xf numFmtId="41" fontId="55" fillId="11" borderId="13" xfId="4" applyFont="1" applyFill="1" applyBorder="1" applyAlignment="1">
      <alignment horizontal="center" vertical="center"/>
    </xf>
    <xf numFmtId="3" fontId="26" fillId="0" borderId="11" xfId="1" applyNumberFormat="1" applyFont="1" applyBorder="1" applyAlignment="1">
      <alignment horizontal="center" vertical="center"/>
    </xf>
    <xf numFmtId="41" fontId="25" fillId="0" borderId="39" xfId="4" applyFont="1" applyFill="1" applyBorder="1" applyAlignment="1">
      <alignment horizontal="center" vertical="center"/>
    </xf>
    <xf numFmtId="41" fontId="25" fillId="0" borderId="40" xfId="4" applyFont="1" applyFill="1" applyBorder="1" applyAlignment="1">
      <alignment horizontal="center" vertical="center"/>
    </xf>
    <xf numFmtId="181" fontId="25" fillId="0" borderId="11" xfId="12" applyNumberFormat="1" applyFont="1" applyFill="1" applyBorder="1" applyAlignment="1">
      <alignment horizontal="center" vertical="center"/>
    </xf>
    <xf numFmtId="181" fontId="25" fillId="0" borderId="17" xfId="12" applyNumberFormat="1" applyFont="1" applyFill="1" applyBorder="1" applyAlignment="1">
      <alignment horizontal="center" vertical="center"/>
    </xf>
    <xf numFmtId="181" fontId="25" fillId="0" borderId="13" xfId="12" applyNumberFormat="1" applyFont="1" applyFill="1" applyBorder="1" applyAlignment="1">
      <alignment horizontal="center" vertical="center"/>
    </xf>
    <xf numFmtId="181" fontId="55" fillId="11" borderId="13" xfId="12" applyNumberFormat="1" applyFont="1" applyFill="1" applyBorder="1" applyAlignment="1">
      <alignment horizontal="center" vertical="center"/>
    </xf>
    <xf numFmtId="38" fontId="55" fillId="11" borderId="13" xfId="3" applyFont="1" applyFill="1" applyBorder="1" applyAlignment="1">
      <alignment horizontal="center" vertical="center"/>
    </xf>
    <xf numFmtId="41" fontId="55" fillId="11" borderId="20" xfId="4" applyFont="1" applyFill="1" applyBorder="1" applyAlignment="1">
      <alignment horizontal="center" vertical="center"/>
    </xf>
    <xf numFmtId="0" fontId="45" fillId="5" borderId="0" xfId="2" applyFont="1" applyFill="1">
      <alignment vertical="center"/>
    </xf>
    <xf numFmtId="38" fontId="55" fillId="0" borderId="11" xfId="3" applyFont="1" applyFill="1" applyBorder="1" applyAlignment="1">
      <alignment horizontal="center" vertical="center"/>
    </xf>
    <xf numFmtId="38" fontId="55" fillId="0" borderId="13" xfId="3" applyFont="1" applyFill="1" applyBorder="1" applyAlignment="1">
      <alignment horizontal="center" vertical="center"/>
    </xf>
    <xf numFmtId="38" fontId="55" fillId="0" borderId="16" xfId="3" applyFont="1" applyFill="1" applyBorder="1" applyAlignment="1">
      <alignment horizontal="center" vertical="center"/>
    </xf>
    <xf numFmtId="3" fontId="56" fillId="0" borderId="2" xfId="2" applyNumberFormat="1" applyFont="1" applyBorder="1" applyAlignment="1">
      <alignment horizontal="center" vertical="center"/>
    </xf>
    <xf numFmtId="38" fontId="55" fillId="0" borderId="17" xfId="3" applyFont="1" applyFill="1" applyBorder="1" applyAlignment="1">
      <alignment horizontal="center" vertical="center"/>
    </xf>
    <xf numFmtId="3" fontId="56" fillId="8" borderId="11" xfId="2" applyNumberFormat="1" applyFont="1" applyFill="1" applyBorder="1" applyAlignment="1">
      <alignment horizontal="center" vertical="center"/>
    </xf>
    <xf numFmtId="3" fontId="56" fillId="8" borderId="13" xfId="2" applyNumberFormat="1" applyFont="1" applyFill="1" applyBorder="1" applyAlignment="1">
      <alignment horizontal="center" vertical="center"/>
    </xf>
    <xf numFmtId="3" fontId="56" fillId="8" borderId="17" xfId="2" applyNumberFormat="1" applyFont="1" applyFill="1" applyBorder="1" applyAlignment="1">
      <alignment horizontal="center" vertical="center"/>
    </xf>
    <xf numFmtId="3" fontId="56" fillId="8" borderId="2" xfId="2" applyNumberFormat="1" applyFont="1" applyFill="1" applyBorder="1" applyAlignment="1">
      <alignment horizontal="center" vertical="center"/>
    </xf>
    <xf numFmtId="0" fontId="45" fillId="0" borderId="0" xfId="2" applyFont="1">
      <alignment vertical="center"/>
    </xf>
    <xf numFmtId="3" fontId="56" fillId="8" borderId="12" xfId="2" applyNumberFormat="1" applyFont="1" applyFill="1" applyBorder="1" applyAlignment="1">
      <alignment horizontal="center" vertical="center"/>
    </xf>
    <xf numFmtId="3" fontId="56" fillId="8" borderId="10" xfId="2" applyNumberFormat="1" applyFont="1" applyFill="1" applyBorder="1" applyAlignment="1">
      <alignment horizontal="center" vertical="center"/>
    </xf>
    <xf numFmtId="14" fontId="55" fillId="11" borderId="13" xfId="2" applyNumberFormat="1" applyFont="1" applyFill="1" applyBorder="1" applyAlignment="1">
      <alignment horizontal="center" vertical="center"/>
    </xf>
    <xf numFmtId="41" fontId="50" fillId="11" borderId="13" xfId="4" applyFont="1" applyFill="1" applyBorder="1" applyAlignment="1">
      <alignment horizontal="center" vertical="center"/>
    </xf>
    <xf numFmtId="14" fontId="55" fillId="0" borderId="17" xfId="2" applyNumberFormat="1" applyFont="1" applyBorder="1" applyAlignment="1">
      <alignment horizontal="center" vertical="center"/>
    </xf>
    <xf numFmtId="10" fontId="55" fillId="0" borderId="17" xfId="2" applyNumberFormat="1" applyFont="1" applyBorder="1" applyAlignment="1">
      <alignment horizontal="center" vertical="center"/>
    </xf>
    <xf numFmtId="181" fontId="55" fillId="0" borderId="17" xfId="2" applyNumberFormat="1" applyFont="1" applyBorder="1" applyAlignment="1">
      <alignment horizontal="center" vertical="center"/>
    </xf>
    <xf numFmtId="38" fontId="55" fillId="0" borderId="17" xfId="3" applyFont="1" applyBorder="1" applyAlignment="1">
      <alignment horizontal="center" vertical="center"/>
    </xf>
    <xf numFmtId="14" fontId="55" fillId="0" borderId="2" xfId="2" applyNumberFormat="1" applyFont="1" applyBorder="1" applyAlignment="1">
      <alignment horizontal="center" vertical="center"/>
    </xf>
    <xf numFmtId="10" fontId="55" fillId="0" borderId="2" xfId="2" applyNumberFormat="1" applyFont="1" applyBorder="1" applyAlignment="1">
      <alignment horizontal="center" vertical="center"/>
    </xf>
    <xf numFmtId="181" fontId="55" fillId="0" borderId="2" xfId="2" applyNumberFormat="1" applyFont="1" applyBorder="1" applyAlignment="1">
      <alignment horizontal="center" vertical="center"/>
    </xf>
    <xf numFmtId="14" fontId="55" fillId="0" borderId="11" xfId="2" applyNumberFormat="1" applyFont="1" applyBorder="1" applyAlignment="1">
      <alignment horizontal="center" vertical="center"/>
    </xf>
    <xf numFmtId="181" fontId="55" fillId="0" borderId="11" xfId="2" applyNumberFormat="1" applyFont="1" applyBorder="1" applyAlignment="1">
      <alignment horizontal="center" vertical="center"/>
    </xf>
    <xf numFmtId="38" fontId="55" fillId="0" borderId="11" xfId="3" applyFont="1" applyBorder="1" applyAlignment="1">
      <alignment horizontal="center" vertical="center"/>
    </xf>
    <xf numFmtId="41" fontId="55" fillId="0" borderId="11" xfId="4" applyFont="1" applyBorder="1" applyAlignment="1">
      <alignment horizontal="center" vertical="center"/>
    </xf>
    <xf numFmtId="41" fontId="55" fillId="0" borderId="20" xfId="4" applyFont="1" applyFill="1" applyBorder="1" applyAlignment="1">
      <alignment horizontal="center" vertical="center"/>
    </xf>
    <xf numFmtId="181" fontId="25" fillId="0" borderId="13" xfId="12" applyNumberFormat="1" applyFont="1" applyBorder="1" applyAlignment="1">
      <alignment horizontal="center" vertical="center"/>
    </xf>
    <xf numFmtId="181" fontId="26" fillId="0" borderId="2" xfId="12" applyNumberFormat="1" applyFont="1" applyBorder="1" applyAlignment="1">
      <alignment horizontal="center" vertical="center"/>
    </xf>
    <xf numFmtId="181" fontId="55" fillId="0" borderId="13" xfId="12" applyNumberFormat="1" applyFont="1" applyFill="1" applyBorder="1" applyAlignment="1">
      <alignment horizontal="center" vertical="center"/>
    </xf>
    <xf numFmtId="181" fontId="26" fillId="0" borderId="2" xfId="12" applyNumberFormat="1" applyFont="1" applyFill="1" applyBorder="1" applyAlignment="1">
      <alignment horizontal="center" vertical="center"/>
    </xf>
    <xf numFmtId="38" fontId="55" fillId="0" borderId="12" xfId="3" applyFont="1" applyBorder="1" applyAlignment="1">
      <alignment horizontal="center" vertical="center"/>
    </xf>
    <xf numFmtId="38" fontId="55" fillId="0" borderId="13" xfId="3" applyFont="1" applyBorder="1" applyAlignment="1">
      <alignment horizontal="center" vertical="center"/>
    </xf>
    <xf numFmtId="38" fontId="55" fillId="0" borderId="16" xfId="3" applyFont="1" applyBorder="1" applyAlignment="1">
      <alignment horizontal="center" vertical="center"/>
    </xf>
    <xf numFmtId="38" fontId="17" fillId="0" borderId="0" xfId="2" applyNumberFormat="1" applyFont="1">
      <alignment vertical="center"/>
    </xf>
    <xf numFmtId="40" fontId="39" fillId="0" borderId="50" xfId="0" applyNumberFormat="1" applyFont="1" applyFill="1" applyBorder="1" applyAlignment="1">
      <alignment horizontal="center" vertical="center"/>
    </xf>
    <xf numFmtId="3" fontId="40" fillId="0" borderId="20" xfId="0" applyNumberFormat="1" applyFont="1" applyFill="1" applyBorder="1" applyAlignment="1">
      <alignment vertical="center"/>
    </xf>
    <xf numFmtId="0" fontId="0" fillId="4" borderId="27" xfId="1" applyNumberFormat="1" applyFont="1" applyFill="1" applyBorder="1" applyAlignment="1">
      <alignment horizontal="center" vertical="center"/>
    </xf>
    <xf numFmtId="0" fontId="0" fillId="4" borderId="2" xfId="1" applyNumberFormat="1" applyFont="1" applyFill="1" applyBorder="1" applyAlignment="1">
      <alignment horizontal="center" vertical="center"/>
    </xf>
    <xf numFmtId="38" fontId="11" fillId="4" borderId="2" xfId="1" applyNumberFormat="1" applyFont="1" applyFill="1" applyBorder="1" applyAlignment="1">
      <alignment vertical="center"/>
    </xf>
    <xf numFmtId="42" fontId="0" fillId="0" borderId="0" xfId="11" applyFont="1" applyFill="1" applyBorder="1" applyAlignment="1">
      <alignment vertical="center"/>
    </xf>
    <xf numFmtId="10" fontId="17" fillId="0" borderId="0" xfId="2" applyNumberFormat="1" applyFont="1">
      <alignment vertical="center"/>
    </xf>
    <xf numFmtId="10" fontId="17" fillId="0" borderId="0" xfId="12" applyNumberFormat="1" applyFont="1">
      <alignment vertical="center"/>
    </xf>
    <xf numFmtId="178" fontId="39" fillId="0" borderId="0" xfId="0" applyNumberFormat="1" applyFont="1" applyFill="1" applyBorder="1" applyAlignment="1">
      <alignment vertical="center"/>
    </xf>
    <xf numFmtId="38" fontId="17" fillId="5" borderId="0" xfId="2" applyNumberFormat="1" applyFont="1" applyFill="1">
      <alignment vertical="center"/>
    </xf>
    <xf numFmtId="38" fontId="33" fillId="0" borderId="0" xfId="2" applyNumberFormat="1" applyFont="1">
      <alignment vertical="center"/>
    </xf>
    <xf numFmtId="0" fontId="33" fillId="0" borderId="0" xfId="2" applyFont="1">
      <alignment vertical="center"/>
    </xf>
    <xf numFmtId="0" fontId="33" fillId="0" borderId="0" xfId="1" applyNumberFormat="1" applyFont="1" applyFill="1" applyAlignment="1">
      <alignment vertical="center"/>
    </xf>
    <xf numFmtId="38" fontId="39" fillId="0" borderId="39" xfId="0" applyNumberFormat="1" applyFont="1" applyFill="1" applyBorder="1" applyAlignment="1">
      <alignment horizontal="center" vertical="center"/>
    </xf>
    <xf numFmtId="0" fontId="0" fillId="14" borderId="2" xfId="1" applyNumberFormat="1" applyFont="1" applyFill="1" applyBorder="1" applyAlignment="1">
      <alignment horizontal="center" vertical="center"/>
    </xf>
    <xf numFmtId="38" fontId="0" fillId="14" borderId="2" xfId="1" applyNumberFormat="1" applyFont="1" applyFill="1" applyBorder="1" applyAlignment="1">
      <alignment vertical="center"/>
    </xf>
    <xf numFmtId="187" fontId="0" fillId="14" borderId="2" xfId="1" applyNumberFormat="1" applyFont="1" applyFill="1" applyBorder="1" applyAlignment="1">
      <alignment vertical="center"/>
    </xf>
    <xf numFmtId="0" fontId="0" fillId="14" borderId="27" xfId="1" applyNumberFormat="1" applyFont="1" applyFill="1" applyBorder="1" applyAlignment="1">
      <alignment horizontal="center" vertical="center"/>
    </xf>
    <xf numFmtId="38" fontId="11" fillId="14" borderId="2" xfId="1" applyNumberFormat="1" applyFont="1" applyFill="1" applyBorder="1" applyAlignment="1">
      <alignment vertical="center"/>
    </xf>
    <xf numFmtId="0" fontId="11" fillId="8" borderId="2" xfId="1" applyNumberFormat="1" applyFont="1" applyFill="1" applyBorder="1" applyAlignment="1">
      <alignment horizontal="center" vertical="center"/>
    </xf>
    <xf numFmtId="38" fontId="11" fillId="8" borderId="2" xfId="1" applyNumberFormat="1" applyFont="1" applyFill="1" applyBorder="1" applyAlignment="1">
      <alignment vertical="center"/>
    </xf>
    <xf numFmtId="187" fontId="11" fillId="8" borderId="2" xfId="1" applyNumberFormat="1" applyFont="1" applyFill="1" applyBorder="1" applyAlignment="1">
      <alignment vertical="center"/>
    </xf>
    <xf numFmtId="0" fontId="11" fillId="8" borderId="27" xfId="1" applyNumberFormat="1" applyFont="1" applyFill="1" applyBorder="1" applyAlignment="1">
      <alignment horizontal="center" vertical="center"/>
    </xf>
    <xf numFmtId="40" fontId="39" fillId="0" borderId="0" xfId="0" applyNumberFormat="1" applyFont="1" applyFill="1" applyBorder="1" applyAlignment="1">
      <alignment vertical="center"/>
    </xf>
    <xf numFmtId="0" fontId="39" fillId="0" borderId="0" xfId="1" applyNumberFormat="1" applyFont="1" applyFill="1" applyBorder="1" applyAlignment="1">
      <alignment vertical="center"/>
    </xf>
    <xf numFmtId="190" fontId="39" fillId="0" borderId="0" xfId="0" applyNumberFormat="1" applyFont="1" applyFill="1" applyBorder="1" applyAlignment="1">
      <alignment vertical="center"/>
    </xf>
    <xf numFmtId="14" fontId="56" fillId="0" borderId="13" xfId="2" applyNumberFormat="1" applyFont="1" applyBorder="1" applyAlignment="1">
      <alignment horizontal="center" vertical="center"/>
    </xf>
    <xf numFmtId="181" fontId="55" fillId="0" borderId="13" xfId="2" applyNumberFormat="1" applyFont="1" applyBorder="1" applyAlignment="1">
      <alignment horizontal="center" vertical="center"/>
    </xf>
    <xf numFmtId="38" fontId="55" fillId="0" borderId="12" xfId="3" applyFont="1" applyFill="1" applyBorder="1" applyAlignment="1">
      <alignment horizontal="center" vertical="center"/>
    </xf>
    <xf numFmtId="41" fontId="55" fillId="0" borderId="13" xfId="4" applyFont="1" applyFill="1" applyBorder="1" applyAlignment="1">
      <alignment horizontal="center" vertical="center"/>
    </xf>
    <xf numFmtId="38" fontId="19" fillId="6" borderId="0" xfId="2" applyNumberFormat="1" applyFont="1" applyFill="1">
      <alignment vertical="center"/>
    </xf>
    <xf numFmtId="178" fontId="40" fillId="0" borderId="49" xfId="0" applyNumberFormat="1" applyFont="1" applyFill="1" applyBorder="1" applyAlignment="1">
      <alignment vertical="center"/>
    </xf>
    <xf numFmtId="38" fontId="40" fillId="0" borderId="68" xfId="0" applyNumberFormat="1" applyFont="1" applyFill="1" applyBorder="1" applyAlignment="1">
      <alignment vertical="center"/>
    </xf>
    <xf numFmtId="38" fontId="40" fillId="0" borderId="58" xfId="0" applyNumberFormat="1" applyFont="1" applyFill="1" applyBorder="1" applyAlignment="1">
      <alignment vertical="center"/>
    </xf>
    <xf numFmtId="178" fontId="40" fillId="0" borderId="27" xfId="0" applyNumberFormat="1" applyFont="1" applyFill="1" applyBorder="1" applyAlignment="1">
      <alignment vertical="center"/>
    </xf>
    <xf numFmtId="38" fontId="40" fillId="10" borderId="47" xfId="0" applyNumberFormat="1" applyFont="1" applyFill="1" applyBorder="1" applyAlignment="1">
      <alignment vertical="center"/>
    </xf>
    <xf numFmtId="0" fontId="39" fillId="8" borderId="70" xfId="0" applyNumberFormat="1" applyFont="1" applyFill="1" applyBorder="1" applyAlignment="1">
      <alignment horizontal="center" vertical="center"/>
    </xf>
    <xf numFmtId="17" fontId="26" fillId="0" borderId="69" xfId="2" applyNumberFormat="1" applyFont="1" applyBorder="1" applyAlignment="1">
      <alignment horizontal="center" vertical="center"/>
    </xf>
    <xf numFmtId="17" fontId="39" fillId="0" borderId="51" xfId="0" applyNumberFormat="1" applyFont="1" applyFill="1" applyBorder="1" applyAlignment="1">
      <alignment horizontal="center" vertical="center"/>
    </xf>
    <xf numFmtId="17" fontId="39" fillId="0" borderId="53" xfId="0" applyNumberFormat="1" applyFont="1" applyFill="1" applyBorder="1" applyAlignment="1">
      <alignment horizontal="center" vertical="center"/>
    </xf>
    <xf numFmtId="17" fontId="40" fillId="0" borderId="70" xfId="0" applyNumberFormat="1" applyFont="1" applyFill="1" applyBorder="1" applyAlignment="1">
      <alignment horizontal="center" vertical="center"/>
    </xf>
    <xf numFmtId="17" fontId="39" fillId="0" borderId="71" xfId="0" applyNumberFormat="1" applyFont="1" applyFill="1" applyBorder="1" applyAlignment="1">
      <alignment horizontal="center" vertical="center"/>
    </xf>
    <xf numFmtId="17" fontId="40" fillId="0" borderId="45" xfId="0" applyNumberFormat="1" applyFont="1" applyFill="1" applyBorder="1" applyAlignment="1">
      <alignment horizontal="center" vertical="center"/>
    </xf>
    <xf numFmtId="0" fontId="40" fillId="10" borderId="48" xfId="0" applyNumberFormat="1" applyFont="1" applyFill="1" applyBorder="1" applyAlignment="1">
      <alignment horizontal="center" vertical="center"/>
    </xf>
    <xf numFmtId="41" fontId="55" fillId="0" borderId="11" xfId="4" applyFont="1" applyFill="1" applyBorder="1" applyAlignment="1">
      <alignment horizontal="center" vertical="center"/>
    </xf>
    <xf numFmtId="0" fontId="39" fillId="0" borderId="0" xfId="1" applyNumberFormat="1" applyFont="1" applyFill="1" applyBorder="1" applyAlignment="1">
      <alignment horizontal="center" vertical="center"/>
    </xf>
    <xf numFmtId="0" fontId="40" fillId="0" borderId="0" xfId="1" applyNumberFormat="1" applyFont="1" applyFill="1" applyBorder="1" applyAlignment="1">
      <alignment vertical="center"/>
    </xf>
    <xf numFmtId="0" fontId="39" fillId="0" borderId="0" xfId="1" applyNumberFormat="1" applyFont="1" applyFill="1" applyBorder="1" applyAlignment="1">
      <alignment horizontal="right" vertical="center"/>
    </xf>
    <xf numFmtId="0" fontId="39" fillId="8" borderId="2" xfId="1" applyNumberFormat="1" applyFont="1" applyFill="1" applyBorder="1" applyAlignment="1">
      <alignment horizontal="center" vertical="center" wrapText="1"/>
    </xf>
    <xf numFmtId="0" fontId="39" fillId="0" borderId="0" xfId="1" applyNumberFormat="1" applyFont="1" applyFill="1" applyBorder="1" applyAlignment="1">
      <alignment vertical="center" wrapText="1"/>
    </xf>
    <xf numFmtId="0" fontId="39" fillId="0" borderId="6" xfId="1" applyNumberFormat="1" applyFont="1" applyFill="1" applyBorder="1" applyAlignment="1">
      <alignment horizontal="center" vertical="center"/>
    </xf>
    <xf numFmtId="0" fontId="39" fillId="0" borderId="2" xfId="1" applyNumberFormat="1" applyFont="1" applyFill="1" applyBorder="1" applyAlignment="1">
      <alignment horizontal="center" vertical="center"/>
    </xf>
    <xf numFmtId="0" fontId="39" fillId="0" borderId="2" xfId="0" applyFont="1" applyBorder="1" applyAlignment="1">
      <alignment horizontal="center" vertical="center"/>
    </xf>
    <xf numFmtId="38" fontId="39" fillId="0" borderId="2" xfId="1" applyNumberFormat="1" applyFont="1" applyFill="1" applyBorder="1" applyAlignment="1">
      <alignment vertical="center"/>
    </xf>
    <xf numFmtId="42" fontId="39" fillId="0" borderId="0" xfId="11" applyFont="1" applyFill="1" applyBorder="1" applyAlignment="1">
      <alignment vertical="center"/>
    </xf>
    <xf numFmtId="0" fontId="39" fillId="0" borderId="10" xfId="1" applyNumberFormat="1" applyFont="1" applyFill="1" applyBorder="1" applyAlignment="1">
      <alignment horizontal="center" vertical="center"/>
    </xf>
    <xf numFmtId="187" fontId="39" fillId="0" borderId="2" xfId="1" applyNumberFormat="1" applyFont="1" applyFill="1" applyBorder="1" applyAlignment="1">
      <alignment vertical="center"/>
    </xf>
    <xf numFmtId="0" fontId="39" fillId="4" borderId="27" xfId="1" applyNumberFormat="1" applyFont="1" applyFill="1" applyBorder="1" applyAlignment="1">
      <alignment horizontal="center" vertical="center"/>
    </xf>
    <xf numFmtId="0" fontId="39" fillId="4" borderId="2" xfId="1" applyNumberFormat="1" applyFont="1" applyFill="1" applyBorder="1" applyAlignment="1">
      <alignment horizontal="center" vertical="center"/>
    </xf>
    <xf numFmtId="38" fontId="40" fillId="4" borderId="2" xfId="1" applyNumberFormat="1" applyFont="1" applyFill="1" applyBorder="1" applyAlignment="1">
      <alignment vertical="center"/>
    </xf>
    <xf numFmtId="187" fontId="40" fillId="4" borderId="2" xfId="1" applyNumberFormat="1" applyFont="1" applyFill="1" applyBorder="1" applyAlignment="1">
      <alignment vertical="center"/>
    </xf>
    <xf numFmtId="40" fontId="39" fillId="0" borderId="2" xfId="1" applyNumberFormat="1" applyFont="1" applyFill="1" applyBorder="1" applyAlignment="1">
      <alignment vertical="center"/>
    </xf>
    <xf numFmtId="40" fontId="40" fillId="4" borderId="2" xfId="1" applyNumberFormat="1" applyFont="1" applyFill="1" applyBorder="1" applyAlignment="1">
      <alignment vertical="center"/>
    </xf>
    <xf numFmtId="38" fontId="40" fillId="0" borderId="2" xfId="1" applyNumberFormat="1" applyFont="1" applyFill="1" applyBorder="1" applyAlignment="1">
      <alignment vertical="center"/>
    </xf>
    <xf numFmtId="0" fontId="39" fillId="0" borderId="47" xfId="1" applyNumberFormat="1" applyFont="1" applyFill="1" applyBorder="1" applyAlignment="1">
      <alignment horizontal="center" vertical="center"/>
    </xf>
    <xf numFmtId="187" fontId="40" fillId="0" borderId="2" xfId="1" applyNumberFormat="1" applyFont="1" applyFill="1" applyBorder="1" applyAlignment="1">
      <alignment vertical="center"/>
    </xf>
    <xf numFmtId="0" fontId="40" fillId="0" borderId="2" xfId="1" applyNumberFormat="1" applyFont="1" applyFill="1" applyBorder="1" applyAlignment="1">
      <alignment horizontal="center" vertical="center"/>
    </xf>
    <xf numFmtId="38" fontId="39" fillId="0" borderId="0" xfId="1" applyNumberFormat="1" applyFont="1" applyFill="1" applyBorder="1" applyAlignment="1">
      <alignment vertical="center"/>
    </xf>
    <xf numFmtId="40" fontId="40" fillId="0" borderId="45" xfId="1" applyNumberFormat="1" applyFont="1" applyFill="1" applyBorder="1" applyAlignment="1">
      <alignment vertical="center"/>
    </xf>
    <xf numFmtId="40" fontId="40" fillId="0" borderId="0" xfId="1" applyNumberFormat="1" applyFont="1" applyFill="1" applyBorder="1" applyAlignment="1">
      <alignment vertical="center"/>
    </xf>
    <xf numFmtId="0" fontId="58" fillId="0" borderId="0" xfId="1" applyNumberFormat="1" applyFont="1" applyFill="1" applyBorder="1" applyAlignment="1">
      <alignment vertical="center"/>
    </xf>
    <xf numFmtId="0" fontId="39" fillId="8" borderId="68" xfId="0" applyNumberFormat="1" applyFont="1" applyFill="1" applyBorder="1" applyAlignment="1">
      <alignment horizontal="center" vertical="center"/>
    </xf>
    <xf numFmtId="38" fontId="39" fillId="0" borderId="72" xfId="0" applyNumberFormat="1" applyFont="1" applyFill="1" applyBorder="1" applyAlignment="1">
      <alignment vertical="center"/>
    </xf>
    <xf numFmtId="38" fontId="39" fillId="0" borderId="73" xfId="0" applyNumberFormat="1" applyFont="1" applyFill="1" applyBorder="1" applyAlignment="1">
      <alignment vertical="center"/>
    </xf>
    <xf numFmtId="3" fontId="39" fillId="0" borderId="73" xfId="0" applyNumberFormat="1" applyFont="1" applyFill="1" applyBorder="1" applyAlignment="1">
      <alignment vertical="center"/>
    </xf>
    <xf numFmtId="3" fontId="39" fillId="0" borderId="49" xfId="0" applyNumberFormat="1" applyFont="1" applyFill="1" applyBorder="1" applyAlignment="1">
      <alignment vertical="center"/>
    </xf>
    <xf numFmtId="38" fontId="39" fillId="0" borderId="67" xfId="0" applyNumberFormat="1" applyFont="1" applyFill="1" applyBorder="1" applyAlignment="1">
      <alignment vertical="center"/>
    </xf>
    <xf numFmtId="38" fontId="39" fillId="0" borderId="49" xfId="0" applyNumberFormat="1" applyFont="1" applyFill="1" applyBorder="1" applyAlignment="1">
      <alignment vertical="center"/>
    </xf>
    <xf numFmtId="38" fontId="39" fillId="0" borderId="51" xfId="0" applyNumberFormat="1" applyFont="1" applyFill="1" applyBorder="1" applyAlignment="1">
      <alignment vertical="center"/>
    </xf>
    <xf numFmtId="178" fontId="52" fillId="0" borderId="53" xfId="0" applyNumberFormat="1" applyFont="1" applyFill="1" applyBorder="1" applyAlignment="1">
      <alignment vertical="center"/>
    </xf>
    <xf numFmtId="38" fontId="40" fillId="0" borderId="70" xfId="0" applyNumberFormat="1" applyFont="1" applyFill="1" applyBorder="1" applyAlignment="1">
      <alignment vertical="center"/>
    </xf>
    <xf numFmtId="178" fontId="52" fillId="0" borderId="45" xfId="0" applyNumberFormat="1" applyFont="1" applyFill="1" applyBorder="1" applyAlignment="1">
      <alignment vertical="center"/>
    </xf>
    <xf numFmtId="38" fontId="40" fillId="10" borderId="48" xfId="0" applyNumberFormat="1" applyFont="1" applyFill="1" applyBorder="1" applyAlignment="1">
      <alignment vertical="center"/>
    </xf>
    <xf numFmtId="178" fontId="52" fillId="0" borderId="79" xfId="0" applyNumberFormat="1" applyFont="1" applyFill="1" applyBorder="1" applyAlignment="1">
      <alignment vertical="center"/>
    </xf>
    <xf numFmtId="38" fontId="52" fillId="0" borderId="80" xfId="0" applyNumberFormat="1" applyFont="1" applyFill="1" applyBorder="1" applyAlignment="1">
      <alignment vertical="center"/>
    </xf>
    <xf numFmtId="178" fontId="40" fillId="0" borderId="79" xfId="0" applyNumberFormat="1" applyFont="1" applyFill="1" applyBorder="1" applyAlignment="1">
      <alignment vertical="center"/>
    </xf>
    <xf numFmtId="38" fontId="40" fillId="0" borderId="80" xfId="0" applyNumberFormat="1" applyFont="1" applyFill="1" applyBorder="1" applyAlignment="1">
      <alignment vertical="center"/>
    </xf>
    <xf numFmtId="178" fontId="40" fillId="0" borderId="81" xfId="0" applyNumberFormat="1" applyFont="1" applyFill="1" applyBorder="1" applyAlignment="1">
      <alignment vertical="center"/>
    </xf>
    <xf numFmtId="38" fontId="40" fillId="10" borderId="82" xfId="0" applyNumberFormat="1" applyFont="1" applyFill="1" applyBorder="1" applyAlignment="1">
      <alignment vertical="center"/>
    </xf>
    <xf numFmtId="0" fontId="17" fillId="0" borderId="0" xfId="0" applyFont="1" applyAlignment="1">
      <alignment vertical="center"/>
    </xf>
    <xf numFmtId="0" fontId="17" fillId="0" borderId="0" xfId="0" applyFont="1" applyAlignment="1">
      <alignment horizontal="center" vertical="center"/>
    </xf>
    <xf numFmtId="0" fontId="0" fillId="0" borderId="0" xfId="0" applyAlignment="1">
      <alignment vertical="center"/>
    </xf>
    <xf numFmtId="0" fontId="45" fillId="0" borderId="6" xfId="0" applyFont="1" applyBorder="1" applyAlignment="1">
      <alignment horizontal="center" vertical="center"/>
    </xf>
    <xf numFmtId="40" fontId="45" fillId="0" borderId="6" xfId="0" applyNumberFormat="1" applyFont="1" applyBorder="1" applyAlignment="1">
      <alignment horizontal="center" vertical="center"/>
    </xf>
    <xf numFmtId="0" fontId="45" fillId="0" borderId="6" xfId="0" applyFont="1" applyBorder="1" applyAlignment="1">
      <alignment vertical="center"/>
    </xf>
    <xf numFmtId="38" fontId="45" fillId="0" borderId="6" xfId="0" applyNumberFormat="1" applyFont="1" applyBorder="1" applyAlignment="1">
      <alignment vertical="center"/>
    </xf>
    <xf numFmtId="181" fontId="45" fillId="0" borderId="50" xfId="8" applyNumberFormat="1" applyFont="1" applyBorder="1">
      <alignment vertical="center"/>
    </xf>
    <xf numFmtId="0" fontId="45" fillId="0" borderId="0" xfId="0" applyFont="1" applyAlignment="1">
      <alignment vertical="center"/>
    </xf>
    <xf numFmtId="0" fontId="45" fillId="0" borderId="2" xfId="0" applyFont="1" applyBorder="1" applyAlignment="1">
      <alignment horizontal="center" vertical="center"/>
    </xf>
    <xf numFmtId="40" fontId="45" fillId="0" borderId="2" xfId="0" applyNumberFormat="1" applyFont="1" applyBorder="1" applyAlignment="1">
      <alignment horizontal="center" vertical="center"/>
    </xf>
    <xf numFmtId="0" fontId="45" fillId="0" borderId="2" xfId="0" applyFont="1" applyBorder="1" applyAlignment="1">
      <alignment vertical="center"/>
    </xf>
    <xf numFmtId="38" fontId="45" fillId="0" borderId="2" xfId="3" applyFont="1" applyBorder="1">
      <alignment vertical="center"/>
    </xf>
    <xf numFmtId="181" fontId="45" fillId="0" borderId="2" xfId="8" applyNumberFormat="1" applyFont="1" applyBorder="1">
      <alignment vertical="center"/>
    </xf>
    <xf numFmtId="0" fontId="17" fillId="0" borderId="38" xfId="0" applyFont="1" applyBorder="1" applyAlignment="1">
      <alignment horizontal="center" vertical="center"/>
    </xf>
    <xf numFmtId="40" fontId="17" fillId="0" borderId="38" xfId="0" applyNumberFormat="1" applyFont="1" applyBorder="1" applyAlignment="1">
      <alignment horizontal="center" vertical="center"/>
    </xf>
    <xf numFmtId="38" fontId="17" fillId="0" borderId="38" xfId="3" applyFont="1" applyBorder="1">
      <alignment vertical="center"/>
    </xf>
    <xf numFmtId="181" fontId="17" fillId="0" borderId="38" xfId="8" applyNumberFormat="1" applyFont="1" applyBorder="1">
      <alignment vertical="center"/>
    </xf>
    <xf numFmtId="0" fontId="17" fillId="0" borderId="20" xfId="0" applyFont="1" applyBorder="1" applyAlignment="1">
      <alignment horizontal="center" vertical="center"/>
    </xf>
    <xf numFmtId="40" fontId="17" fillId="0" borderId="20" xfId="0" applyNumberFormat="1" applyFont="1" applyBorder="1" applyAlignment="1">
      <alignment horizontal="center" vertical="center"/>
    </xf>
    <xf numFmtId="38" fontId="17" fillId="0" borderId="20" xfId="3" applyFont="1" applyBorder="1">
      <alignment vertical="center"/>
    </xf>
    <xf numFmtId="181" fontId="17" fillId="0" borderId="20" xfId="8" applyNumberFormat="1" applyFont="1" applyBorder="1">
      <alignment vertical="center"/>
    </xf>
    <xf numFmtId="0" fontId="17" fillId="0" borderId="40" xfId="0" applyFont="1" applyBorder="1" applyAlignment="1">
      <alignment horizontal="center" vertical="center"/>
    </xf>
    <xf numFmtId="40" fontId="17" fillId="0" borderId="40" xfId="0" applyNumberFormat="1" applyFont="1" applyBorder="1" applyAlignment="1">
      <alignment horizontal="center" vertical="center"/>
    </xf>
    <xf numFmtId="38" fontId="17" fillId="0" borderId="40" xfId="3" applyFont="1" applyBorder="1">
      <alignment vertical="center"/>
    </xf>
    <xf numFmtId="181" fontId="17" fillId="0" borderId="40" xfId="8" applyNumberFormat="1" applyFont="1" applyBorder="1">
      <alignment vertical="center"/>
    </xf>
    <xf numFmtId="0" fontId="45" fillId="0" borderId="2" xfId="0" applyFont="1" applyBorder="1" applyAlignment="1">
      <alignment horizontal="center" vertical="center" wrapText="1"/>
    </xf>
    <xf numFmtId="0" fontId="17" fillId="0" borderId="39" xfId="0" applyFont="1" applyBorder="1" applyAlignment="1">
      <alignment horizontal="center" vertical="center"/>
    </xf>
    <xf numFmtId="40" fontId="17" fillId="0" borderId="39" xfId="0" applyNumberFormat="1" applyFont="1" applyBorder="1" applyAlignment="1">
      <alignment horizontal="center" vertical="center"/>
    </xf>
    <xf numFmtId="38" fontId="17" fillId="0" borderId="39" xfId="3" applyFont="1" applyBorder="1">
      <alignment vertical="center"/>
    </xf>
    <xf numFmtId="181" fontId="17" fillId="0" borderId="39" xfId="8" applyNumberFormat="1" applyFont="1" applyBorder="1">
      <alignment vertical="center"/>
    </xf>
    <xf numFmtId="40" fontId="17" fillId="16" borderId="40" xfId="0" applyNumberFormat="1" applyFont="1" applyFill="1" applyBorder="1" applyAlignment="1">
      <alignment horizontal="center" vertical="center"/>
    </xf>
    <xf numFmtId="40" fontId="17" fillId="16" borderId="20" xfId="0" applyNumberFormat="1" applyFont="1" applyFill="1" applyBorder="1" applyAlignment="1">
      <alignment horizontal="center" vertical="center"/>
    </xf>
    <xf numFmtId="0" fontId="39" fillId="0" borderId="0" xfId="0" quotePrefix="1" applyNumberFormat="1" applyFont="1" applyFill="1" applyBorder="1" applyAlignment="1">
      <alignment horizontal="center" vertical="center"/>
    </xf>
    <xf numFmtId="10" fontId="39" fillId="0" borderId="0" xfId="12" applyNumberFormat="1" applyFont="1" applyFill="1" applyBorder="1" applyAlignment="1">
      <alignment vertical="center"/>
    </xf>
    <xf numFmtId="191" fontId="39" fillId="0" borderId="0" xfId="0" applyNumberFormat="1" applyFont="1" applyFill="1" applyBorder="1" applyAlignment="1">
      <alignment vertical="center"/>
    </xf>
    <xf numFmtId="191" fontId="39" fillId="0" borderId="0" xfId="1" applyNumberFormat="1" applyFont="1" applyFill="1" applyBorder="1" applyAlignment="1">
      <alignment horizontal="center" vertical="center"/>
    </xf>
    <xf numFmtId="10" fontId="39" fillId="0" borderId="0" xfId="0" applyNumberFormat="1" applyFont="1" applyFill="1" applyBorder="1" applyAlignment="1">
      <alignment vertical="center"/>
    </xf>
    <xf numFmtId="0" fontId="39" fillId="8" borderId="8" xfId="0" applyNumberFormat="1" applyFont="1" applyFill="1" applyBorder="1" applyAlignment="1">
      <alignment horizontal="center" vertical="center"/>
    </xf>
    <xf numFmtId="178" fontId="40" fillId="0" borderId="50" xfId="0" applyNumberFormat="1" applyFont="1" applyFill="1" applyBorder="1" applyAlignment="1">
      <alignment horizontal="center" vertical="center"/>
    </xf>
    <xf numFmtId="188" fontId="39" fillId="0" borderId="38" xfId="0" applyNumberFormat="1" applyFont="1" applyFill="1" applyBorder="1" applyAlignment="1">
      <alignment vertical="center"/>
    </xf>
    <xf numFmtId="40" fontId="39" fillId="0" borderId="38" xfId="0" applyNumberFormat="1" applyFont="1" applyFill="1" applyBorder="1" applyAlignment="1">
      <alignment horizontal="center" vertical="center"/>
    </xf>
    <xf numFmtId="17" fontId="26" fillId="0" borderId="38" xfId="2" applyNumberFormat="1" applyFont="1" applyBorder="1" applyAlignment="1">
      <alignment horizontal="center" vertical="center"/>
    </xf>
    <xf numFmtId="17" fontId="26" fillId="0" borderId="71" xfId="2" applyNumberFormat="1" applyFont="1" applyBorder="1" applyAlignment="1">
      <alignment horizontal="center" vertical="center"/>
    </xf>
    <xf numFmtId="40" fontId="39" fillId="0" borderId="0" xfId="1" applyNumberFormat="1" applyFont="1" applyFill="1" applyBorder="1" applyAlignment="1">
      <alignment horizontal="center" vertical="center"/>
    </xf>
    <xf numFmtId="17" fontId="39" fillId="11" borderId="51" xfId="0" applyNumberFormat="1" applyFont="1" applyFill="1" applyBorder="1" applyAlignment="1">
      <alignment horizontal="center" vertical="center"/>
    </xf>
    <xf numFmtId="3" fontId="39" fillId="11" borderId="73" xfId="0" applyNumberFormat="1" applyFont="1" applyFill="1" applyBorder="1" applyAlignment="1">
      <alignment vertical="center"/>
    </xf>
    <xf numFmtId="38" fontId="39" fillId="11" borderId="73" xfId="0" applyNumberFormat="1" applyFont="1" applyFill="1" applyBorder="1" applyAlignment="1">
      <alignment vertical="center"/>
    </xf>
    <xf numFmtId="17" fontId="39" fillId="11" borderId="53" xfId="0" applyNumberFormat="1" applyFont="1" applyFill="1" applyBorder="1" applyAlignment="1">
      <alignment horizontal="center" vertical="center"/>
    </xf>
    <xf numFmtId="3" fontId="39" fillId="11" borderId="49" xfId="0" applyNumberFormat="1" applyFont="1" applyFill="1" applyBorder="1" applyAlignment="1">
      <alignment vertical="center"/>
    </xf>
    <xf numFmtId="17" fontId="39" fillId="11" borderId="20" xfId="0" applyNumberFormat="1" applyFont="1" applyFill="1" applyBorder="1" applyAlignment="1">
      <alignment horizontal="center" vertical="center"/>
    </xf>
    <xf numFmtId="3" fontId="39" fillId="11" borderId="20" xfId="0" applyNumberFormat="1" applyFont="1" applyFill="1" applyBorder="1" applyAlignment="1">
      <alignment vertical="center"/>
    </xf>
    <xf numFmtId="38" fontId="39" fillId="11" borderId="20" xfId="0" applyNumberFormat="1" applyFont="1" applyFill="1" applyBorder="1" applyAlignment="1">
      <alignment vertical="center"/>
    </xf>
    <xf numFmtId="17" fontId="39" fillId="11" borderId="50" xfId="0" applyNumberFormat="1" applyFont="1" applyFill="1" applyBorder="1" applyAlignment="1">
      <alignment horizontal="center" vertical="center"/>
    </xf>
    <xf numFmtId="3" fontId="39" fillId="11" borderId="50" xfId="0" applyNumberFormat="1" applyFont="1" applyFill="1" applyBorder="1" applyAlignment="1">
      <alignment vertical="center"/>
    </xf>
    <xf numFmtId="38" fontId="39" fillId="0" borderId="38" xfId="0" applyNumberFormat="1" applyFont="1" applyFill="1" applyBorder="1" applyAlignment="1">
      <alignment horizontal="center" vertical="center"/>
    </xf>
    <xf numFmtId="192" fontId="39" fillId="11" borderId="20" xfId="0" applyNumberFormat="1" applyFont="1" applyFill="1" applyBorder="1" applyAlignment="1">
      <alignment horizontal="center" vertical="center"/>
    </xf>
    <xf numFmtId="3" fontId="39" fillId="0" borderId="20" xfId="0" applyNumberFormat="1" applyFont="1" applyFill="1" applyBorder="1" applyAlignment="1">
      <alignment horizontal="center" vertical="center"/>
    </xf>
    <xf numFmtId="3" fontId="39" fillId="11" borderId="20" xfId="0" applyNumberFormat="1" applyFont="1" applyFill="1" applyBorder="1" applyAlignment="1">
      <alignment horizontal="center" vertical="center"/>
    </xf>
    <xf numFmtId="3" fontId="39" fillId="0" borderId="50" xfId="0" applyNumberFormat="1" applyFont="1" applyFill="1" applyBorder="1" applyAlignment="1">
      <alignment horizontal="center" vertical="center"/>
    </xf>
    <xf numFmtId="38" fontId="40" fillId="0" borderId="40" xfId="0" applyNumberFormat="1" applyFont="1" applyFill="1" applyBorder="1" applyAlignment="1">
      <alignment horizontal="center" vertical="center"/>
    </xf>
    <xf numFmtId="38" fontId="39" fillId="0" borderId="0" xfId="0" applyNumberFormat="1" applyFont="1" applyFill="1" applyBorder="1" applyAlignment="1">
      <alignment horizontal="center" vertical="center"/>
    </xf>
    <xf numFmtId="40" fontId="39" fillId="0" borderId="0" xfId="0" applyNumberFormat="1" applyFont="1" applyFill="1" applyBorder="1" applyAlignment="1">
      <alignment horizontal="center" vertical="center"/>
    </xf>
    <xf numFmtId="178" fontId="39" fillId="0" borderId="0" xfId="0" applyNumberFormat="1" applyFont="1" applyFill="1" applyBorder="1" applyAlignment="1">
      <alignment horizontal="center" vertical="center"/>
    </xf>
    <xf numFmtId="192" fontId="39" fillId="0" borderId="39" xfId="0" applyNumberFormat="1" applyFont="1" applyFill="1" applyBorder="1" applyAlignment="1">
      <alignment horizontal="center" vertical="center"/>
    </xf>
    <xf numFmtId="192" fontId="39" fillId="0" borderId="38" xfId="0" applyNumberFormat="1" applyFont="1" applyFill="1" applyBorder="1" applyAlignment="1">
      <alignment horizontal="center" vertical="center"/>
    </xf>
    <xf numFmtId="192" fontId="39" fillId="0" borderId="20" xfId="0" applyNumberFormat="1" applyFont="1" applyFill="1" applyBorder="1" applyAlignment="1">
      <alignment horizontal="center" vertical="center"/>
    </xf>
    <xf numFmtId="192" fontId="39" fillId="11" borderId="50" xfId="0" applyNumberFormat="1" applyFont="1" applyFill="1" applyBorder="1" applyAlignment="1">
      <alignment horizontal="center" vertical="center"/>
    </xf>
    <xf numFmtId="192" fontId="39" fillId="0" borderId="50" xfId="0" applyNumberFormat="1" applyFont="1" applyFill="1" applyBorder="1" applyAlignment="1">
      <alignment horizontal="center" vertical="center"/>
    </xf>
    <xf numFmtId="192" fontId="40" fillId="0" borderId="50" xfId="0" applyNumberFormat="1" applyFont="1" applyFill="1" applyBorder="1" applyAlignment="1">
      <alignment horizontal="center" vertical="center"/>
    </xf>
    <xf numFmtId="192" fontId="40" fillId="0" borderId="40" xfId="0" applyNumberFormat="1" applyFont="1" applyFill="1" applyBorder="1" applyAlignment="1">
      <alignment horizontal="center" vertical="center"/>
    </xf>
    <xf numFmtId="192" fontId="16" fillId="0" borderId="20" xfId="0" applyNumberFormat="1" applyFont="1" applyFill="1" applyBorder="1" applyAlignment="1">
      <alignment horizontal="center" vertical="center"/>
    </xf>
    <xf numFmtId="192" fontId="60" fillId="0" borderId="20" xfId="0" applyNumberFormat="1" applyFont="1" applyFill="1" applyBorder="1" applyAlignment="1">
      <alignment horizontal="center" vertical="center"/>
    </xf>
    <xf numFmtId="192" fontId="16" fillId="0" borderId="50" xfId="0" applyNumberFormat="1" applyFont="1" applyFill="1" applyBorder="1" applyAlignment="1">
      <alignment horizontal="center" vertical="center"/>
    </xf>
    <xf numFmtId="0" fontId="63" fillId="17" borderId="2" xfId="0" applyNumberFormat="1" applyFont="1" applyFill="1" applyBorder="1" applyAlignment="1">
      <alignment horizontal="center" vertical="center" wrapText="1" readingOrder="1"/>
    </xf>
    <xf numFmtId="0" fontId="64" fillId="17" borderId="2" xfId="0" applyNumberFormat="1" applyFont="1" applyFill="1" applyBorder="1" applyAlignment="1">
      <alignment horizontal="center" vertical="center" wrapText="1" readingOrder="1"/>
    </xf>
    <xf numFmtId="9" fontId="63" fillId="17" borderId="2" xfId="0" applyNumberFormat="1" applyFont="1" applyFill="1" applyBorder="1" applyAlignment="1">
      <alignment horizontal="center" vertical="center" wrapText="1" readingOrder="1"/>
    </xf>
    <xf numFmtId="40" fontId="62" fillId="0" borderId="2" xfId="0" applyNumberFormat="1" applyFont="1" applyFill="1" applyBorder="1" applyAlignment="1">
      <alignment horizontal="center" vertical="center" wrapText="1" readingOrder="1"/>
    </xf>
    <xf numFmtId="0" fontId="66" fillId="0" borderId="2" xfId="0" applyNumberFormat="1" applyFont="1" applyFill="1" applyBorder="1" applyAlignment="1">
      <alignment horizontal="center" vertical="center" wrapText="1" readingOrder="1"/>
    </xf>
    <xf numFmtId="15" fontId="62" fillId="0" borderId="2" xfId="0" applyNumberFormat="1" applyFont="1" applyFill="1" applyBorder="1" applyAlignment="1">
      <alignment horizontal="center" vertical="center" wrapText="1" readingOrder="1"/>
    </xf>
    <xf numFmtId="1" fontId="62" fillId="0" borderId="2" xfId="1" applyNumberFormat="1" applyFont="1" applyFill="1" applyBorder="1" applyAlignment="1">
      <alignment horizontal="center" vertical="center" wrapText="1" readingOrder="1"/>
    </xf>
    <xf numFmtId="180" fontId="0" fillId="0" borderId="0" xfId="0" applyNumberFormat="1" applyFont="1" applyFill="1" applyBorder="1" applyAlignment="1"/>
    <xf numFmtId="0" fontId="68" fillId="18" borderId="0" xfId="0" applyNumberFormat="1" applyFont="1" applyFill="1" applyBorder="1" applyAlignment="1">
      <alignment horizontal="left" vertical="center" wrapText="1" readingOrder="1"/>
    </xf>
    <xf numFmtId="10" fontId="69" fillId="19" borderId="91" xfId="0" applyNumberFormat="1" applyFont="1" applyFill="1" applyBorder="1" applyAlignment="1">
      <alignment horizontal="center" vertical="center" wrapText="1" readingOrder="1"/>
    </xf>
    <xf numFmtId="10" fontId="69" fillId="19" borderId="0" xfId="0" applyNumberFormat="1" applyFont="1" applyFill="1" applyBorder="1" applyAlignment="1">
      <alignment horizontal="center" vertical="center" wrapText="1" readingOrder="1"/>
    </xf>
    <xf numFmtId="0" fontId="61" fillId="0" borderId="0" xfId="0" applyNumberFormat="1" applyFont="1" applyFill="1" applyBorder="1" applyAlignment="1">
      <alignment horizontal="center" vertical="center" wrapText="1"/>
    </xf>
    <xf numFmtId="0" fontId="68" fillId="0" borderId="0" xfId="0" applyNumberFormat="1" applyFont="1" applyFill="1" applyBorder="1" applyAlignment="1">
      <alignment horizontal="center" vertical="center" wrapText="1" readingOrder="1"/>
    </xf>
    <xf numFmtId="0" fontId="70" fillId="19" borderId="0" xfId="0" applyNumberFormat="1" applyFont="1" applyFill="1" applyBorder="1" applyAlignment="1">
      <alignment horizontal="center" vertical="center" wrapText="1" readingOrder="1"/>
    </xf>
    <xf numFmtId="3" fontId="70" fillId="19" borderId="0" xfId="0" applyNumberFormat="1" applyFont="1" applyFill="1" applyBorder="1" applyAlignment="1">
      <alignment horizontal="center" vertical="center" wrapText="1" readingOrder="1"/>
    </xf>
    <xf numFmtId="40" fontId="70" fillId="0" borderId="91" xfId="0" applyNumberFormat="1" applyFont="1" applyFill="1" applyBorder="1" applyAlignment="1">
      <alignment horizontal="center" vertical="center" wrapText="1" readingOrder="1"/>
    </xf>
    <xf numFmtId="17" fontId="70" fillId="0" borderId="91" xfId="0" applyNumberFormat="1" applyFont="1" applyFill="1" applyBorder="1" applyAlignment="1">
      <alignment horizontal="center" vertical="center" wrapText="1" readingOrder="1"/>
    </xf>
    <xf numFmtId="0" fontId="70" fillId="0" borderId="91" xfId="0" applyNumberFormat="1" applyFont="1" applyFill="1" applyBorder="1" applyAlignment="1">
      <alignment horizontal="center" vertical="center" wrapText="1" readingOrder="1"/>
    </xf>
    <xf numFmtId="193" fontId="70" fillId="0" borderId="91" xfId="0" applyNumberFormat="1" applyFont="1" applyFill="1" applyBorder="1" applyAlignment="1">
      <alignment horizontal="center" vertical="center" wrapText="1" readingOrder="1"/>
    </xf>
    <xf numFmtId="3" fontId="70" fillId="0" borderId="91" xfId="0" applyNumberFormat="1" applyFont="1" applyFill="1" applyBorder="1" applyAlignment="1">
      <alignment horizontal="center" vertical="center" wrapText="1" readingOrder="1"/>
    </xf>
    <xf numFmtId="1" fontId="70" fillId="0" borderId="84" xfId="0" applyNumberFormat="1" applyFont="1" applyFill="1" applyBorder="1" applyAlignment="1">
      <alignment horizontal="center" vertical="center" wrapText="1" readingOrder="1"/>
    </xf>
    <xf numFmtId="3" fontId="70" fillId="0" borderId="92" xfId="0" applyNumberFormat="1" applyFont="1" applyFill="1" applyBorder="1" applyAlignment="1">
      <alignment horizontal="center" vertical="center" wrapText="1" readingOrder="1"/>
    </xf>
    <xf numFmtId="1" fontId="70" fillId="0" borderId="85" xfId="0" applyNumberFormat="1" applyFont="1" applyFill="1" applyBorder="1" applyAlignment="1">
      <alignment horizontal="center" vertical="center" wrapText="1" readingOrder="1"/>
    </xf>
    <xf numFmtId="0" fontId="70" fillId="0" borderId="92" xfId="0" applyNumberFormat="1" applyFont="1" applyFill="1" applyBorder="1" applyAlignment="1">
      <alignment horizontal="center" vertical="center" wrapText="1" readingOrder="1"/>
    </xf>
    <xf numFmtId="0" fontId="70" fillId="0" borderId="93" xfId="0" applyNumberFormat="1" applyFont="1" applyFill="1" applyBorder="1" applyAlignment="1">
      <alignment horizontal="center" vertical="center" wrapText="1" readingOrder="1"/>
    </xf>
    <xf numFmtId="40" fontId="70" fillId="0" borderId="0" xfId="0" applyNumberFormat="1" applyFont="1" applyFill="1" applyBorder="1" applyAlignment="1">
      <alignment horizontal="center" vertical="center" wrapText="1" readingOrder="1"/>
    </xf>
    <xf numFmtId="17" fontId="70" fillId="0" borderId="0" xfId="0" applyNumberFormat="1" applyFont="1" applyFill="1" applyBorder="1" applyAlignment="1">
      <alignment horizontal="center" vertical="center" wrapText="1" readingOrder="1"/>
    </xf>
    <xf numFmtId="0" fontId="70" fillId="0" borderId="0" xfId="0" applyNumberFormat="1" applyFont="1" applyFill="1" applyBorder="1" applyAlignment="1">
      <alignment horizontal="center" vertical="center" wrapText="1" readingOrder="1"/>
    </xf>
    <xf numFmtId="193" fontId="70" fillId="0" borderId="0" xfId="0" applyNumberFormat="1" applyFont="1" applyFill="1" applyBorder="1" applyAlignment="1">
      <alignment horizontal="center" vertical="center" wrapText="1" readingOrder="1"/>
    </xf>
    <xf numFmtId="3" fontId="70" fillId="0" borderId="0" xfId="0" applyNumberFormat="1" applyFont="1" applyFill="1" applyBorder="1" applyAlignment="1">
      <alignment horizontal="center" vertical="center" wrapText="1" readingOrder="1"/>
    </xf>
    <xf numFmtId="3" fontId="70" fillId="0" borderId="85" xfId="0" applyNumberFormat="1" applyFont="1" applyFill="1" applyBorder="1" applyAlignment="1">
      <alignment horizontal="center" vertical="center" wrapText="1" readingOrder="1"/>
    </xf>
    <xf numFmtId="0" fontId="70" fillId="0" borderId="85" xfId="0" applyNumberFormat="1" applyFont="1" applyFill="1" applyBorder="1" applyAlignment="1">
      <alignment horizontal="center" vertical="center" wrapText="1" readingOrder="1"/>
    </xf>
    <xf numFmtId="0" fontId="70" fillId="0" borderId="86" xfId="0" applyNumberFormat="1" applyFont="1" applyFill="1" applyBorder="1" applyAlignment="1">
      <alignment horizontal="center" vertical="center" wrapText="1" readingOrder="1"/>
    </xf>
    <xf numFmtId="194" fontId="70" fillId="19" borderId="0" xfId="0" applyNumberFormat="1" applyFont="1" applyFill="1" applyBorder="1" applyAlignment="1">
      <alignment horizontal="center" vertical="center" wrapText="1" readingOrder="1"/>
    </xf>
    <xf numFmtId="193" fontId="70" fillId="19" borderId="0" xfId="0" applyNumberFormat="1" applyFont="1" applyFill="1" applyBorder="1" applyAlignment="1">
      <alignment horizontal="center" vertical="center" wrapText="1" readingOrder="1"/>
    </xf>
    <xf numFmtId="0" fontId="71" fillId="20" borderId="0" xfId="0" applyNumberFormat="1" applyFont="1" applyFill="1" applyBorder="1" applyAlignment="1">
      <alignment horizontal="center" vertical="center" wrapText="1" readingOrder="1"/>
    </xf>
    <xf numFmtId="0" fontId="73" fillId="20" borderId="0" xfId="0" applyNumberFormat="1" applyFont="1" applyFill="1" applyBorder="1" applyAlignment="1">
      <alignment horizontal="center" vertical="center" wrapText="1" readingOrder="1"/>
    </xf>
    <xf numFmtId="0" fontId="72" fillId="0" borderId="94" xfId="0" applyNumberFormat="1" applyFont="1" applyFill="1" applyBorder="1" applyAlignment="1">
      <alignment horizontal="center" vertical="center" wrapText="1" readingOrder="1"/>
    </xf>
    <xf numFmtId="0" fontId="73" fillId="0" borderId="94" xfId="0" applyNumberFormat="1" applyFont="1" applyFill="1" applyBorder="1" applyAlignment="1">
      <alignment horizontal="center" vertical="center" wrapText="1" readingOrder="1"/>
    </xf>
    <xf numFmtId="0" fontId="72" fillId="0" borderId="95" xfId="0" applyNumberFormat="1" applyFont="1" applyFill="1" applyBorder="1" applyAlignment="1">
      <alignment horizontal="center" vertical="center" wrapText="1" readingOrder="1"/>
    </xf>
    <xf numFmtId="0" fontId="73" fillId="0" borderId="95" xfId="0" applyNumberFormat="1" applyFont="1" applyFill="1" applyBorder="1" applyAlignment="1">
      <alignment horizontal="center" vertical="center" wrapText="1" readingOrder="1"/>
    </xf>
    <xf numFmtId="0" fontId="74" fillId="20" borderId="96" xfId="0" applyNumberFormat="1" applyFont="1" applyFill="1" applyBorder="1" applyAlignment="1">
      <alignment horizontal="center" vertical="center" wrapText="1" readingOrder="1"/>
    </xf>
    <xf numFmtId="3" fontId="71" fillId="20" borderId="96" xfId="0" applyNumberFormat="1" applyFont="1" applyFill="1" applyBorder="1" applyAlignment="1">
      <alignment horizontal="center" vertical="center" wrapText="1" readingOrder="1"/>
    </xf>
    <xf numFmtId="0" fontId="71" fillId="20" borderId="96" xfId="0" applyNumberFormat="1" applyFont="1" applyFill="1" applyBorder="1" applyAlignment="1">
      <alignment horizontal="center" vertical="center" wrapText="1" readingOrder="1"/>
    </xf>
    <xf numFmtId="40" fontId="0" fillId="0" borderId="0" xfId="0" applyNumberFormat="1" applyFont="1" applyFill="1" applyBorder="1" applyAlignment="1"/>
    <xf numFmtId="0" fontId="0" fillId="8" borderId="71" xfId="0" applyFill="1" applyBorder="1" applyAlignment="1">
      <alignment horizontal="center" vertical="center"/>
    </xf>
    <xf numFmtId="0" fontId="0" fillId="8" borderId="38" xfId="0" applyFill="1" applyBorder="1" applyAlignment="1">
      <alignment horizontal="center" vertical="center"/>
    </xf>
    <xf numFmtId="0" fontId="0" fillId="8" borderId="67" xfId="0" applyFill="1" applyBorder="1" applyAlignment="1">
      <alignment horizontal="center" vertical="center"/>
    </xf>
    <xf numFmtId="0" fontId="0" fillId="0" borderId="51" xfId="0" applyBorder="1" applyAlignment="1">
      <alignment vertical="center"/>
    </xf>
    <xf numFmtId="41" fontId="0" fillId="0" borderId="20" xfId="0" applyNumberFormat="1" applyBorder="1" applyAlignment="1">
      <alignment vertical="center"/>
    </xf>
    <xf numFmtId="2" fontId="0" fillId="0" borderId="20" xfId="0" applyNumberFormat="1" applyBorder="1" applyAlignment="1">
      <alignment vertical="center"/>
    </xf>
    <xf numFmtId="0" fontId="0" fillId="0" borderId="20" xfId="0" applyBorder="1" applyAlignment="1">
      <alignment vertical="center"/>
    </xf>
    <xf numFmtId="41" fontId="0" fillId="0" borderId="73" xfId="1" applyFont="1" applyBorder="1" applyAlignment="1">
      <alignment vertical="center"/>
    </xf>
    <xf numFmtId="40" fontId="0" fillId="0" borderId="20" xfId="0" applyNumberFormat="1" applyBorder="1" applyAlignment="1">
      <alignment vertical="center"/>
    </xf>
    <xf numFmtId="41" fontId="75" fillId="10" borderId="20" xfId="1" applyFont="1" applyFill="1" applyBorder="1" applyAlignment="1">
      <alignment vertical="center"/>
    </xf>
    <xf numFmtId="41" fontId="75" fillId="10" borderId="73" xfId="1" applyFont="1" applyFill="1" applyBorder="1" applyAlignment="1">
      <alignment vertical="center"/>
    </xf>
    <xf numFmtId="41" fontId="75" fillId="10" borderId="50" xfId="1" applyFont="1" applyFill="1" applyBorder="1" applyAlignment="1">
      <alignment vertical="center"/>
    </xf>
    <xf numFmtId="41" fontId="75" fillId="10" borderId="49" xfId="1" applyFont="1" applyFill="1" applyBorder="1" applyAlignment="1">
      <alignment vertical="center"/>
    </xf>
    <xf numFmtId="38" fontId="73" fillId="0" borderId="94" xfId="0" applyNumberFormat="1" applyFont="1" applyFill="1" applyBorder="1" applyAlignment="1">
      <alignment horizontal="center" vertical="center" wrapText="1" readingOrder="1"/>
    </xf>
    <xf numFmtId="38" fontId="73" fillId="0" borderId="95" xfId="0" applyNumberFormat="1" applyFont="1" applyFill="1" applyBorder="1" applyAlignment="1">
      <alignment horizontal="center" vertical="center" wrapText="1" readingOrder="1"/>
    </xf>
    <xf numFmtId="38" fontId="73" fillId="0" borderId="95" xfId="1" applyNumberFormat="1" applyFont="1" applyFill="1" applyBorder="1" applyAlignment="1">
      <alignment horizontal="center" vertical="center" wrapText="1" readingOrder="1"/>
    </xf>
    <xf numFmtId="1" fontId="73" fillId="0" borderId="94" xfId="0" applyNumberFormat="1" applyFont="1" applyFill="1" applyBorder="1" applyAlignment="1">
      <alignment horizontal="center" vertical="center" wrapText="1" readingOrder="1"/>
    </xf>
    <xf numFmtId="1" fontId="71" fillId="20" borderId="96" xfId="0" applyNumberFormat="1" applyFont="1" applyFill="1" applyBorder="1" applyAlignment="1">
      <alignment horizontal="center" vertical="center" wrapText="1" readingOrder="1"/>
    </xf>
    <xf numFmtId="0" fontId="76" fillId="0" borderId="87" xfId="0" applyNumberFormat="1" applyFont="1" applyFill="1" applyBorder="1" applyAlignment="1">
      <alignment horizontal="center" vertical="center" wrapText="1" readingOrder="1"/>
    </xf>
    <xf numFmtId="0" fontId="77" fillId="0" borderId="87" xfId="0" applyNumberFormat="1" applyFont="1" applyFill="1" applyBorder="1" applyAlignment="1">
      <alignment horizontal="center" vertical="center" wrapText="1" readingOrder="1"/>
    </xf>
    <xf numFmtId="0" fontId="77" fillId="0" borderId="88" xfId="0" applyNumberFormat="1" applyFont="1" applyFill="1" applyBorder="1" applyAlignment="1">
      <alignment horizontal="center" vertical="center" wrapText="1" readingOrder="1"/>
    </xf>
    <xf numFmtId="0" fontId="77" fillId="0" borderId="89" xfId="0" applyNumberFormat="1" applyFont="1" applyFill="1" applyBorder="1" applyAlignment="1">
      <alignment horizontal="center" vertical="center" wrapText="1" readingOrder="1"/>
    </xf>
    <xf numFmtId="0" fontId="77" fillId="0" borderId="90" xfId="0" applyNumberFormat="1" applyFont="1" applyFill="1" applyBorder="1" applyAlignment="1">
      <alignment horizontal="center" vertical="center" wrapText="1" readingOrder="1"/>
    </xf>
    <xf numFmtId="1" fontId="70" fillId="19" borderId="0" xfId="0" applyNumberFormat="1" applyFont="1" applyFill="1" applyBorder="1" applyAlignment="1">
      <alignment horizontal="center" vertical="center" wrapText="1" readingOrder="1"/>
    </xf>
    <xf numFmtId="38" fontId="62" fillId="0" borderId="2" xfId="1" applyNumberFormat="1" applyFont="1" applyFill="1" applyBorder="1" applyAlignment="1">
      <alignment horizontal="center" vertical="center" wrapText="1" readingOrder="1"/>
    </xf>
    <xf numFmtId="40" fontId="62" fillId="0" borderId="2" xfId="1" applyNumberFormat="1" applyFont="1" applyFill="1" applyBorder="1" applyAlignment="1">
      <alignment horizontal="center" vertical="center" wrapText="1" readingOrder="1"/>
    </xf>
    <xf numFmtId="0" fontId="0" fillId="11" borderId="0" xfId="0" applyNumberFormat="1" applyFont="1" applyFill="1" applyBorder="1" applyAlignment="1">
      <alignment vertical="center"/>
    </xf>
    <xf numFmtId="40" fontId="70" fillId="0" borderId="0" xfId="0" applyNumberFormat="1" applyFont="1" applyFill="1" applyBorder="1" applyAlignment="1">
      <alignment horizontal="left" vertical="center" wrapText="1" readingOrder="1"/>
    </xf>
    <xf numFmtId="0" fontId="70" fillId="0" borderId="0" xfId="0" applyNumberFormat="1" applyFont="1" applyFill="1" applyBorder="1" applyAlignment="1">
      <alignment horizontal="left" vertical="center" wrapText="1" readingOrder="1"/>
    </xf>
    <xf numFmtId="0" fontId="61" fillId="0" borderId="0" xfId="0" applyNumberFormat="1" applyFont="1" applyFill="1" applyBorder="1" applyAlignment="1">
      <alignment horizontal="left" vertical="center" wrapText="1"/>
    </xf>
    <xf numFmtId="17" fontId="70" fillId="0" borderId="97" xfId="0" applyNumberFormat="1" applyFont="1" applyFill="1" applyBorder="1" applyAlignment="1">
      <alignment horizontal="center" vertical="center" wrapText="1" readingOrder="1"/>
    </xf>
    <xf numFmtId="193" fontId="70" fillId="0" borderId="97" xfId="0" applyNumberFormat="1" applyFont="1" applyFill="1" applyBorder="1" applyAlignment="1">
      <alignment horizontal="center" vertical="center" wrapText="1" readingOrder="1"/>
    </xf>
    <xf numFmtId="0" fontId="70" fillId="0" borderId="97" xfId="0" applyNumberFormat="1" applyFont="1" applyFill="1" applyBorder="1" applyAlignment="1">
      <alignment horizontal="center" vertical="center" wrapText="1" readingOrder="1"/>
    </xf>
    <xf numFmtId="3" fontId="70" fillId="0" borderId="97" xfId="0" applyNumberFormat="1" applyFont="1" applyFill="1" applyBorder="1" applyAlignment="1">
      <alignment horizontal="center" vertical="center" wrapText="1" readingOrder="1"/>
    </xf>
    <xf numFmtId="1" fontId="70" fillId="0" borderId="98" xfId="0" applyNumberFormat="1" applyFont="1" applyFill="1" applyBorder="1" applyAlignment="1">
      <alignment horizontal="center" vertical="center" wrapText="1" readingOrder="1"/>
    </xf>
    <xf numFmtId="3" fontId="70" fillId="0" borderId="99" xfId="0" applyNumberFormat="1" applyFont="1" applyFill="1" applyBorder="1" applyAlignment="1">
      <alignment horizontal="center" vertical="center" wrapText="1" readingOrder="1"/>
    </xf>
    <xf numFmtId="1" fontId="70" fillId="0" borderId="99" xfId="0" applyNumberFormat="1" applyFont="1" applyFill="1" applyBorder="1" applyAlignment="1">
      <alignment horizontal="center" vertical="center" wrapText="1" readingOrder="1"/>
    </xf>
    <xf numFmtId="0" fontId="70" fillId="0" borderId="99" xfId="0" applyNumberFormat="1" applyFont="1" applyFill="1" applyBorder="1" applyAlignment="1">
      <alignment horizontal="center" vertical="center" wrapText="1" readingOrder="1"/>
    </xf>
    <xf numFmtId="0" fontId="70" fillId="0" borderId="100" xfId="0" applyNumberFormat="1" applyFont="1" applyFill="1" applyBorder="1" applyAlignment="1">
      <alignment horizontal="center" vertical="center" wrapText="1" readingOrder="1"/>
    </xf>
    <xf numFmtId="10" fontId="69" fillId="19" borderId="97" xfId="0" applyNumberFormat="1" applyFont="1" applyFill="1" applyBorder="1" applyAlignment="1">
      <alignment horizontal="center" vertical="center" wrapText="1" readingOrder="1"/>
    </xf>
    <xf numFmtId="40" fontId="70" fillId="0" borderId="97" xfId="0" applyNumberFormat="1" applyFont="1" applyFill="1" applyBorder="1" applyAlignment="1">
      <alignment horizontal="left" vertical="center" wrapText="1" readingOrder="1"/>
    </xf>
    <xf numFmtId="40" fontId="66" fillId="0" borderId="2" xfId="0" applyNumberFormat="1" applyFont="1" applyFill="1" applyBorder="1" applyAlignment="1">
      <alignment horizontal="center" vertical="center" wrapText="1" readingOrder="1"/>
    </xf>
    <xf numFmtId="40" fontId="66" fillId="0" borderId="2" xfId="1" applyNumberFormat="1" applyFont="1" applyFill="1" applyBorder="1" applyAlignment="1">
      <alignment horizontal="center" vertical="center" wrapText="1" readingOrder="1"/>
    </xf>
    <xf numFmtId="0" fontId="70" fillId="0" borderId="0" xfId="0" applyNumberFormat="1" applyFont="1" applyFill="1" applyBorder="1" applyAlignment="1">
      <alignment vertical="center" wrapText="1" readingOrder="1"/>
    </xf>
    <xf numFmtId="10" fontId="0" fillId="0" borderId="0" xfId="12" applyNumberFormat="1" applyFont="1" applyFill="1" applyBorder="1" applyAlignment="1">
      <alignment vertical="center"/>
    </xf>
    <xf numFmtId="195" fontId="70" fillId="19" borderId="0" xfId="0" applyNumberFormat="1" applyFont="1" applyFill="1" applyBorder="1" applyAlignment="1">
      <alignment horizontal="center" vertical="center" wrapText="1" readingOrder="1"/>
    </xf>
    <xf numFmtId="196" fontId="70" fillId="19" borderId="0" xfId="0" applyNumberFormat="1" applyFont="1" applyFill="1" applyBorder="1" applyAlignment="1">
      <alignment horizontal="center" vertical="center" wrapText="1" readingOrder="1"/>
    </xf>
    <xf numFmtId="2" fontId="62" fillId="0" borderId="2" xfId="1" applyNumberFormat="1" applyFont="1" applyFill="1" applyBorder="1" applyAlignment="1">
      <alignment horizontal="center" vertical="center" wrapText="1" readingOrder="1"/>
    </xf>
    <xf numFmtId="0" fontId="79" fillId="0" borderId="0" xfId="0" applyFont="1"/>
    <xf numFmtId="0" fontId="80" fillId="0" borderId="0" xfId="0" applyFont="1"/>
    <xf numFmtId="0" fontId="80" fillId="0" borderId="0" xfId="0" applyFont="1" applyAlignment="1">
      <alignment horizontal="left" indent="2"/>
    </xf>
    <xf numFmtId="0" fontId="81" fillId="0" borderId="0" xfId="0" applyFont="1" applyAlignment="1">
      <alignment horizontal="left" vertical="center"/>
    </xf>
    <xf numFmtId="0" fontId="81" fillId="0" borderId="0" xfId="0" applyFont="1" applyAlignment="1">
      <alignment horizontal="left" vertical="center" wrapText="1" indent="2"/>
    </xf>
    <xf numFmtId="0" fontId="81" fillId="0" borderId="0" xfId="0" applyFont="1" applyAlignment="1">
      <alignment horizontal="center" vertical="center" wrapText="1"/>
    </xf>
    <xf numFmtId="0" fontId="82" fillId="21" borderId="0" xfId="0" applyFont="1" applyFill="1" applyAlignment="1">
      <alignment horizontal="center" vertical="center"/>
    </xf>
    <xf numFmtId="0" fontId="82" fillId="22" borderId="0" xfId="0" applyFont="1" applyFill="1" applyAlignment="1">
      <alignment horizontal="left" vertical="center"/>
    </xf>
    <xf numFmtId="0" fontId="82" fillId="22" borderId="0" xfId="0" applyFont="1" applyFill="1" applyAlignment="1">
      <alignment horizontal="left" vertical="center" indent="2"/>
    </xf>
    <xf numFmtId="0" fontId="82" fillId="22" borderId="0" xfId="0" applyFont="1" applyFill="1" applyAlignment="1">
      <alignment horizontal="center" vertical="center"/>
    </xf>
    <xf numFmtId="0" fontId="83" fillId="0" borderId="0" xfId="0" applyFont="1"/>
    <xf numFmtId="0" fontId="84" fillId="0" borderId="0" xfId="0" applyFont="1" applyAlignment="1">
      <alignment horizontal="center" vertical="center" wrapText="1"/>
    </xf>
    <xf numFmtId="0" fontId="85" fillId="0" borderId="0" xfId="0" applyFont="1" applyAlignment="1">
      <alignment horizontal="center" vertical="center" wrapText="1"/>
    </xf>
    <xf numFmtId="0" fontId="79" fillId="0" borderId="0" xfId="0" applyFont="1" applyAlignment="1">
      <alignment horizontal="left" vertical="center"/>
    </xf>
    <xf numFmtId="0" fontId="86" fillId="0" borderId="0" xfId="0" applyFont="1" applyAlignment="1">
      <alignment horizontal="left" vertical="center" wrapText="1" indent="2"/>
    </xf>
    <xf numFmtId="0" fontId="86" fillId="0" borderId="0" xfId="0" applyFont="1" applyAlignment="1">
      <alignment horizontal="center" vertical="center" wrapText="1"/>
    </xf>
    <xf numFmtId="14" fontId="87" fillId="10" borderId="101" xfId="0" applyNumberFormat="1" applyFont="1" applyFill="1" applyBorder="1" applyAlignment="1">
      <alignment horizontal="center" vertical="center" wrapText="1"/>
    </xf>
    <xf numFmtId="41" fontId="83" fillId="0" borderId="0" xfId="1" applyFont="1" applyAlignment="1"/>
    <xf numFmtId="0" fontId="83" fillId="0" borderId="0" xfId="0" applyFont="1" applyAlignment="1">
      <alignment horizontal="left" vertical="center" wrapText="1" indent="2"/>
    </xf>
    <xf numFmtId="0" fontId="83" fillId="0" borderId="0" xfId="0" applyFont="1" applyAlignment="1">
      <alignment horizontal="center" vertical="center" wrapText="1"/>
    </xf>
    <xf numFmtId="14" fontId="83" fillId="10" borderId="101" xfId="0" applyNumberFormat="1" applyFont="1" applyFill="1" applyBorder="1" applyAlignment="1">
      <alignment horizontal="center" vertical="center" wrapText="1"/>
    </xf>
    <xf numFmtId="0" fontId="89" fillId="0" borderId="0" xfId="0" applyFont="1" applyAlignment="1">
      <alignment horizontal="center" vertical="center" wrapText="1"/>
    </xf>
    <xf numFmtId="2" fontId="87" fillId="10" borderId="101" xfId="0" applyNumberFormat="1" applyFont="1" applyFill="1" applyBorder="1" applyAlignment="1">
      <alignment horizontal="center" vertical="center" wrapText="1"/>
    </xf>
    <xf numFmtId="198" fontId="84" fillId="0" borderId="0" xfId="0" applyNumberFormat="1" applyFont="1" applyAlignment="1">
      <alignment horizontal="center" vertical="center" wrapText="1"/>
    </xf>
    <xf numFmtId="0" fontId="79" fillId="0" borderId="54" xfId="0" applyFont="1" applyBorder="1" applyAlignment="1">
      <alignment horizontal="left" vertical="center"/>
    </xf>
    <xf numFmtId="0" fontId="83" fillId="0" borderId="54" xfId="0" applyFont="1" applyBorder="1" applyAlignment="1">
      <alignment horizontal="left" vertical="center" wrapText="1" indent="2"/>
    </xf>
    <xf numFmtId="0" fontId="83" fillId="0" borderId="54" xfId="0" applyFont="1" applyBorder="1" applyAlignment="1">
      <alignment horizontal="center" vertical="center" wrapText="1"/>
    </xf>
    <xf numFmtId="0" fontId="89" fillId="0" borderId="54" xfId="0" applyFont="1" applyBorder="1" applyAlignment="1">
      <alignment horizontal="center" vertical="center" wrapText="1"/>
    </xf>
    <xf numFmtId="0" fontId="83" fillId="0" borderId="0" xfId="0" applyFont="1" applyAlignment="1">
      <alignment horizontal="left" vertical="center" indent="1"/>
    </xf>
    <xf numFmtId="0" fontId="83" fillId="0" borderId="0" xfId="0" applyFont="1" applyAlignment="1">
      <alignment horizontal="left" vertical="center"/>
    </xf>
    <xf numFmtId="0" fontId="90" fillId="0" borderId="54" xfId="0" applyFont="1" applyBorder="1" applyAlignment="1">
      <alignment horizontal="center" vertical="center" wrapText="1"/>
    </xf>
    <xf numFmtId="0" fontId="79" fillId="0" borderId="0" xfId="0" applyFont="1" applyAlignment="1">
      <alignment horizontal="left" vertical="center" wrapText="1"/>
    </xf>
    <xf numFmtId="0" fontId="90" fillId="0" borderId="0" xfId="0" applyFont="1" applyAlignment="1">
      <alignment horizontal="center" vertical="center" wrapText="1"/>
    </xf>
    <xf numFmtId="9" fontId="90" fillId="0" borderId="0" xfId="12" applyFont="1" applyAlignment="1">
      <alignment horizontal="center" vertical="center" wrapText="1"/>
    </xf>
    <xf numFmtId="0" fontId="83" fillId="0" borderId="0" xfId="0" applyFont="1" applyAlignment="1">
      <alignment horizontal="left" indent="2"/>
    </xf>
    <xf numFmtId="3" fontId="92" fillId="0" borderId="0" xfId="0" applyNumberFormat="1" applyFont="1"/>
    <xf numFmtId="0" fontId="83" fillId="0" borderId="54" xfId="0" applyFont="1" applyBorder="1" applyAlignment="1">
      <alignment horizontal="left" indent="2"/>
    </xf>
    <xf numFmtId="176" fontId="83" fillId="0" borderId="54" xfId="0" applyNumberFormat="1" applyFont="1" applyBorder="1"/>
    <xf numFmtId="2" fontId="83" fillId="10" borderId="101" xfId="0" applyNumberFormat="1" applyFont="1" applyFill="1" applyBorder="1" applyAlignment="1">
      <alignment horizontal="left" vertical="center" wrapText="1" indent="2"/>
    </xf>
    <xf numFmtId="199" fontId="83" fillId="0" borderId="0" xfId="0" applyNumberFormat="1" applyFont="1"/>
    <xf numFmtId="0" fontId="83" fillId="5" borderId="0" xfId="0" applyFont="1" applyFill="1" applyAlignment="1">
      <alignment horizontal="left" vertical="center"/>
    </xf>
    <xf numFmtId="200" fontId="83" fillId="10" borderId="101" xfId="12" applyNumberFormat="1" applyFont="1" applyFill="1" applyBorder="1" applyAlignment="1">
      <alignment horizontal="center" vertical="center" wrapText="1"/>
    </xf>
    <xf numFmtId="41" fontId="83" fillId="0" borderId="0" xfId="0" applyNumberFormat="1" applyFont="1"/>
    <xf numFmtId="0" fontId="83" fillId="0" borderId="54" xfId="0" applyFont="1" applyBorder="1"/>
    <xf numFmtId="0" fontId="90" fillId="0" borderId="54" xfId="0" applyFont="1" applyBorder="1"/>
    <xf numFmtId="0" fontId="79" fillId="0" borderId="0" xfId="0" applyFont="1" applyAlignment="1">
      <alignment horizontal="left" indent="2"/>
    </xf>
    <xf numFmtId="1" fontId="87" fillId="10" borderId="102" xfId="0" applyNumberFormat="1" applyFont="1" applyFill="1" applyBorder="1" applyAlignment="1">
      <alignment horizontal="center" vertical="center" wrapText="1"/>
    </xf>
    <xf numFmtId="181" fontId="87" fillId="10" borderId="102" xfId="12" applyNumberFormat="1" applyFont="1" applyFill="1" applyBorder="1" applyAlignment="1">
      <alignment horizontal="center" vertical="center" wrapText="1"/>
    </xf>
    <xf numFmtId="198" fontId="83" fillId="0" borderId="0" xfId="0" applyNumberFormat="1" applyFont="1"/>
    <xf numFmtId="41" fontId="92" fillId="0" borderId="54" xfId="1" applyFont="1" applyBorder="1" applyAlignment="1"/>
    <xf numFmtId="1" fontId="83" fillId="0" borderId="0" xfId="0" applyNumberFormat="1" applyFont="1"/>
    <xf numFmtId="0" fontId="0" fillId="0" borderId="0" xfId="0"/>
    <xf numFmtId="202" fontId="94" fillId="0" borderId="0" xfId="0" applyNumberFormat="1" applyFont="1"/>
    <xf numFmtId="0" fontId="83" fillId="0" borderId="105" xfId="0" applyFont="1" applyBorder="1"/>
    <xf numFmtId="0" fontId="83" fillId="0" borderId="57" xfId="0" applyFont="1" applyBorder="1" applyAlignment="1">
      <alignment horizontal="left" indent="2"/>
    </xf>
    <xf numFmtId="181" fontId="83" fillId="0" borderId="0" xfId="12" applyNumberFormat="1" applyFont="1" applyAlignment="1"/>
    <xf numFmtId="0" fontId="83" fillId="4" borderId="0" xfId="0" quotePrefix="1" applyFont="1" applyFill="1" applyAlignment="1">
      <alignment horizontal="left" indent="2"/>
    </xf>
    <xf numFmtId="198" fontId="92" fillId="0" borderId="0" xfId="0" applyNumberFormat="1" applyFont="1"/>
    <xf numFmtId="199" fontId="83" fillId="0" borderId="0" xfId="0" applyNumberFormat="1" applyFont="1" applyAlignment="1">
      <alignment horizontal="left" indent="2"/>
    </xf>
    <xf numFmtId="196" fontId="83" fillId="0" borderId="0" xfId="0" applyNumberFormat="1" applyFont="1"/>
    <xf numFmtId="9" fontId="0" fillId="0" borderId="0" xfId="12" applyFont="1" applyFill="1" applyBorder="1" applyAlignment="1"/>
    <xf numFmtId="181" fontId="0" fillId="0" borderId="0" xfId="12" applyNumberFormat="1" applyFont="1" applyFill="1" applyBorder="1" applyAlignment="1"/>
    <xf numFmtId="0" fontId="0" fillId="0" borderId="0" xfId="0" applyFont="1" applyFill="1" applyBorder="1" applyAlignment="1"/>
    <xf numFmtId="0" fontId="38" fillId="0" borderId="0" xfId="0" applyNumberFormat="1" applyFont="1" applyFill="1" applyBorder="1" applyAlignment="1"/>
    <xf numFmtId="38" fontId="0" fillId="0" borderId="0" xfId="1" applyNumberFormat="1" applyFont="1" applyFill="1" applyBorder="1" applyAlignment="1">
      <alignment horizontal="center" vertical="center" wrapText="1"/>
    </xf>
    <xf numFmtId="14" fontId="0" fillId="0" borderId="0" xfId="0" applyNumberFormat="1" applyFont="1" applyFill="1" applyBorder="1" applyAlignment="1">
      <alignment horizontal="center" vertical="center" wrapText="1"/>
    </xf>
    <xf numFmtId="14" fontId="0" fillId="4" borderId="0" xfId="0" applyNumberFormat="1" applyFont="1" applyFill="1" applyBorder="1" applyAlignment="1">
      <alignment horizontal="center" vertical="center" wrapText="1"/>
    </xf>
    <xf numFmtId="2" fontId="0" fillId="0" borderId="0" xfId="0" applyNumberFormat="1" applyFont="1" applyFill="1" applyBorder="1" applyAlignment="1"/>
    <xf numFmtId="0" fontId="16" fillId="0" borderId="0" xfId="0" applyNumberFormat="1" applyFont="1" applyFill="1" applyBorder="1" applyAlignment="1">
      <alignment horizontal="center" vertical="center" wrapText="1"/>
    </xf>
    <xf numFmtId="3" fontId="90" fillId="0" borderId="54" xfId="0" applyNumberFormat="1" applyFont="1" applyBorder="1"/>
    <xf numFmtId="0" fontId="0" fillId="8" borderId="0" xfId="0" applyNumberFormat="1" applyFont="1" applyFill="1" applyBorder="1" applyAlignment="1"/>
    <xf numFmtId="0" fontId="83" fillId="0" borderId="0" xfId="0" applyNumberFormat="1" applyFont="1" applyFill="1" applyBorder="1" applyAlignment="1"/>
    <xf numFmtId="196" fontId="84" fillId="0" borderId="0" xfId="1" applyNumberFormat="1" applyFont="1" applyAlignment="1">
      <alignment horizontal="center" vertical="center" wrapText="1"/>
    </xf>
    <xf numFmtId="199" fontId="80" fillId="0" borderId="0" xfId="0" applyNumberFormat="1" applyFont="1"/>
    <xf numFmtId="199" fontId="80" fillId="0" borderId="0" xfId="0" applyNumberFormat="1" applyFont="1" applyFill="1" applyBorder="1" applyAlignment="1"/>
    <xf numFmtId="199" fontId="80" fillId="0" borderId="0" xfId="1" applyNumberFormat="1" applyFont="1"/>
    <xf numFmtId="0" fontId="80" fillId="0" borderId="0" xfId="1" applyNumberFormat="1" applyFont="1"/>
    <xf numFmtId="0" fontId="80" fillId="0" borderId="0" xfId="0" applyNumberFormat="1" applyFont="1" applyFill="1" applyBorder="1" applyAlignment="1"/>
    <xf numFmtId="0" fontId="80" fillId="0" borderId="0" xfId="1" applyNumberFormat="1" applyFont="1" applyFill="1" applyBorder="1" applyAlignment="1"/>
    <xf numFmtId="199" fontId="0" fillId="0" borderId="0" xfId="0" applyNumberFormat="1"/>
    <xf numFmtId="199" fontId="80" fillId="0" borderId="0" xfId="0" applyNumberFormat="1" applyFont="1" applyFill="1" applyBorder="1" applyAlignment="1">
      <alignment horizontal="right"/>
    </xf>
    <xf numFmtId="202" fontId="97" fillId="0" borderId="0" xfId="0" applyNumberFormat="1" applyFont="1" applyFill="1" applyBorder="1" applyAlignment="1"/>
    <xf numFmtId="0" fontId="11" fillId="0" borderId="0" xfId="0" applyFont="1"/>
    <xf numFmtId="0" fontId="11" fillId="4" borderId="0" xfId="0" applyFont="1" applyFill="1"/>
    <xf numFmtId="3" fontId="98" fillId="4" borderId="0" xfId="1" applyNumberFormat="1" applyFont="1" applyFill="1"/>
    <xf numFmtId="3" fontId="75" fillId="4" borderId="0" xfId="1" applyNumberFormat="1" applyFont="1" applyFill="1" applyBorder="1" applyAlignment="1"/>
    <xf numFmtId="199" fontId="99" fillId="4" borderId="107" xfId="0" applyNumberFormat="1" applyFont="1" applyFill="1" applyBorder="1"/>
    <xf numFmtId="0" fontId="83" fillId="0" borderId="0" xfId="0" applyFont="1" applyFill="1"/>
    <xf numFmtId="0" fontId="79" fillId="0" borderId="0" xfId="0" applyFont="1" applyFill="1" applyAlignment="1">
      <alignment horizontal="left" vertical="center"/>
    </xf>
    <xf numFmtId="0" fontId="83" fillId="0" borderId="0" xfId="0" applyFont="1" applyFill="1" applyAlignment="1">
      <alignment horizontal="left" vertical="center" wrapText="1" indent="2"/>
    </xf>
    <xf numFmtId="0" fontId="83" fillId="0" borderId="0" xfId="0" applyFont="1" applyFill="1" applyAlignment="1">
      <alignment horizontal="center" vertical="center" wrapText="1"/>
    </xf>
    <xf numFmtId="0" fontId="86" fillId="0" borderId="0" xfId="0" applyFont="1" applyFill="1" applyAlignment="1">
      <alignment horizontal="center" vertical="center" wrapText="1"/>
    </xf>
    <xf numFmtId="0" fontId="86" fillId="0" borderId="0" xfId="0" applyFont="1" applyFill="1" applyAlignment="1">
      <alignment horizontal="left" vertical="center" wrapText="1" indent="2"/>
    </xf>
    <xf numFmtId="14" fontId="87" fillId="14" borderId="101" xfId="0" applyNumberFormat="1" applyFont="1" applyFill="1" applyBorder="1" applyAlignment="1">
      <alignment horizontal="center" vertical="center" wrapText="1"/>
    </xf>
    <xf numFmtId="10" fontId="87" fillId="14" borderId="101" xfId="0" applyNumberFormat="1" applyFont="1" applyFill="1" applyBorder="1" applyAlignment="1">
      <alignment horizontal="center" vertical="center" wrapText="1"/>
    </xf>
    <xf numFmtId="14" fontId="83" fillId="14" borderId="101" xfId="0" applyNumberFormat="1" applyFont="1" applyFill="1" applyBorder="1" applyAlignment="1">
      <alignment horizontal="center" vertical="center" wrapText="1"/>
    </xf>
    <xf numFmtId="1" fontId="87" fillId="14" borderId="101" xfId="0" applyNumberFormat="1" applyFont="1" applyFill="1" applyBorder="1" applyAlignment="1">
      <alignment horizontal="center" vertical="center" wrapText="1"/>
    </xf>
    <xf numFmtId="2" fontId="87" fillId="14" borderId="101" xfId="0" applyNumberFormat="1" applyFont="1" applyFill="1" applyBorder="1" applyAlignment="1">
      <alignment horizontal="center" vertical="center" wrapText="1"/>
    </xf>
    <xf numFmtId="196" fontId="87" fillId="14" borderId="101" xfId="0" applyNumberFormat="1" applyFont="1" applyFill="1" applyBorder="1" applyAlignment="1">
      <alignment horizontal="center" vertical="center" wrapText="1"/>
    </xf>
    <xf numFmtId="194" fontId="87" fillId="14" borderId="101" xfId="0" applyNumberFormat="1" applyFont="1" applyFill="1" applyBorder="1" applyAlignment="1">
      <alignment horizontal="center" vertical="center" wrapText="1"/>
    </xf>
    <xf numFmtId="197" fontId="87" fillId="14" borderId="101" xfId="0" applyNumberFormat="1" applyFont="1" applyFill="1" applyBorder="1" applyAlignment="1">
      <alignment horizontal="center" vertical="center" wrapText="1"/>
    </xf>
    <xf numFmtId="0" fontId="89" fillId="0" borderId="0" xfId="0" applyNumberFormat="1" applyFont="1" applyFill="1" applyBorder="1" applyAlignment="1">
      <alignment horizontal="center" vertical="center" wrapText="1"/>
    </xf>
    <xf numFmtId="9" fontId="91" fillId="14" borderId="101" xfId="12" applyFont="1" applyFill="1" applyBorder="1" applyAlignment="1">
      <alignment horizontal="center" vertical="center" wrapText="1"/>
    </xf>
    <xf numFmtId="185" fontId="87" fillId="14" borderId="101" xfId="0" applyNumberFormat="1" applyFont="1" applyFill="1" applyBorder="1" applyAlignment="1">
      <alignment horizontal="center" vertical="center" wrapText="1"/>
    </xf>
    <xf numFmtId="9" fontId="87" fillId="14" borderId="101" xfId="12" applyFont="1" applyFill="1" applyBorder="1" applyAlignment="1">
      <alignment horizontal="center" vertical="center" wrapText="1"/>
    </xf>
    <xf numFmtId="10" fontId="87" fillId="14" borderId="101" xfId="12" applyNumberFormat="1" applyFont="1" applyFill="1" applyBorder="1" applyAlignment="1">
      <alignment horizontal="center" vertical="center" wrapText="1"/>
    </xf>
    <xf numFmtId="181" fontId="87" fillId="14" borderId="101" xfId="12" applyNumberFormat="1" applyFont="1" applyFill="1" applyBorder="1" applyAlignment="1">
      <alignment horizontal="center" vertical="center" wrapText="1"/>
    </xf>
    <xf numFmtId="2" fontId="83" fillId="14" borderId="101" xfId="0" applyNumberFormat="1" applyFont="1" applyFill="1" applyBorder="1" applyAlignment="1">
      <alignment horizontal="left" vertical="center" wrapText="1" indent="2"/>
    </xf>
    <xf numFmtId="199" fontId="91" fillId="14" borderId="102" xfId="0" applyNumberFormat="1" applyFont="1" applyFill="1" applyBorder="1" applyAlignment="1">
      <alignment horizontal="center" vertical="center" wrapText="1"/>
    </xf>
    <xf numFmtId="200" fontId="83" fillId="14" borderId="101" xfId="12" applyNumberFormat="1" applyFont="1" applyFill="1" applyBorder="1" applyAlignment="1">
      <alignment horizontal="center" vertical="center" wrapText="1"/>
    </xf>
    <xf numFmtId="199" fontId="87" fillId="14" borderId="102" xfId="12" applyNumberFormat="1" applyFont="1" applyFill="1" applyBorder="1" applyAlignment="1">
      <alignment horizontal="center" vertical="center" wrapText="1"/>
    </xf>
    <xf numFmtId="10" fontId="87" fillId="14" borderId="102" xfId="12" applyNumberFormat="1" applyFont="1" applyFill="1" applyBorder="1" applyAlignment="1">
      <alignment horizontal="center" vertical="center" wrapText="1"/>
    </xf>
    <xf numFmtId="201" fontId="87" fillId="14" borderId="102" xfId="1" applyNumberFormat="1" applyFont="1" applyFill="1" applyBorder="1" applyAlignment="1">
      <alignment vertical="center" wrapText="1"/>
    </xf>
    <xf numFmtId="199" fontId="91" fillId="14" borderId="101" xfId="12" applyNumberFormat="1" applyFont="1" applyFill="1" applyBorder="1" applyAlignment="1">
      <alignment horizontal="center" vertical="center" wrapText="1"/>
    </xf>
    <xf numFmtId="1" fontId="87" fillId="14" borderId="102" xfId="0" applyNumberFormat="1" applyFont="1" applyFill="1" applyBorder="1" applyAlignment="1">
      <alignment horizontal="center" vertical="center" wrapText="1"/>
    </xf>
    <xf numFmtId="199" fontId="87" fillId="14" borderId="104" xfId="0" applyNumberFormat="1" applyFont="1" applyFill="1" applyBorder="1" applyAlignment="1">
      <alignment horizontal="center" vertical="center" wrapText="1"/>
    </xf>
    <xf numFmtId="200" fontId="87" fillId="14" borderId="106" xfId="12" applyNumberFormat="1" applyFont="1" applyFill="1" applyBorder="1" applyAlignment="1">
      <alignment horizontal="center" vertical="center" wrapText="1"/>
    </xf>
    <xf numFmtId="14" fontId="87" fillId="14" borderId="106" xfId="0" applyNumberFormat="1" applyFont="1" applyFill="1" applyBorder="1" applyAlignment="1">
      <alignment horizontal="center" vertical="center" wrapText="1"/>
    </xf>
    <xf numFmtId="9" fontId="87" fillId="14" borderId="106" xfId="12" applyFont="1" applyFill="1" applyBorder="1" applyAlignment="1">
      <alignment horizontal="center" vertical="center" wrapText="1"/>
    </xf>
    <xf numFmtId="10" fontId="87" fillId="14" borderId="106" xfId="12" applyNumberFormat="1" applyFont="1" applyFill="1" applyBorder="1" applyAlignment="1">
      <alignment horizontal="center" vertical="center" wrapText="1"/>
    </xf>
    <xf numFmtId="2" fontId="87" fillId="14" borderId="106" xfId="0" applyNumberFormat="1" applyFont="1" applyFill="1" applyBorder="1" applyAlignment="1">
      <alignment horizontal="center" vertical="center" wrapText="1"/>
    </xf>
    <xf numFmtId="200" fontId="95" fillId="14" borderId="106" xfId="12" applyNumberFormat="1" applyFont="1" applyFill="1" applyBorder="1" applyAlignment="1">
      <alignment horizontal="center" vertical="center" wrapText="1"/>
    </xf>
    <xf numFmtId="0" fontId="83" fillId="14" borderId="0" xfId="0" applyFont="1" applyFill="1"/>
    <xf numFmtId="1" fontId="87" fillId="14" borderId="104" xfId="0" applyNumberFormat="1" applyFont="1" applyFill="1" applyBorder="1" applyAlignment="1">
      <alignment horizontal="center" vertical="center" wrapText="1"/>
    </xf>
    <xf numFmtId="2" fontId="87" fillId="14" borderId="0" xfId="0" applyNumberFormat="1" applyFont="1" applyFill="1" applyAlignment="1">
      <alignment horizontal="center" vertical="center" wrapText="1"/>
    </xf>
    <xf numFmtId="38" fontId="17" fillId="5" borderId="0" xfId="1" applyNumberFormat="1" applyFont="1" applyFill="1" applyAlignment="1">
      <alignment horizontal="center" vertical="center"/>
    </xf>
    <xf numFmtId="38" fontId="17" fillId="0" borderId="0" xfId="1" applyNumberFormat="1" applyFont="1" applyAlignment="1">
      <alignment vertical="center"/>
    </xf>
    <xf numFmtId="40" fontId="17" fillId="0" borderId="0" xfId="2" applyNumberFormat="1" applyFont="1">
      <alignment vertical="center"/>
    </xf>
    <xf numFmtId="185" fontId="17" fillId="0" borderId="0" xfId="2" applyNumberFormat="1" applyFont="1">
      <alignment vertical="center"/>
    </xf>
    <xf numFmtId="40" fontId="17" fillId="5" borderId="0" xfId="2" applyNumberFormat="1" applyFont="1" applyFill="1">
      <alignment vertical="center"/>
    </xf>
    <xf numFmtId="40" fontId="17" fillId="5" borderId="0" xfId="1" applyNumberFormat="1" applyFont="1" applyFill="1" applyAlignment="1">
      <alignment vertical="center"/>
    </xf>
    <xf numFmtId="0" fontId="100" fillId="23" borderId="110" xfId="0" applyNumberFormat="1" applyFont="1" applyFill="1" applyBorder="1" applyAlignment="1">
      <alignment horizontal="center" vertical="center" wrapText="1" readingOrder="1"/>
    </xf>
    <xf numFmtId="9" fontId="100" fillId="23" borderId="113" xfId="0" applyNumberFormat="1" applyFont="1" applyFill="1" applyBorder="1" applyAlignment="1">
      <alignment horizontal="center" vertical="center" wrapText="1" readingOrder="1"/>
    </xf>
    <xf numFmtId="40" fontId="101" fillId="0" borderId="114" xfId="0" applyNumberFormat="1" applyFont="1" applyFill="1" applyBorder="1" applyAlignment="1">
      <alignment horizontal="center" vertical="center" wrapText="1" readingOrder="1"/>
    </xf>
    <xf numFmtId="40" fontId="101" fillId="0" borderId="117" xfId="0" applyNumberFormat="1" applyFont="1" applyFill="1" applyBorder="1" applyAlignment="1">
      <alignment horizontal="center" vertical="center" wrapText="1" readingOrder="1"/>
    </xf>
    <xf numFmtId="203" fontId="100" fillId="0" borderId="54" xfId="0" applyNumberFormat="1" applyFont="1" applyFill="1" applyBorder="1" applyAlignment="1">
      <alignment horizontal="center" vertical="center" wrapText="1" readingOrder="1"/>
    </xf>
    <xf numFmtId="40" fontId="100" fillId="0" borderId="119" xfId="0" applyNumberFormat="1" applyFont="1" applyFill="1" applyBorder="1" applyAlignment="1">
      <alignment horizontal="center" vertical="center" wrapText="1" readingOrder="1"/>
    </xf>
    <xf numFmtId="0" fontId="46" fillId="0" borderId="0" xfId="0" applyFont="1" applyAlignment="1">
      <alignment vertical="center"/>
    </xf>
    <xf numFmtId="14" fontId="46" fillId="0" borderId="0" xfId="0" applyNumberFormat="1" applyFont="1" applyAlignment="1">
      <alignment horizontal="left" vertical="center"/>
    </xf>
    <xf numFmtId="0" fontId="46" fillId="0" borderId="125" xfId="0" applyFont="1" applyBorder="1" applyAlignment="1">
      <alignment vertical="center"/>
    </xf>
    <xf numFmtId="0" fontId="46" fillId="0" borderId="63" xfId="0" applyFont="1" applyBorder="1" applyAlignment="1">
      <alignment vertical="center"/>
    </xf>
    <xf numFmtId="0" fontId="46" fillId="0" borderId="126" xfId="0" applyFont="1" applyBorder="1" applyAlignment="1">
      <alignment vertical="center"/>
    </xf>
    <xf numFmtId="0" fontId="46" fillId="0" borderId="60" xfId="0" applyFont="1" applyBorder="1" applyAlignment="1">
      <alignment vertical="center"/>
    </xf>
    <xf numFmtId="0" fontId="46" fillId="0" borderId="127" xfId="0" applyFont="1" applyBorder="1" applyAlignment="1">
      <alignment vertical="center"/>
    </xf>
    <xf numFmtId="181" fontId="46" fillId="0" borderId="2" xfId="12" applyNumberFormat="1" applyFont="1" applyFill="1" applyBorder="1" applyAlignment="1">
      <alignment horizontal="center" vertical="center"/>
    </xf>
    <xf numFmtId="10" fontId="46" fillId="0" borderId="0" xfId="0" applyNumberFormat="1" applyFont="1" applyAlignment="1">
      <alignment vertical="center"/>
    </xf>
    <xf numFmtId="205" fontId="46" fillId="0" borderId="0" xfId="0" applyNumberFormat="1" applyFont="1" applyAlignment="1">
      <alignment vertical="center"/>
    </xf>
    <xf numFmtId="0" fontId="46" fillId="0" borderId="61" xfId="0" applyFont="1" applyBorder="1" applyAlignment="1">
      <alignment vertical="center"/>
    </xf>
    <xf numFmtId="0" fontId="46" fillId="0" borderId="128" xfId="0" applyFont="1" applyBorder="1" applyAlignment="1">
      <alignment vertical="center"/>
    </xf>
    <xf numFmtId="10" fontId="46" fillId="0" borderId="128" xfId="0" applyNumberFormat="1" applyFont="1" applyBorder="1" applyAlignment="1">
      <alignment vertical="center"/>
    </xf>
    <xf numFmtId="0" fontId="46" fillId="0" borderId="129" xfId="0" applyFont="1" applyBorder="1" applyAlignment="1">
      <alignment vertical="center"/>
    </xf>
    <xf numFmtId="0" fontId="46" fillId="0" borderId="0" xfId="0" applyFont="1" applyFill="1" applyAlignment="1">
      <alignment vertical="center"/>
    </xf>
    <xf numFmtId="10" fontId="46" fillId="0" borderId="2" xfId="12" applyNumberFormat="1" applyFont="1" applyFill="1" applyBorder="1" applyAlignment="1">
      <alignment horizontal="center" vertical="center"/>
    </xf>
    <xf numFmtId="206" fontId="46" fillId="0" borderId="2" xfId="1" applyNumberFormat="1" applyFont="1" applyFill="1" applyBorder="1" applyAlignment="1">
      <alignment horizontal="center" vertical="center"/>
    </xf>
    <xf numFmtId="40" fontId="100" fillId="0" borderId="122" xfId="0" applyNumberFormat="1" applyFont="1" applyFill="1" applyBorder="1" applyAlignment="1">
      <alignment horizontal="center" vertical="center" wrapText="1" readingOrder="1"/>
    </xf>
    <xf numFmtId="10" fontId="101" fillId="0" borderId="114" xfId="12" applyNumberFormat="1" applyFont="1" applyFill="1" applyBorder="1" applyAlignment="1">
      <alignment horizontal="center" vertical="center" wrapText="1" readingOrder="1"/>
    </xf>
    <xf numFmtId="10" fontId="100" fillId="0" borderId="109" xfId="12" applyNumberFormat="1" applyFont="1" applyFill="1" applyBorder="1" applyAlignment="1">
      <alignment horizontal="center" vertical="center" wrapText="1" readingOrder="1"/>
    </xf>
    <xf numFmtId="0" fontId="47" fillId="8" borderId="2" xfId="0" applyFont="1" applyFill="1" applyBorder="1" applyAlignment="1">
      <alignment horizontal="center" vertical="center"/>
    </xf>
    <xf numFmtId="3" fontId="47" fillId="8" borderId="2" xfId="0" applyNumberFormat="1" applyFont="1" applyFill="1" applyBorder="1" applyAlignment="1">
      <alignment horizontal="center" vertical="center"/>
    </xf>
    <xf numFmtId="10" fontId="47" fillId="8" borderId="2" xfId="12" applyNumberFormat="1" applyFont="1" applyFill="1" applyBorder="1" applyAlignment="1">
      <alignment horizontal="center" vertical="center"/>
    </xf>
    <xf numFmtId="206" fontId="47" fillId="8" borderId="2" xfId="1" applyNumberFormat="1" applyFont="1" applyFill="1" applyBorder="1" applyAlignment="1">
      <alignment horizontal="center" vertical="center"/>
    </xf>
    <xf numFmtId="37" fontId="101" fillId="0" borderId="114" xfId="0" applyNumberFormat="1" applyFont="1" applyFill="1" applyBorder="1" applyAlignment="1">
      <alignment horizontal="center" vertical="center" wrapText="1" readingOrder="1"/>
    </xf>
    <xf numFmtId="37" fontId="100" fillId="0" borderId="114" xfId="0" applyNumberFormat="1" applyFont="1" applyFill="1" applyBorder="1" applyAlignment="1">
      <alignment horizontal="center" vertical="center" wrapText="1" readingOrder="1"/>
    </xf>
    <xf numFmtId="1" fontId="17" fillId="5" borderId="0" xfId="1" applyNumberFormat="1" applyFont="1" applyFill="1" applyAlignment="1">
      <alignment vertical="center"/>
    </xf>
    <xf numFmtId="3" fontId="0" fillId="0" borderId="0" xfId="0" applyNumberFormat="1" applyFont="1" applyFill="1" applyBorder="1" applyAlignment="1">
      <alignment vertical="center"/>
    </xf>
    <xf numFmtId="15" fontId="62" fillId="0" borderId="39" xfId="0" applyNumberFormat="1" applyFont="1" applyFill="1" applyBorder="1" applyAlignment="1">
      <alignment horizontal="center" vertical="center" wrapText="1" readingOrder="1"/>
    </xf>
    <xf numFmtId="15" fontId="62" fillId="0" borderId="20" xfId="0" applyNumberFormat="1" applyFont="1" applyFill="1" applyBorder="1" applyAlignment="1">
      <alignment horizontal="center" vertical="center" wrapText="1" readingOrder="1"/>
    </xf>
    <xf numFmtId="15" fontId="62" fillId="0" borderId="40" xfId="0" applyNumberFormat="1" applyFont="1" applyFill="1" applyBorder="1" applyAlignment="1">
      <alignment horizontal="center" vertical="center" wrapText="1" readingOrder="1"/>
    </xf>
    <xf numFmtId="15" fontId="62" fillId="0" borderId="38" xfId="0" applyNumberFormat="1" applyFont="1" applyFill="1" applyBorder="1" applyAlignment="1">
      <alignment horizontal="center" vertical="center" wrapText="1" readingOrder="1"/>
    </xf>
    <xf numFmtId="0" fontId="102" fillId="26" borderId="132" xfId="0" applyNumberFormat="1" applyFont="1" applyFill="1" applyBorder="1" applyAlignment="1">
      <alignment horizontal="center" vertical="center" wrapText="1" readingOrder="1"/>
    </xf>
    <xf numFmtId="0" fontId="102" fillId="26" borderId="133" xfId="0" applyNumberFormat="1" applyFont="1" applyFill="1" applyBorder="1" applyAlignment="1">
      <alignment horizontal="center" vertical="center" wrapText="1" readingOrder="1"/>
    </xf>
    <xf numFmtId="0" fontId="102" fillId="26" borderId="137" xfId="0" applyNumberFormat="1" applyFont="1" applyFill="1" applyBorder="1" applyAlignment="1">
      <alignment horizontal="center" vertical="center" wrapText="1" readingOrder="1"/>
    </xf>
    <xf numFmtId="0" fontId="102" fillId="26" borderId="138" xfId="0" applyNumberFormat="1" applyFont="1" applyFill="1" applyBorder="1" applyAlignment="1">
      <alignment horizontal="center" vertical="center" wrapText="1" readingOrder="1"/>
    </xf>
    <xf numFmtId="0" fontId="105" fillId="0" borderId="110" xfId="0" applyNumberFormat="1" applyFont="1" applyFill="1" applyBorder="1" applyAlignment="1">
      <alignment horizontal="center" vertical="center" wrapText="1" readingOrder="1"/>
    </xf>
    <xf numFmtId="3" fontId="105" fillId="0" borderId="110" xfId="0" applyNumberFormat="1" applyFont="1" applyFill="1" applyBorder="1" applyAlignment="1">
      <alignment horizontal="right" vertical="center" wrapText="1" readingOrder="1"/>
    </xf>
    <xf numFmtId="0" fontId="103" fillId="0" borderId="110" xfId="0" applyNumberFormat="1" applyFont="1" applyFill="1" applyBorder="1" applyAlignment="1">
      <alignment horizontal="right" vertical="center" wrapText="1"/>
    </xf>
    <xf numFmtId="0" fontId="103" fillId="0" borderId="111" xfId="0" applyNumberFormat="1" applyFont="1" applyFill="1" applyBorder="1" applyAlignment="1">
      <alignment horizontal="right" vertical="center" wrapText="1"/>
    </xf>
    <xf numFmtId="0" fontId="105" fillId="0" borderId="113" xfId="0" applyNumberFormat="1" applyFont="1" applyFill="1" applyBorder="1" applyAlignment="1">
      <alignment horizontal="center" vertical="center" wrapText="1" readingOrder="1"/>
    </xf>
    <xf numFmtId="3" fontId="105" fillId="0" borderId="113" xfId="0" applyNumberFormat="1" applyFont="1" applyFill="1" applyBorder="1" applyAlignment="1">
      <alignment horizontal="right" vertical="center" wrapText="1" readingOrder="1"/>
    </xf>
    <xf numFmtId="0" fontId="103" fillId="0" borderId="113" xfId="0" applyNumberFormat="1" applyFont="1" applyFill="1" applyBorder="1" applyAlignment="1">
      <alignment horizontal="right" vertical="center" wrapText="1"/>
    </xf>
    <xf numFmtId="3" fontId="105" fillId="0" borderId="112" xfId="0" applyNumberFormat="1" applyFont="1" applyFill="1" applyBorder="1" applyAlignment="1">
      <alignment horizontal="right" vertical="center" wrapText="1" readingOrder="1"/>
    </xf>
    <xf numFmtId="0" fontId="103" fillId="0" borderId="112" xfId="0" applyNumberFormat="1" applyFont="1" applyFill="1" applyBorder="1" applyAlignment="1">
      <alignment horizontal="right" vertical="center" wrapText="1"/>
    </xf>
    <xf numFmtId="0" fontId="105" fillId="0" borderId="142" xfId="0" applyNumberFormat="1" applyFont="1" applyFill="1" applyBorder="1" applyAlignment="1">
      <alignment horizontal="center" vertical="center" wrapText="1" readingOrder="1"/>
    </xf>
    <xf numFmtId="3" fontId="105" fillId="0" borderId="142" xfId="0" applyNumberFormat="1" applyFont="1" applyFill="1" applyBorder="1" applyAlignment="1">
      <alignment horizontal="right" vertical="center" wrapText="1" readingOrder="1"/>
    </xf>
    <xf numFmtId="0" fontId="103" fillId="0" borderId="142" xfId="0" applyNumberFormat="1" applyFont="1" applyFill="1" applyBorder="1" applyAlignment="1">
      <alignment horizontal="right" vertical="center" wrapText="1"/>
    </xf>
    <xf numFmtId="3" fontId="105" fillId="0" borderId="143" xfId="0" applyNumberFormat="1" applyFont="1" applyFill="1" applyBorder="1" applyAlignment="1">
      <alignment horizontal="right" vertical="center" wrapText="1" readingOrder="1"/>
    </xf>
    <xf numFmtId="0" fontId="103" fillId="20" borderId="141" xfId="0" applyNumberFormat="1" applyFont="1" applyFill="1" applyBorder="1" applyAlignment="1">
      <alignment horizontal="center" vertical="center" wrapText="1"/>
    </xf>
    <xf numFmtId="0" fontId="103" fillId="20" borderId="141" xfId="0" applyNumberFormat="1" applyFont="1" applyFill="1" applyBorder="1" applyAlignment="1">
      <alignment horizontal="right" vertical="center" wrapText="1"/>
    </xf>
    <xf numFmtId="3" fontId="104" fillId="20" borderId="141" xfId="0" applyNumberFormat="1" applyFont="1" applyFill="1" applyBorder="1" applyAlignment="1">
      <alignment horizontal="right" vertical="center" wrapText="1" readingOrder="1"/>
    </xf>
    <xf numFmtId="3" fontId="104" fillId="20" borderId="144" xfId="0" applyNumberFormat="1" applyFont="1" applyFill="1" applyBorder="1" applyAlignment="1">
      <alignment horizontal="right" vertical="center" wrapText="1" readingOrder="1"/>
    </xf>
    <xf numFmtId="4" fontId="104" fillId="4" borderId="141" xfId="0" applyNumberFormat="1" applyFont="1" applyFill="1" applyBorder="1" applyAlignment="1">
      <alignment horizontal="right" vertical="center" wrapText="1" readingOrder="1"/>
    </xf>
    <xf numFmtId="0" fontId="103" fillId="4" borderId="141" xfId="0" applyNumberFormat="1" applyFont="1" applyFill="1" applyBorder="1" applyAlignment="1">
      <alignment horizontal="center" vertical="center" wrapText="1"/>
    </xf>
    <xf numFmtId="0" fontId="103" fillId="4" borderId="141" xfId="0" applyNumberFormat="1" applyFont="1" applyFill="1" applyBorder="1" applyAlignment="1">
      <alignment horizontal="right" vertical="center" wrapText="1"/>
    </xf>
    <xf numFmtId="3" fontId="104" fillId="4" borderId="141" xfId="0" applyNumberFormat="1" applyFont="1" applyFill="1" applyBorder="1" applyAlignment="1">
      <alignment horizontal="right" vertical="center" wrapText="1" readingOrder="1"/>
    </xf>
    <xf numFmtId="3" fontId="104" fillId="4" borderId="144" xfId="0" applyNumberFormat="1" applyFont="1" applyFill="1" applyBorder="1" applyAlignment="1">
      <alignment horizontal="right" vertical="center" wrapText="1" readingOrder="1"/>
    </xf>
    <xf numFmtId="4" fontId="105" fillId="0" borderId="110" xfId="0" applyNumberFormat="1" applyFont="1" applyFill="1" applyBorder="1" applyAlignment="1">
      <alignment horizontal="right" vertical="center" wrapText="1" readingOrder="1"/>
    </xf>
    <xf numFmtId="4" fontId="103" fillId="0" borderId="113" xfId="0" applyNumberFormat="1" applyFont="1" applyFill="1" applyBorder="1" applyAlignment="1">
      <alignment horizontal="right" vertical="center" wrapText="1"/>
    </xf>
    <xf numFmtId="4" fontId="105" fillId="0" borderId="113" xfId="0" applyNumberFormat="1" applyFont="1" applyFill="1" applyBorder="1" applyAlignment="1">
      <alignment horizontal="right" vertical="center" wrapText="1" readingOrder="1"/>
    </xf>
    <xf numFmtId="4" fontId="103" fillId="0" borderId="111" xfId="0" applyNumberFormat="1" applyFont="1" applyFill="1" applyBorder="1" applyAlignment="1">
      <alignment horizontal="right" vertical="center" wrapText="1"/>
    </xf>
    <xf numFmtId="4" fontId="105" fillId="0" borderId="112" xfId="0" applyNumberFormat="1" applyFont="1" applyFill="1" applyBorder="1" applyAlignment="1">
      <alignment horizontal="right" vertical="center" wrapText="1" readingOrder="1"/>
    </xf>
    <xf numFmtId="4" fontId="103" fillId="0" borderId="112" xfId="0" applyNumberFormat="1" applyFont="1" applyFill="1" applyBorder="1" applyAlignment="1">
      <alignment horizontal="right" vertical="center" wrapText="1"/>
    </xf>
    <xf numFmtId="4" fontId="104" fillId="4" borderId="141" xfId="0" applyNumberFormat="1" applyFont="1" applyFill="1" applyBorder="1" applyAlignment="1">
      <alignment horizontal="center" vertical="center" wrapText="1" readingOrder="1"/>
    </xf>
    <xf numFmtId="4" fontId="104" fillId="20" borderId="141" xfId="0" applyNumberFormat="1" applyFont="1" applyFill="1" applyBorder="1" applyAlignment="1">
      <alignment horizontal="center" vertical="center" wrapText="1" readingOrder="1"/>
    </xf>
    <xf numFmtId="0" fontId="103" fillId="0" borderId="0" xfId="0" applyNumberFormat="1" applyFont="1" applyFill="1" applyBorder="1" applyAlignment="1">
      <alignment vertical="center"/>
    </xf>
    <xf numFmtId="0" fontId="103" fillId="0" borderId="0" xfId="0" applyNumberFormat="1" applyFont="1" applyFill="1" applyBorder="1" applyAlignment="1">
      <alignment horizontal="center" vertical="center"/>
    </xf>
    <xf numFmtId="0" fontId="73" fillId="0" borderId="94" xfId="0" applyNumberFormat="1" applyFont="1" applyFill="1" applyBorder="1" applyAlignment="1">
      <alignment horizontal="left" vertical="center" wrapText="1" readingOrder="1"/>
    </xf>
    <xf numFmtId="1" fontId="0" fillId="0" borderId="0" xfId="0" applyNumberFormat="1" applyFont="1" applyFill="1" applyBorder="1" applyAlignment="1">
      <alignment vertical="center"/>
    </xf>
    <xf numFmtId="0" fontId="73" fillId="0" borderId="95" xfId="0" applyNumberFormat="1" applyFont="1" applyFill="1" applyBorder="1" applyAlignment="1">
      <alignment horizontal="left" vertical="center" wrapText="1" readingOrder="1"/>
    </xf>
    <xf numFmtId="0" fontId="71" fillId="20" borderId="96" xfId="0" applyNumberFormat="1" applyFont="1" applyFill="1" applyBorder="1" applyAlignment="1">
      <alignment horizontal="left" vertical="center" wrapText="1" readingOrder="1"/>
    </xf>
    <xf numFmtId="1" fontId="0" fillId="0" borderId="0" xfId="1" applyNumberFormat="1" applyFont="1" applyFill="1" applyBorder="1" applyAlignment="1">
      <alignment vertical="center"/>
    </xf>
    <xf numFmtId="1" fontId="0" fillId="0" borderId="0" xfId="0" applyNumberFormat="1" applyFont="1" applyFill="1" applyBorder="1" applyAlignment="1">
      <alignment horizontal="center" vertical="center"/>
    </xf>
    <xf numFmtId="193" fontId="0" fillId="0" borderId="0" xfId="1" applyNumberFormat="1" applyFont="1" applyFill="1" applyBorder="1" applyAlignment="1">
      <alignment vertical="center"/>
    </xf>
    <xf numFmtId="40" fontId="0" fillId="0" borderId="0" xfId="0" applyNumberFormat="1" applyFont="1" applyFill="1" applyBorder="1" applyAlignment="1">
      <alignment horizontal="center" vertical="center"/>
    </xf>
    <xf numFmtId="40" fontId="0" fillId="0" borderId="0" xfId="0" applyNumberFormat="1" applyFont="1" applyFill="1" applyBorder="1" applyAlignment="1">
      <alignment vertical="center"/>
    </xf>
    <xf numFmtId="1" fontId="70" fillId="0" borderId="86" xfId="0" applyNumberFormat="1" applyFont="1" applyFill="1" applyBorder="1" applyAlignment="1">
      <alignment horizontal="center" vertical="center" wrapText="1" readingOrder="1"/>
    </xf>
    <xf numFmtId="0" fontId="106" fillId="0" borderId="0" xfId="0" applyNumberFormat="1" applyFont="1" applyFill="1" applyBorder="1" applyAlignment="1">
      <alignment vertical="center"/>
    </xf>
    <xf numFmtId="0" fontId="106" fillId="0" borderId="0" xfId="0" applyNumberFormat="1" applyFont="1" applyFill="1" applyBorder="1" applyAlignment="1">
      <alignment horizontal="center" vertical="center"/>
    </xf>
    <xf numFmtId="0" fontId="67" fillId="26" borderId="132" xfId="0" applyNumberFormat="1" applyFont="1" applyFill="1" applyBorder="1" applyAlignment="1">
      <alignment horizontal="center" vertical="center" wrapText="1" readingOrder="1"/>
    </xf>
    <xf numFmtId="0" fontId="67" fillId="26" borderId="133" xfId="0" applyNumberFormat="1" applyFont="1" applyFill="1" applyBorder="1" applyAlignment="1">
      <alignment horizontal="center" vertical="center" wrapText="1" readingOrder="1"/>
    </xf>
    <xf numFmtId="0" fontId="67" fillId="26" borderId="137" xfId="0" applyNumberFormat="1" applyFont="1" applyFill="1" applyBorder="1" applyAlignment="1">
      <alignment horizontal="center" vertical="center" wrapText="1" readingOrder="1"/>
    </xf>
    <xf numFmtId="0" fontId="67" fillId="26" borderId="138" xfId="0" applyNumberFormat="1" applyFont="1" applyFill="1" applyBorder="1" applyAlignment="1">
      <alignment horizontal="center" vertical="center" wrapText="1" readingOrder="1"/>
    </xf>
    <xf numFmtId="0" fontId="107" fillId="0" borderId="113" xfId="0" applyNumberFormat="1" applyFont="1" applyFill="1" applyBorder="1" applyAlignment="1">
      <alignment horizontal="center" vertical="center" wrapText="1" readingOrder="1"/>
    </xf>
    <xf numFmtId="40" fontId="107" fillId="0" borderId="113" xfId="0" applyNumberFormat="1" applyFont="1" applyFill="1" applyBorder="1" applyAlignment="1">
      <alignment horizontal="center" vertical="center" wrapText="1" readingOrder="1"/>
    </xf>
    <xf numFmtId="207" fontId="107" fillId="0" borderId="113" xfId="0" applyNumberFormat="1" applyFont="1" applyFill="1" applyBorder="1" applyAlignment="1">
      <alignment horizontal="center" vertical="center" wrapText="1" readingOrder="1"/>
    </xf>
    <xf numFmtId="3" fontId="107" fillId="0" borderId="113" xfId="0" applyNumberFormat="1" applyFont="1" applyFill="1" applyBorder="1" applyAlignment="1">
      <alignment horizontal="right" vertical="center" wrapText="1" readingOrder="1"/>
    </xf>
    <xf numFmtId="4" fontId="107" fillId="0" borderId="113" xfId="0" applyNumberFormat="1" applyFont="1" applyFill="1" applyBorder="1" applyAlignment="1">
      <alignment horizontal="right" vertical="center" wrapText="1" readingOrder="1"/>
    </xf>
    <xf numFmtId="4" fontId="106" fillId="0" borderId="112" xfId="0" applyNumberFormat="1" applyFont="1" applyFill="1" applyBorder="1" applyAlignment="1">
      <alignment horizontal="right" vertical="center" wrapText="1"/>
    </xf>
    <xf numFmtId="4" fontId="70" fillId="4" borderId="141" xfId="0" applyNumberFormat="1" applyFont="1" applyFill="1" applyBorder="1" applyAlignment="1">
      <alignment horizontal="center" vertical="center" wrapText="1" readingOrder="1"/>
    </xf>
    <xf numFmtId="0" fontId="106" fillId="4" borderId="141" xfId="0" applyNumberFormat="1" applyFont="1" applyFill="1" applyBorder="1" applyAlignment="1">
      <alignment horizontal="right" vertical="center" wrapText="1"/>
    </xf>
    <xf numFmtId="3" fontId="70" fillId="4" borderId="141" xfId="0" applyNumberFormat="1" applyFont="1" applyFill="1" applyBorder="1" applyAlignment="1">
      <alignment horizontal="right" vertical="center" wrapText="1" readingOrder="1"/>
    </xf>
    <xf numFmtId="4" fontId="70" fillId="4" borderId="141" xfId="0" applyNumberFormat="1" applyFont="1" applyFill="1" applyBorder="1" applyAlignment="1">
      <alignment horizontal="right" vertical="center" wrapText="1" readingOrder="1"/>
    </xf>
    <xf numFmtId="3" fontId="107" fillId="0" borderId="110" xfId="0" applyNumberFormat="1" applyFont="1" applyFill="1" applyBorder="1" applyAlignment="1">
      <alignment horizontal="right" vertical="center" wrapText="1" readingOrder="1"/>
    </xf>
    <xf numFmtId="4" fontId="107" fillId="0" borderId="110" xfId="0" applyNumberFormat="1" applyFont="1" applyFill="1" applyBorder="1" applyAlignment="1">
      <alignment horizontal="right" vertical="center" wrapText="1" readingOrder="1"/>
    </xf>
    <xf numFmtId="0" fontId="107" fillId="0" borderId="110" xfId="0" applyNumberFormat="1" applyFont="1" applyFill="1" applyBorder="1" applyAlignment="1">
      <alignment horizontal="center" vertical="center" wrapText="1" readingOrder="1"/>
    </xf>
    <xf numFmtId="40" fontId="107" fillId="0" borderId="110" xfId="0" applyNumberFormat="1" applyFont="1" applyFill="1" applyBorder="1" applyAlignment="1">
      <alignment horizontal="center" vertical="center" wrapText="1" readingOrder="1"/>
    </xf>
    <xf numFmtId="40" fontId="106" fillId="0" borderId="0" xfId="0" applyNumberFormat="1" applyFont="1" applyFill="1" applyBorder="1" applyAlignment="1">
      <alignment horizontal="center" vertical="center"/>
    </xf>
    <xf numFmtId="0" fontId="100" fillId="23" borderId="108" xfId="0" applyNumberFormat="1" applyFont="1" applyFill="1" applyBorder="1" applyAlignment="1">
      <alignment horizontal="center" vertical="center" wrapText="1" readingOrder="1"/>
    </xf>
    <xf numFmtId="0" fontId="82" fillId="21" borderId="0" xfId="0" applyNumberFormat="1" applyFont="1" applyFill="1" applyBorder="1" applyAlignment="1">
      <alignment horizontal="center" vertical="center"/>
    </xf>
    <xf numFmtId="0" fontId="82" fillId="22" borderId="0" xfId="0" applyNumberFormat="1" applyFont="1" applyFill="1" applyBorder="1" applyAlignment="1">
      <alignment horizontal="center" vertical="center"/>
    </xf>
    <xf numFmtId="0" fontId="84" fillId="0" borderId="0" xfId="0" applyNumberFormat="1" applyFont="1" applyFill="1" applyBorder="1" applyAlignment="1">
      <alignment horizontal="center" vertical="center" wrapText="1"/>
    </xf>
    <xf numFmtId="198" fontId="84" fillId="0" borderId="0" xfId="0" applyNumberFormat="1" applyFont="1" applyFill="1" applyBorder="1" applyAlignment="1">
      <alignment horizontal="center" vertical="center" wrapText="1"/>
    </xf>
    <xf numFmtId="0" fontId="89" fillId="0" borderId="54" xfId="0" applyNumberFormat="1" applyFont="1" applyFill="1" applyBorder="1" applyAlignment="1">
      <alignment horizontal="center" vertical="center" wrapText="1"/>
    </xf>
    <xf numFmtId="0" fontId="90" fillId="0" borderId="54" xfId="0" applyNumberFormat="1" applyFont="1" applyFill="1" applyBorder="1" applyAlignment="1">
      <alignment horizontal="center" vertical="center" wrapText="1"/>
    </xf>
    <xf numFmtId="0" fontId="90" fillId="0" borderId="0" xfId="0" applyNumberFormat="1" applyFont="1" applyFill="1" applyBorder="1" applyAlignment="1">
      <alignment horizontal="center" vertical="center" wrapText="1"/>
    </xf>
    <xf numFmtId="9" fontId="90" fillId="0" borderId="0" xfId="12" applyFont="1" applyFill="1" applyBorder="1" applyAlignment="1">
      <alignment horizontal="center" vertical="center" wrapText="1"/>
    </xf>
    <xf numFmtId="3" fontId="92" fillId="0" borderId="0" xfId="0" applyNumberFormat="1" applyFont="1" applyFill="1" applyBorder="1" applyAlignment="1"/>
    <xf numFmtId="3" fontId="90" fillId="0" borderId="54" xfId="0" applyNumberFormat="1" applyFont="1" applyFill="1" applyBorder="1" applyAlignment="1"/>
    <xf numFmtId="0" fontId="90" fillId="0" borderId="54" xfId="0" applyNumberFormat="1" applyFont="1" applyFill="1" applyBorder="1" applyAlignment="1"/>
    <xf numFmtId="41" fontId="83" fillId="0" borderId="0" xfId="1" applyNumberFormat="1" applyFont="1" applyFill="1" applyBorder="1" applyAlignment="1"/>
    <xf numFmtId="198" fontId="83" fillId="0" borderId="0" xfId="0" applyNumberFormat="1" applyFont="1" applyFill="1" applyBorder="1" applyAlignment="1"/>
    <xf numFmtId="41" fontId="92" fillId="0" borderId="54" xfId="1" applyNumberFormat="1" applyFont="1" applyFill="1" applyBorder="1" applyAlignment="1"/>
    <xf numFmtId="1" fontId="83" fillId="0" borderId="0" xfId="0" applyNumberFormat="1" applyFont="1" applyFill="1" applyBorder="1" applyAlignment="1"/>
    <xf numFmtId="200" fontId="108" fillId="14" borderId="106" xfId="12" applyNumberFormat="1" applyFont="1" applyFill="1" applyBorder="1" applyAlignment="1">
      <alignment horizontal="center" vertical="center" wrapText="1"/>
    </xf>
    <xf numFmtId="198" fontId="92" fillId="0" borderId="0" xfId="0" applyNumberFormat="1" applyFont="1" applyFill="1" applyBorder="1" applyAlignment="1"/>
    <xf numFmtId="199" fontId="83" fillId="0" borderId="0" xfId="0" applyNumberFormat="1" applyFont="1" applyFill="1" applyBorder="1" applyAlignment="1"/>
    <xf numFmtId="0" fontId="83" fillId="14" borderId="0" xfId="0" applyNumberFormat="1" applyFont="1" applyFill="1" applyBorder="1" applyAlignment="1"/>
    <xf numFmtId="2" fontId="87" fillId="14" borderId="0" xfId="0" applyNumberFormat="1" applyFont="1" applyFill="1" applyBorder="1" applyAlignment="1">
      <alignment horizontal="center" vertical="center" wrapText="1"/>
    </xf>
    <xf numFmtId="4" fontId="70" fillId="4" borderId="142" xfId="0" applyNumberFormat="1" applyFont="1" applyFill="1" applyBorder="1" applyAlignment="1">
      <alignment horizontal="center" vertical="center" wrapText="1" readingOrder="1"/>
    </xf>
    <xf numFmtId="0" fontId="106" fillId="4" borderId="142" xfId="0" applyNumberFormat="1" applyFont="1" applyFill="1" applyBorder="1" applyAlignment="1">
      <alignment horizontal="right" vertical="center" wrapText="1"/>
    </xf>
    <xf numFmtId="3" fontId="70" fillId="4" borderId="142" xfId="0" applyNumberFormat="1" applyFont="1" applyFill="1" applyBorder="1" applyAlignment="1">
      <alignment horizontal="right" vertical="center" wrapText="1" readingOrder="1"/>
    </xf>
    <xf numFmtId="4" fontId="70" fillId="4" borderId="142" xfId="0" applyNumberFormat="1" applyFont="1" applyFill="1" applyBorder="1" applyAlignment="1">
      <alignment horizontal="right" vertical="center" wrapText="1" readingOrder="1"/>
    </xf>
    <xf numFmtId="207" fontId="107" fillId="0" borderId="110" xfId="0" applyNumberFormat="1" applyFont="1" applyFill="1" applyBorder="1" applyAlignment="1">
      <alignment horizontal="center" vertical="center" wrapText="1" readingOrder="1"/>
    </xf>
    <xf numFmtId="4" fontId="106" fillId="0" borderId="111" xfId="0" applyNumberFormat="1" applyFont="1" applyFill="1" applyBorder="1" applyAlignment="1">
      <alignment horizontal="right" vertical="center" wrapText="1"/>
    </xf>
    <xf numFmtId="0" fontId="107" fillId="0" borderId="147" xfId="0" applyNumberFormat="1" applyFont="1" applyFill="1" applyBorder="1" applyAlignment="1">
      <alignment horizontal="center" vertical="center" wrapText="1" readingOrder="1"/>
    </xf>
    <xf numFmtId="40" fontId="107" fillId="0" borderId="147" xfId="0" applyNumberFormat="1" applyFont="1" applyFill="1" applyBorder="1" applyAlignment="1">
      <alignment horizontal="center" vertical="center" wrapText="1" readingOrder="1"/>
    </xf>
    <xf numFmtId="207" fontId="107" fillId="0" borderId="147" xfId="0" applyNumberFormat="1" applyFont="1" applyFill="1" applyBorder="1" applyAlignment="1">
      <alignment horizontal="center" vertical="center" wrapText="1" readingOrder="1"/>
    </xf>
    <xf numFmtId="3" fontId="107" fillId="0" borderId="147" xfId="0" applyNumberFormat="1" applyFont="1" applyFill="1" applyBorder="1" applyAlignment="1">
      <alignment horizontal="right" vertical="center" wrapText="1" readingOrder="1"/>
    </xf>
    <xf numFmtId="4" fontId="107" fillId="0" borderId="147" xfId="0" applyNumberFormat="1" applyFont="1" applyFill="1" applyBorder="1" applyAlignment="1">
      <alignment horizontal="right" vertical="center" wrapText="1" readingOrder="1"/>
    </xf>
    <xf numFmtId="4" fontId="106" fillId="0" borderId="148" xfId="0" applyNumberFormat="1" applyFont="1" applyFill="1" applyBorder="1" applyAlignment="1">
      <alignment horizontal="right" vertical="center" wrapText="1"/>
    </xf>
    <xf numFmtId="0" fontId="114" fillId="28" borderId="91" xfId="0" applyNumberFormat="1" applyFont="1" applyFill="1" applyBorder="1" applyAlignment="1">
      <alignment horizontal="center" vertical="center" wrapText="1" readingOrder="1"/>
    </xf>
    <xf numFmtId="0" fontId="114" fillId="28" borderId="87" xfId="0" applyNumberFormat="1" applyFont="1" applyFill="1" applyBorder="1" applyAlignment="1">
      <alignment horizontal="center" vertical="center" wrapText="1" readingOrder="1"/>
    </xf>
    <xf numFmtId="0" fontId="100" fillId="23" borderId="139" xfId="0" applyNumberFormat="1" applyFont="1" applyFill="1" applyBorder="1" applyAlignment="1">
      <alignment horizontal="center" vertical="center" wrapText="1" readingOrder="1"/>
    </xf>
    <xf numFmtId="0" fontId="115" fillId="0" borderId="156" xfId="0" applyNumberFormat="1" applyFont="1" applyFill="1" applyBorder="1" applyAlignment="1">
      <alignment horizontal="center" vertical="center" wrapText="1" readingOrder="1"/>
    </xf>
    <xf numFmtId="0" fontId="115" fillId="0" borderId="157" xfId="0" applyNumberFormat="1" applyFont="1" applyFill="1" applyBorder="1" applyAlignment="1">
      <alignment horizontal="center" vertical="center" wrapText="1" readingOrder="1"/>
    </xf>
    <xf numFmtId="0" fontId="115" fillId="0" borderId="158" xfId="0" applyNumberFormat="1" applyFont="1" applyFill="1" applyBorder="1" applyAlignment="1">
      <alignment horizontal="center" vertical="center" wrapText="1" readingOrder="1"/>
    </xf>
    <xf numFmtId="0" fontId="100" fillId="23" borderId="140" xfId="0" applyNumberFormat="1" applyFont="1" applyFill="1" applyBorder="1" applyAlignment="1">
      <alignment horizontal="center" vertical="center" wrapText="1" readingOrder="1"/>
    </xf>
    <xf numFmtId="0" fontId="116" fillId="0" borderId="156" xfId="0" applyNumberFormat="1" applyFont="1" applyFill="1" applyBorder="1" applyAlignment="1">
      <alignment horizontal="center" vertical="center" wrapText="1" readingOrder="1"/>
    </xf>
    <xf numFmtId="0" fontId="116" fillId="0" borderId="157" xfId="0" applyNumberFormat="1" applyFont="1" applyFill="1" applyBorder="1" applyAlignment="1">
      <alignment horizontal="center" vertical="center" wrapText="1" readingOrder="1"/>
    </xf>
    <xf numFmtId="0" fontId="116" fillId="0" borderId="158" xfId="0" applyNumberFormat="1" applyFont="1" applyFill="1" applyBorder="1" applyAlignment="1">
      <alignment horizontal="center" vertical="center" wrapText="1" readingOrder="1"/>
    </xf>
    <xf numFmtId="0" fontId="115" fillId="0" borderId="164" xfId="0" applyNumberFormat="1" applyFont="1" applyFill="1" applyBorder="1" applyAlignment="1">
      <alignment horizontal="center" vertical="center" wrapText="1" readingOrder="1"/>
    </xf>
    <xf numFmtId="0" fontId="115" fillId="0" borderId="165" xfId="0" applyNumberFormat="1" applyFont="1" applyFill="1" applyBorder="1" applyAlignment="1">
      <alignment horizontal="center" vertical="center" wrapText="1" readingOrder="1"/>
    </xf>
    <xf numFmtId="0" fontId="115" fillId="0" borderId="166" xfId="0" applyNumberFormat="1" applyFont="1" applyFill="1" applyBorder="1" applyAlignment="1">
      <alignment horizontal="center" vertical="center" wrapText="1" readingOrder="1"/>
    </xf>
    <xf numFmtId="0" fontId="115" fillId="0" borderId="167" xfId="0" applyNumberFormat="1" applyFont="1" applyFill="1" applyBorder="1" applyAlignment="1">
      <alignment horizontal="center" vertical="center" wrapText="1" readingOrder="1"/>
    </xf>
    <xf numFmtId="0" fontId="115" fillId="0" borderId="168" xfId="0" applyNumberFormat="1" applyFont="1" applyFill="1" applyBorder="1" applyAlignment="1">
      <alignment horizontal="center" vertical="center" wrapText="1" readingOrder="1"/>
    </xf>
    <xf numFmtId="0" fontId="115" fillId="0" borderId="169" xfId="0" applyNumberFormat="1" applyFont="1" applyFill="1" applyBorder="1" applyAlignment="1">
      <alignment horizontal="center" vertical="center" wrapText="1" readingOrder="1"/>
    </xf>
    <xf numFmtId="10" fontId="116" fillId="0" borderId="156" xfId="0" applyNumberFormat="1" applyFont="1" applyFill="1" applyBorder="1" applyAlignment="1">
      <alignment horizontal="center" vertical="center" wrapText="1" readingOrder="1"/>
    </xf>
    <xf numFmtId="10" fontId="116" fillId="0" borderId="157" xfId="0" applyNumberFormat="1" applyFont="1" applyFill="1" applyBorder="1" applyAlignment="1">
      <alignment horizontal="center" vertical="center" wrapText="1" readingOrder="1"/>
    </xf>
    <xf numFmtId="10" fontId="116" fillId="0" borderId="158" xfId="0" applyNumberFormat="1" applyFont="1" applyFill="1" applyBorder="1" applyAlignment="1">
      <alignment horizontal="center" vertical="center" wrapText="1" readingOrder="1"/>
    </xf>
    <xf numFmtId="0" fontId="112" fillId="0" borderId="156" xfId="0" applyNumberFormat="1" applyFont="1" applyFill="1" applyBorder="1" applyAlignment="1">
      <alignment horizontal="center" vertical="center" wrapText="1" readingOrder="1"/>
    </xf>
    <xf numFmtId="0" fontId="112" fillId="0" borderId="157" xfId="0" applyNumberFormat="1" applyFont="1" applyFill="1" applyBorder="1" applyAlignment="1">
      <alignment horizontal="center" vertical="center" wrapText="1" readingOrder="1"/>
    </xf>
    <xf numFmtId="0" fontId="112" fillId="0" borderId="158" xfId="0" applyNumberFormat="1" applyFont="1" applyFill="1" applyBorder="1" applyAlignment="1">
      <alignment horizontal="center" vertical="center" wrapText="1" readingOrder="1"/>
    </xf>
    <xf numFmtId="0" fontId="112" fillId="0" borderId="159" xfId="0" applyNumberFormat="1" applyFont="1" applyFill="1" applyBorder="1" applyAlignment="1">
      <alignment horizontal="center" vertical="center" wrapText="1" readingOrder="1"/>
    </xf>
    <xf numFmtId="0" fontId="112" fillId="0" borderId="160" xfId="0" applyNumberFormat="1" applyFont="1" applyFill="1" applyBorder="1" applyAlignment="1">
      <alignment horizontal="center" vertical="center" wrapText="1" readingOrder="1"/>
    </xf>
    <xf numFmtId="0" fontId="111" fillId="0" borderId="160" xfId="0" applyNumberFormat="1" applyFont="1" applyFill="1" applyBorder="1" applyAlignment="1">
      <alignment horizontal="center" vertical="center" wrapText="1" readingOrder="1"/>
    </xf>
    <xf numFmtId="0" fontId="112" fillId="0" borderId="161" xfId="0" applyNumberFormat="1" applyFont="1" applyFill="1" applyBorder="1" applyAlignment="1">
      <alignment horizontal="center" vertical="center" wrapText="1" readingOrder="1"/>
    </xf>
    <xf numFmtId="0" fontId="115" fillId="0" borderId="170" xfId="0" applyNumberFormat="1" applyFont="1" applyFill="1" applyBorder="1" applyAlignment="1">
      <alignment horizontal="center" vertical="center" wrapText="1" readingOrder="1"/>
    </xf>
    <xf numFmtId="0" fontId="115" fillId="0" borderId="171" xfId="0" applyNumberFormat="1" applyFont="1" applyFill="1" applyBorder="1" applyAlignment="1">
      <alignment horizontal="center" vertical="center" wrapText="1" readingOrder="1"/>
    </xf>
    <xf numFmtId="0" fontId="115" fillId="0" borderId="172" xfId="0" applyNumberFormat="1" applyFont="1" applyFill="1" applyBorder="1" applyAlignment="1">
      <alignment horizontal="center" vertical="center" wrapText="1" readingOrder="1"/>
    </xf>
    <xf numFmtId="2" fontId="116" fillId="0" borderId="159" xfId="0" applyNumberFormat="1" applyFont="1" applyFill="1" applyBorder="1" applyAlignment="1">
      <alignment horizontal="center" vertical="center" wrapText="1" readingOrder="1"/>
    </xf>
    <xf numFmtId="2" fontId="116" fillId="0" borderId="160" xfId="0" applyNumberFormat="1" applyFont="1" applyFill="1" applyBorder="1" applyAlignment="1">
      <alignment horizontal="center" vertical="center" wrapText="1" readingOrder="1"/>
    </xf>
    <xf numFmtId="2" fontId="116" fillId="0" borderId="161" xfId="0" applyNumberFormat="1" applyFont="1" applyFill="1" applyBorder="1" applyAlignment="1">
      <alignment horizontal="center" vertical="center" wrapText="1" readingOrder="1"/>
    </xf>
    <xf numFmtId="0" fontId="46" fillId="0" borderId="0" xfId="0" applyNumberFormat="1" applyFont="1" applyFill="1" applyBorder="1" applyAlignment="1">
      <alignment vertical="center"/>
    </xf>
    <xf numFmtId="0" fontId="46" fillId="0" borderId="125" xfId="0" applyNumberFormat="1" applyFont="1" applyFill="1" applyBorder="1" applyAlignment="1">
      <alignment vertical="center"/>
    </xf>
    <xf numFmtId="0" fontId="46" fillId="0" borderId="63" xfId="0" applyNumberFormat="1" applyFont="1" applyFill="1" applyBorder="1" applyAlignment="1">
      <alignment vertical="center"/>
    </xf>
    <xf numFmtId="0" fontId="46" fillId="0" borderId="126" xfId="0" applyNumberFormat="1" applyFont="1" applyFill="1" applyBorder="1" applyAlignment="1">
      <alignment vertical="center"/>
    </xf>
    <xf numFmtId="0" fontId="46" fillId="0" borderId="60" xfId="0" applyNumberFormat="1" applyFont="1" applyFill="1" applyBorder="1" applyAlignment="1">
      <alignment vertical="center"/>
    </xf>
    <xf numFmtId="0" fontId="46" fillId="0" borderId="127" xfId="0" applyNumberFormat="1" applyFont="1" applyFill="1" applyBorder="1" applyAlignment="1">
      <alignment vertical="center"/>
    </xf>
    <xf numFmtId="0" fontId="47" fillId="8" borderId="2" xfId="0" applyNumberFormat="1" applyFont="1" applyFill="1" applyBorder="1" applyAlignment="1">
      <alignment horizontal="center" vertical="center"/>
    </xf>
    <xf numFmtId="10" fontId="46" fillId="0" borderId="0" xfId="0" applyNumberFormat="1" applyFont="1" applyFill="1" applyBorder="1" applyAlignment="1">
      <alignment vertical="center"/>
    </xf>
    <xf numFmtId="205" fontId="46" fillId="0" borderId="0" xfId="0" applyNumberFormat="1" applyFont="1" applyFill="1" applyBorder="1" applyAlignment="1">
      <alignment vertical="center"/>
    </xf>
    <xf numFmtId="0" fontId="46" fillId="0" borderId="61" xfId="0" applyNumberFormat="1" applyFont="1" applyFill="1" applyBorder="1" applyAlignment="1">
      <alignment vertical="center"/>
    </xf>
    <xf numFmtId="0" fontId="46" fillId="0" borderId="128" xfId="0" applyNumberFormat="1" applyFont="1" applyFill="1" applyBorder="1" applyAlignment="1">
      <alignment vertical="center"/>
    </xf>
    <xf numFmtId="10" fontId="46" fillId="0" borderId="128" xfId="0" applyNumberFormat="1" applyFont="1" applyFill="1" applyBorder="1" applyAlignment="1">
      <alignment vertical="center"/>
    </xf>
    <xf numFmtId="0" fontId="46" fillId="0" borderId="129" xfId="0" applyNumberFormat="1" applyFont="1" applyFill="1" applyBorder="1" applyAlignment="1">
      <alignment vertical="center"/>
    </xf>
    <xf numFmtId="203" fontId="101" fillId="0" borderId="115" xfId="0" applyNumberFormat="1" applyFont="1" applyFill="1" applyBorder="1" applyAlignment="1">
      <alignment horizontal="right" vertical="center" wrapText="1" readingOrder="1"/>
    </xf>
    <xf numFmtId="203" fontId="101" fillId="0" borderId="116" xfId="0" applyNumberFormat="1" applyFont="1" applyFill="1" applyBorder="1" applyAlignment="1">
      <alignment horizontal="right" vertical="center" wrapText="1" readingOrder="1"/>
    </xf>
    <xf numFmtId="203" fontId="100" fillId="0" borderId="113" xfId="0" applyNumberFormat="1" applyFont="1" applyFill="1" applyBorder="1" applyAlignment="1">
      <alignment horizontal="right" vertical="center" wrapText="1" readingOrder="1"/>
    </xf>
    <xf numFmtId="203" fontId="100" fillId="0" borderId="116" xfId="0" applyNumberFormat="1" applyFont="1" applyFill="1" applyBorder="1" applyAlignment="1">
      <alignment horizontal="right" vertical="center" wrapText="1" readingOrder="1"/>
    </xf>
    <xf numFmtId="40" fontId="101" fillId="0" borderId="114" xfId="0" applyNumberFormat="1" applyFont="1" applyFill="1" applyBorder="1" applyAlignment="1">
      <alignment horizontal="right" vertical="center" wrapText="1" readingOrder="1"/>
    </xf>
    <xf numFmtId="40" fontId="101" fillId="0" borderId="117" xfId="0" applyNumberFormat="1" applyFont="1" applyFill="1" applyBorder="1" applyAlignment="1">
      <alignment horizontal="right" vertical="center" wrapText="1" readingOrder="1"/>
    </xf>
    <xf numFmtId="40" fontId="100" fillId="0" borderId="119" xfId="0" applyNumberFormat="1" applyFont="1" applyFill="1" applyBorder="1" applyAlignment="1">
      <alignment horizontal="right" vertical="center" wrapText="1" readingOrder="1"/>
    </xf>
    <xf numFmtId="203" fontId="101" fillId="4" borderId="115" xfId="0" applyNumberFormat="1" applyFont="1" applyFill="1" applyBorder="1" applyAlignment="1">
      <alignment horizontal="right" vertical="center" wrapText="1" readingOrder="1"/>
    </xf>
    <xf numFmtId="203" fontId="100" fillId="4" borderId="113" xfId="0" applyNumberFormat="1" applyFont="1" applyFill="1" applyBorder="1" applyAlignment="1">
      <alignment horizontal="right" vertical="center" wrapText="1" readingOrder="1"/>
    </xf>
    <xf numFmtId="204" fontId="101" fillId="0" borderId="115" xfId="0" applyNumberFormat="1" applyFont="1" applyFill="1" applyBorder="1" applyAlignment="1">
      <alignment horizontal="right" vertical="center" wrapText="1" readingOrder="1"/>
    </xf>
    <xf numFmtId="204" fontId="101" fillId="0" borderId="116" xfId="0" applyNumberFormat="1" applyFont="1" applyFill="1" applyBorder="1" applyAlignment="1">
      <alignment horizontal="right" vertical="center" wrapText="1" readingOrder="1"/>
    </xf>
    <xf numFmtId="204" fontId="100" fillId="0" borderId="113" xfId="0" applyNumberFormat="1" applyFont="1" applyFill="1" applyBorder="1" applyAlignment="1">
      <alignment horizontal="right" vertical="center" wrapText="1" readingOrder="1"/>
    </xf>
    <xf numFmtId="204" fontId="100" fillId="0" borderId="115" xfId="0" applyNumberFormat="1" applyFont="1" applyFill="1" applyBorder="1" applyAlignment="1">
      <alignment horizontal="right" vertical="center" wrapText="1" readingOrder="1"/>
    </xf>
    <xf numFmtId="204" fontId="100" fillId="0" borderId="116" xfId="0" applyNumberFormat="1" applyFont="1" applyFill="1" applyBorder="1" applyAlignment="1">
      <alignment horizontal="right" vertical="center" wrapText="1" readingOrder="1"/>
    </xf>
    <xf numFmtId="203" fontId="100" fillId="0" borderId="54" xfId="0" applyNumberFormat="1" applyFont="1" applyFill="1" applyBorder="1" applyAlignment="1">
      <alignment horizontal="right" vertical="center" wrapText="1" readingOrder="1"/>
    </xf>
    <xf numFmtId="204" fontId="101" fillId="4" borderId="115" xfId="0" applyNumberFormat="1" applyFont="1" applyFill="1" applyBorder="1" applyAlignment="1">
      <alignment horizontal="right" vertical="center" wrapText="1" readingOrder="1"/>
    </xf>
    <xf numFmtId="204" fontId="100" fillId="4" borderId="113" xfId="0" applyNumberFormat="1" applyFont="1" applyFill="1" applyBorder="1" applyAlignment="1">
      <alignment horizontal="right" vertical="center" wrapText="1" readingOrder="1"/>
    </xf>
    <xf numFmtId="0" fontId="8" fillId="0" borderId="0" xfId="0" applyNumberFormat="1" applyFont="1" applyFill="1" applyBorder="1" applyAlignment="1">
      <alignment horizontal="center" vertical="center" wrapText="1"/>
    </xf>
    <xf numFmtId="14" fontId="83" fillId="14" borderId="106" xfId="0" applyNumberFormat="1" applyFont="1" applyFill="1" applyBorder="1" applyAlignment="1">
      <alignment horizontal="center" vertical="center" wrapText="1"/>
    </xf>
    <xf numFmtId="200" fontId="83" fillId="14" borderId="106" xfId="12" applyNumberFormat="1" applyFont="1" applyFill="1" applyBorder="1" applyAlignment="1">
      <alignment horizontal="center" vertical="center" wrapText="1"/>
    </xf>
    <xf numFmtId="0" fontId="90" fillId="0" borderId="0" xfId="0" applyFont="1" applyBorder="1"/>
    <xf numFmtId="2" fontId="87" fillId="14" borderId="102" xfId="0" applyNumberFormat="1" applyFont="1" applyFill="1" applyBorder="1" applyAlignment="1">
      <alignment horizontal="center" vertical="center" wrapText="1"/>
    </xf>
    <xf numFmtId="14" fontId="83" fillId="14" borderId="173" xfId="0" applyNumberFormat="1" applyFont="1" applyFill="1" applyBorder="1" applyAlignment="1">
      <alignment horizontal="center" vertical="center" wrapText="1"/>
    </xf>
    <xf numFmtId="199" fontId="87" fillId="14" borderId="102" xfId="0" applyNumberFormat="1" applyFont="1" applyFill="1" applyBorder="1" applyAlignment="1">
      <alignment horizontal="center" vertical="center" wrapText="1"/>
    </xf>
    <xf numFmtId="3" fontId="83" fillId="0" borderId="0" xfId="0" applyNumberFormat="1" applyFont="1"/>
    <xf numFmtId="38" fontId="0" fillId="0" borderId="0" xfId="1" applyNumberFormat="1" applyFont="1"/>
    <xf numFmtId="202" fontId="118" fillId="0" borderId="0" xfId="0" applyNumberFormat="1" applyFont="1"/>
    <xf numFmtId="38" fontId="83" fillId="0" borderId="0" xfId="0" applyNumberFormat="1" applyFont="1"/>
    <xf numFmtId="38" fontId="0" fillId="0" borderId="0" xfId="0" applyNumberFormat="1"/>
    <xf numFmtId="0" fontId="85" fillId="0" borderId="0" xfId="0" applyNumberFormat="1" applyFont="1" applyFill="1" applyBorder="1" applyAlignment="1">
      <alignment horizontal="center" vertical="center" wrapText="1"/>
    </xf>
    <xf numFmtId="2" fontId="17" fillId="0" borderId="0" xfId="1" applyNumberFormat="1" applyFont="1" applyAlignment="1">
      <alignment vertical="center"/>
    </xf>
    <xf numFmtId="41" fontId="119" fillId="0" borderId="12" xfId="4" applyFont="1" applyFill="1" applyBorder="1" applyAlignment="1">
      <alignment horizontal="center" vertical="center"/>
    </xf>
    <xf numFmtId="41" fontId="27" fillId="0" borderId="11" xfId="4" applyFont="1" applyBorder="1" applyAlignment="1">
      <alignment horizontal="center" vertical="center"/>
    </xf>
    <xf numFmtId="41" fontId="27" fillId="5" borderId="11" xfId="4" applyFont="1" applyFill="1" applyBorder="1" applyAlignment="1">
      <alignment horizontal="center" vertical="center"/>
    </xf>
    <xf numFmtId="0" fontId="17" fillId="0" borderId="0" xfId="1" applyNumberFormat="1" applyFont="1" applyAlignment="1">
      <alignment vertical="center"/>
    </xf>
    <xf numFmtId="9" fontId="17" fillId="0" borderId="0" xfId="2" applyNumberFormat="1" applyFont="1">
      <alignment vertical="center"/>
    </xf>
    <xf numFmtId="3" fontId="56" fillId="0" borderId="13" xfId="2" applyNumberFormat="1" applyFont="1" applyBorder="1" applyAlignment="1">
      <alignment horizontal="center" vertical="center"/>
    </xf>
    <xf numFmtId="0" fontId="39" fillId="0" borderId="2" xfId="0" applyNumberFormat="1" applyFont="1" applyFill="1" applyBorder="1" applyAlignment="1">
      <alignment vertical="center"/>
    </xf>
    <xf numFmtId="40" fontId="39" fillId="0" borderId="2" xfId="0" applyNumberFormat="1" applyFont="1" applyFill="1" applyBorder="1" applyAlignment="1">
      <alignment vertical="center"/>
    </xf>
    <xf numFmtId="38" fontId="39" fillId="0" borderId="2" xfId="0" applyNumberFormat="1" applyFont="1" applyFill="1" applyBorder="1" applyAlignment="1">
      <alignment vertical="center"/>
    </xf>
    <xf numFmtId="192" fontId="39" fillId="0" borderId="2" xfId="0" applyNumberFormat="1" applyFont="1" applyFill="1" applyBorder="1" applyAlignment="1">
      <alignment horizontal="center" vertical="center"/>
    </xf>
    <xf numFmtId="38" fontId="39" fillId="8" borderId="2" xfId="0" applyNumberFormat="1" applyFont="1" applyFill="1" applyBorder="1" applyAlignment="1">
      <alignment horizontal="center" vertical="center"/>
    </xf>
    <xf numFmtId="9" fontId="39" fillId="8" borderId="2" xfId="12" applyFont="1" applyFill="1" applyBorder="1" applyAlignment="1">
      <alignment horizontal="center" vertical="center"/>
    </xf>
    <xf numFmtId="9" fontId="16" fillId="8" borderId="2" xfId="12" applyFont="1" applyFill="1" applyBorder="1" applyAlignment="1">
      <alignment horizontal="center" vertical="center"/>
    </xf>
    <xf numFmtId="38" fontId="39" fillId="4" borderId="2" xfId="0" applyNumberFormat="1" applyFont="1" applyFill="1" applyBorder="1" applyAlignment="1">
      <alignment vertical="center"/>
    </xf>
    <xf numFmtId="38" fontId="16" fillId="8" borderId="8" xfId="0" applyNumberFormat="1" applyFont="1" applyFill="1" applyBorder="1" applyAlignment="1">
      <alignment horizontal="center" vertical="center"/>
    </xf>
    <xf numFmtId="208" fontId="39" fillId="0" borderId="0" xfId="0" applyNumberFormat="1" applyFont="1" applyFill="1" applyBorder="1" applyAlignment="1">
      <alignment vertical="center"/>
    </xf>
    <xf numFmtId="40" fontId="39" fillId="4" borderId="2" xfId="0" applyNumberFormat="1" applyFont="1" applyFill="1" applyBorder="1" applyAlignment="1">
      <alignment vertical="center"/>
    </xf>
    <xf numFmtId="38" fontId="39" fillId="4" borderId="2" xfId="1" applyNumberFormat="1" applyFont="1" applyFill="1" applyBorder="1" applyAlignment="1">
      <alignment vertical="center"/>
    </xf>
    <xf numFmtId="192" fontId="39" fillId="4" borderId="2" xfId="0" applyNumberFormat="1" applyFont="1" applyFill="1" applyBorder="1" applyAlignment="1">
      <alignment horizontal="center" vertical="center"/>
    </xf>
    <xf numFmtId="38" fontId="39" fillId="4" borderId="0" xfId="0" applyNumberFormat="1" applyFont="1" applyFill="1" applyBorder="1" applyAlignment="1">
      <alignment vertical="center"/>
    </xf>
    <xf numFmtId="0" fontId="39" fillId="4" borderId="0" xfId="0" applyNumberFormat="1" applyFont="1" applyFill="1" applyBorder="1" applyAlignment="1">
      <alignment vertical="center"/>
    </xf>
    <xf numFmtId="38" fontId="16" fillId="8" borderId="2" xfId="1" applyNumberFormat="1" applyFont="1" applyFill="1" applyBorder="1" applyAlignment="1">
      <alignment horizontal="center" vertical="center"/>
    </xf>
    <xf numFmtId="181" fontId="39" fillId="8" borderId="2" xfId="12" applyNumberFormat="1" applyFont="1" applyFill="1" applyBorder="1" applyAlignment="1">
      <alignment horizontal="center" vertical="center"/>
    </xf>
    <xf numFmtId="180" fontId="39" fillId="0" borderId="0" xfId="0" applyNumberFormat="1" applyFont="1" applyFill="1" applyBorder="1" applyAlignment="1">
      <alignment vertical="center"/>
    </xf>
    <xf numFmtId="38" fontId="16" fillId="0" borderId="0" xfId="1" applyNumberFormat="1" applyFont="1" applyFill="1" applyBorder="1" applyAlignment="1">
      <alignment vertical="center"/>
    </xf>
    <xf numFmtId="40" fontId="39" fillId="10" borderId="2" xfId="0" applyNumberFormat="1" applyFont="1" applyFill="1" applyBorder="1" applyAlignment="1">
      <alignment vertical="center"/>
    </xf>
    <xf numFmtId="38" fontId="39" fillId="10" borderId="2" xfId="1" applyNumberFormat="1" applyFont="1" applyFill="1" applyBorder="1" applyAlignment="1">
      <alignment vertical="center"/>
    </xf>
    <xf numFmtId="181" fontId="39" fillId="10" borderId="2" xfId="12" applyNumberFormat="1" applyFont="1" applyFill="1" applyBorder="1" applyAlignment="1">
      <alignment vertical="center"/>
    </xf>
    <xf numFmtId="38" fontId="39" fillId="10" borderId="2" xfId="0" applyNumberFormat="1" applyFont="1" applyFill="1" applyBorder="1" applyAlignment="1">
      <alignment vertical="center"/>
    </xf>
    <xf numFmtId="38" fontId="39" fillId="10" borderId="2" xfId="0" applyNumberFormat="1" applyFont="1" applyFill="1" applyBorder="1" applyAlignment="1">
      <alignment horizontal="center" vertical="center"/>
    </xf>
    <xf numFmtId="192" fontId="39" fillId="10" borderId="2" xfId="0" applyNumberFormat="1" applyFont="1" applyFill="1" applyBorder="1" applyAlignment="1">
      <alignment horizontal="center" vertical="center"/>
    </xf>
    <xf numFmtId="38" fontId="39" fillId="10" borderId="0" xfId="0" applyNumberFormat="1" applyFont="1" applyFill="1" applyBorder="1" applyAlignment="1">
      <alignment vertical="center"/>
    </xf>
    <xf numFmtId="0" fontId="39" fillId="10" borderId="0" xfId="0" applyNumberFormat="1" applyFont="1" applyFill="1" applyBorder="1" applyAlignment="1">
      <alignment vertical="center"/>
    </xf>
    <xf numFmtId="38" fontId="16" fillId="0" borderId="2" xfId="0" applyNumberFormat="1" applyFont="1" applyFill="1" applyBorder="1" applyAlignment="1">
      <alignment horizontal="center" vertical="center"/>
    </xf>
    <xf numFmtId="38" fontId="16" fillId="8" borderId="2" xfId="0" applyNumberFormat="1" applyFont="1" applyFill="1" applyBorder="1" applyAlignment="1">
      <alignment horizontal="center" vertical="center"/>
    </xf>
    <xf numFmtId="9" fontId="39" fillId="0" borderId="2" xfId="12" applyFont="1" applyFill="1" applyBorder="1" applyAlignment="1">
      <alignment horizontal="center" vertical="center"/>
    </xf>
    <xf numFmtId="38" fontId="39" fillId="8" borderId="2" xfId="1" applyNumberFormat="1" applyFont="1" applyFill="1" applyBorder="1" applyAlignment="1">
      <alignment horizontal="center" vertical="center"/>
    </xf>
    <xf numFmtId="181" fontId="39" fillId="0" borderId="2" xfId="12" applyNumberFormat="1" applyFont="1" applyFill="1" applyBorder="1" applyAlignment="1">
      <alignment vertical="center"/>
    </xf>
    <xf numFmtId="38" fontId="39" fillId="0" borderId="2" xfId="0" applyNumberFormat="1" applyFont="1" applyFill="1" applyBorder="1" applyAlignment="1">
      <alignment horizontal="center" vertical="center"/>
    </xf>
    <xf numFmtId="38" fontId="39" fillId="0" borderId="0" xfId="1" applyNumberFormat="1" applyFont="1" applyFill="1" applyBorder="1" applyAlignment="1">
      <alignment horizontal="center" vertical="center"/>
    </xf>
    <xf numFmtId="40" fontId="39" fillId="0" borderId="0" xfId="1" applyNumberFormat="1" applyFont="1" applyFill="1" applyBorder="1" applyAlignment="1">
      <alignment vertical="center"/>
    </xf>
    <xf numFmtId="38" fontId="120" fillId="0" borderId="0" xfId="1" applyNumberFormat="1" applyFont="1" applyFill="1" applyBorder="1" applyAlignment="1">
      <alignment horizontal="center" vertical="center"/>
    </xf>
    <xf numFmtId="0" fontId="16" fillId="0" borderId="0" xfId="0" applyNumberFormat="1" applyFont="1" applyFill="1" applyBorder="1" applyAlignment="1">
      <alignment horizontal="center" vertical="center"/>
    </xf>
    <xf numFmtId="0" fontId="16" fillId="0" borderId="2" xfId="0" applyNumberFormat="1" applyFont="1" applyFill="1" applyBorder="1" applyAlignment="1"/>
    <xf numFmtId="38" fontId="39" fillId="14" borderId="2" xfId="1" applyNumberFormat="1" applyFont="1" applyFill="1" applyBorder="1" applyAlignment="1">
      <alignment vertical="center"/>
    </xf>
    <xf numFmtId="38" fontId="40" fillId="0" borderId="0" xfId="1" applyNumberFormat="1" applyFont="1" applyFill="1" applyBorder="1" applyAlignment="1">
      <alignment vertical="center"/>
    </xf>
    <xf numFmtId="38" fontId="16" fillId="0" borderId="0" xfId="1" applyNumberFormat="1" applyFont="1" applyFill="1" applyBorder="1" applyAlignment="1">
      <alignment horizontal="center" vertical="center"/>
    </xf>
    <xf numFmtId="0" fontId="16" fillId="10" borderId="0" xfId="0" applyNumberFormat="1" applyFont="1" applyFill="1" applyBorder="1" applyAlignment="1">
      <alignment vertical="center"/>
    </xf>
    <xf numFmtId="38" fontId="40" fillId="10" borderId="0" xfId="1" applyNumberFormat="1" applyFont="1" applyFill="1" applyBorder="1" applyAlignment="1">
      <alignment vertical="center"/>
    </xf>
    <xf numFmtId="38" fontId="39" fillId="10" borderId="0" xfId="1" applyNumberFormat="1" applyFont="1" applyFill="1" applyBorder="1" applyAlignment="1">
      <alignment vertical="center"/>
    </xf>
    <xf numFmtId="40" fontId="39" fillId="29" borderId="2" xfId="0" applyNumberFormat="1" applyFont="1" applyFill="1" applyBorder="1" applyAlignment="1">
      <alignment vertical="center"/>
    </xf>
    <xf numFmtId="40" fontId="39" fillId="29" borderId="2" xfId="1" applyNumberFormat="1" applyFont="1" applyFill="1" applyBorder="1" applyAlignment="1">
      <alignment vertical="center"/>
    </xf>
    <xf numFmtId="38" fontId="39" fillId="29" borderId="2" xfId="1" applyNumberFormat="1" applyFont="1" applyFill="1" applyBorder="1" applyAlignment="1">
      <alignment vertical="center"/>
    </xf>
    <xf numFmtId="0" fontId="16" fillId="29" borderId="2" xfId="0" applyNumberFormat="1" applyFont="1" applyFill="1" applyBorder="1" applyAlignment="1"/>
    <xf numFmtId="40" fontId="39" fillId="25" borderId="2" xfId="0" applyNumberFormat="1" applyFont="1" applyFill="1" applyBorder="1" applyAlignment="1">
      <alignment vertical="center"/>
    </xf>
    <xf numFmtId="40" fontId="39" fillId="25" borderId="2" xfId="1" applyNumberFormat="1" applyFont="1" applyFill="1" applyBorder="1" applyAlignment="1">
      <alignment vertical="center"/>
    </xf>
    <xf numFmtId="38" fontId="39" fillId="25" borderId="2" xfId="1" applyNumberFormat="1" applyFont="1" applyFill="1" applyBorder="1" applyAlignment="1">
      <alignment vertical="center"/>
    </xf>
    <xf numFmtId="0" fontId="16" fillId="25" borderId="2" xfId="0" applyNumberFormat="1" applyFont="1" applyFill="1" applyBorder="1" applyAlignment="1"/>
    <xf numFmtId="38" fontId="39" fillId="4" borderId="0" xfId="1" applyNumberFormat="1" applyFont="1" applyFill="1" applyBorder="1" applyAlignment="1">
      <alignment vertical="center"/>
    </xf>
    <xf numFmtId="38" fontId="16" fillId="4" borderId="0" xfId="1" applyNumberFormat="1" applyFont="1" applyFill="1" applyBorder="1" applyAlignment="1">
      <alignment vertical="center"/>
    </xf>
    <xf numFmtId="0" fontId="0" fillId="4" borderId="0" xfId="0" applyNumberFormat="1" applyFont="1" applyFill="1" applyBorder="1" applyAlignment="1"/>
    <xf numFmtId="0" fontId="16" fillId="4" borderId="0" xfId="0" applyNumberFormat="1" applyFont="1" applyFill="1" applyBorder="1" applyAlignment="1"/>
    <xf numFmtId="40" fontId="39" fillId="4" borderId="0" xfId="1" applyNumberFormat="1" applyFont="1" applyFill="1" applyBorder="1" applyAlignment="1">
      <alignment vertical="center"/>
    </xf>
    <xf numFmtId="209" fontId="39" fillId="4" borderId="0" xfId="1" applyNumberFormat="1" applyFont="1" applyFill="1" applyBorder="1" applyAlignment="1">
      <alignment vertical="center"/>
    </xf>
    <xf numFmtId="38" fontId="0" fillId="4" borderId="0" xfId="0" applyNumberFormat="1" applyFont="1" applyFill="1" applyBorder="1" applyAlignment="1"/>
    <xf numFmtId="40" fontId="62" fillId="0" borderId="39" xfId="0" applyNumberFormat="1" applyFont="1" applyFill="1" applyBorder="1" applyAlignment="1">
      <alignment horizontal="center" vertical="center" wrapText="1" readingOrder="1"/>
    </xf>
    <xf numFmtId="40" fontId="62" fillId="0" borderId="39" xfId="1" applyNumberFormat="1" applyFont="1" applyFill="1" applyBorder="1" applyAlignment="1">
      <alignment horizontal="center" vertical="center" wrapText="1" readingOrder="1"/>
    </xf>
    <xf numFmtId="1" fontId="62" fillId="0" borderId="10" xfId="1" applyNumberFormat="1" applyFont="1" applyFill="1" applyBorder="1" applyAlignment="1">
      <alignment vertical="center" wrapText="1" readingOrder="1"/>
    </xf>
    <xf numFmtId="40" fontId="62" fillId="0" borderId="38" xfId="0" applyNumberFormat="1" applyFont="1" applyFill="1" applyBorder="1" applyAlignment="1">
      <alignment horizontal="center" vertical="center" wrapText="1" readingOrder="1"/>
    </xf>
    <xf numFmtId="40" fontId="62" fillId="0" borderId="38" xfId="1" applyNumberFormat="1" applyFont="1" applyFill="1" applyBorder="1" applyAlignment="1">
      <alignment horizontal="center" vertical="center" wrapText="1" readingOrder="1"/>
    </xf>
    <xf numFmtId="1" fontId="62" fillId="0" borderId="2" xfId="1" applyNumberFormat="1" applyFont="1" applyFill="1" applyBorder="1" applyAlignment="1">
      <alignment vertical="center" wrapText="1" readingOrder="1"/>
    </xf>
    <xf numFmtId="40" fontId="62" fillId="0" borderId="20" xfId="0" applyNumberFormat="1" applyFont="1" applyFill="1" applyBorder="1" applyAlignment="1">
      <alignment horizontal="center" vertical="center" wrapText="1" readingOrder="1"/>
    </xf>
    <xf numFmtId="40" fontId="62" fillId="0" borderId="20" xfId="1" applyNumberFormat="1" applyFont="1" applyFill="1" applyBorder="1" applyAlignment="1">
      <alignment horizontal="center" vertical="center" wrapText="1" readingOrder="1"/>
    </xf>
    <xf numFmtId="40" fontId="62" fillId="0" borderId="40" xfId="0" applyNumberFormat="1" applyFont="1" applyFill="1" applyBorder="1" applyAlignment="1">
      <alignment horizontal="center" vertical="center" wrapText="1" readingOrder="1"/>
    </xf>
    <xf numFmtId="40" fontId="62" fillId="0" borderId="40" xfId="1" applyNumberFormat="1" applyFont="1" applyFill="1" applyBorder="1" applyAlignment="1">
      <alignment horizontal="center" vertical="center" wrapText="1" readingOrder="1"/>
    </xf>
    <xf numFmtId="3" fontId="66" fillId="0" borderId="2" xfId="1" applyNumberFormat="1" applyFont="1" applyFill="1" applyBorder="1" applyAlignment="1">
      <alignment horizontal="center" vertical="center" wrapText="1" readingOrder="1"/>
    </xf>
    <xf numFmtId="40" fontId="40" fillId="4" borderId="2" xfId="0" applyNumberFormat="1" applyFont="1" applyFill="1" applyBorder="1" applyAlignment="1">
      <alignment vertical="center"/>
    </xf>
    <xf numFmtId="40" fontId="40" fillId="0" borderId="2" xfId="0" applyNumberFormat="1" applyFont="1" applyFill="1" applyBorder="1" applyAlignment="1">
      <alignment vertical="center"/>
    </xf>
    <xf numFmtId="38" fontId="40" fillId="4" borderId="2" xfId="0" applyNumberFormat="1" applyFont="1" applyFill="1" applyBorder="1" applyAlignment="1">
      <alignment vertical="center"/>
    </xf>
    <xf numFmtId="38" fontId="39" fillId="0" borderId="45" xfId="0" applyNumberFormat="1" applyFont="1" applyFill="1" applyBorder="1" applyAlignment="1">
      <alignment horizontal="center" vertical="center"/>
    </xf>
    <xf numFmtId="38" fontId="8" fillId="8" borderId="8" xfId="0" applyNumberFormat="1" applyFont="1" applyFill="1" applyBorder="1" applyAlignment="1">
      <alignment horizontal="center" vertical="center"/>
    </xf>
    <xf numFmtId="14" fontId="8" fillId="8" borderId="8" xfId="0" applyNumberFormat="1" applyFont="1" applyFill="1" applyBorder="1" applyAlignment="1">
      <alignment horizontal="center" vertical="center"/>
    </xf>
    <xf numFmtId="14" fontId="16" fillId="8" borderId="8" xfId="0" applyNumberFormat="1" applyFont="1" applyFill="1" applyBorder="1" applyAlignment="1">
      <alignment horizontal="center" vertical="center"/>
    </xf>
    <xf numFmtId="14" fontId="39" fillId="0" borderId="2" xfId="0" applyNumberFormat="1" applyFont="1" applyFill="1" applyBorder="1" applyAlignment="1">
      <alignment horizontal="center" vertical="center"/>
    </xf>
    <xf numFmtId="14" fontId="39" fillId="4" borderId="2" xfId="0" applyNumberFormat="1" applyFont="1" applyFill="1" applyBorder="1" applyAlignment="1">
      <alignment horizontal="center" vertical="center"/>
    </xf>
    <xf numFmtId="14" fontId="39" fillId="0" borderId="0" xfId="0" applyNumberFormat="1" applyFont="1" applyFill="1" applyBorder="1" applyAlignment="1">
      <alignment horizontal="center" vertical="center"/>
    </xf>
    <xf numFmtId="0" fontId="16" fillId="8" borderId="2" xfId="0" applyNumberFormat="1" applyFont="1" applyFill="1" applyBorder="1" applyAlignment="1">
      <alignment horizontal="center" vertical="center"/>
    </xf>
    <xf numFmtId="14" fontId="16" fillId="0" borderId="2" xfId="0" applyNumberFormat="1" applyFont="1" applyFill="1" applyBorder="1" applyAlignment="1">
      <alignment horizontal="center" vertical="center"/>
    </xf>
    <xf numFmtId="40" fontId="0" fillId="0" borderId="2" xfId="0" applyNumberFormat="1" applyFont="1" applyFill="1" applyBorder="1" applyAlignment="1">
      <alignment horizontal="center" vertical="center"/>
    </xf>
    <xf numFmtId="209" fontId="0" fillId="0" borderId="2" xfId="0" applyNumberFormat="1" applyFont="1" applyFill="1" applyBorder="1" applyAlignment="1">
      <alignment horizontal="center" vertical="center"/>
    </xf>
    <xf numFmtId="0" fontId="0" fillId="8" borderId="2" xfId="0" applyNumberFormat="1" applyFont="1" applyFill="1" applyBorder="1" applyAlignment="1">
      <alignment horizontal="center" vertical="center"/>
    </xf>
    <xf numFmtId="40" fontId="16" fillId="0" borderId="2" xfId="0" applyNumberFormat="1" applyFont="1" applyFill="1" applyBorder="1" applyAlignment="1">
      <alignment horizontal="center" vertical="center"/>
    </xf>
    <xf numFmtId="9" fontId="0" fillId="0" borderId="2" xfId="12" applyFont="1" applyFill="1" applyBorder="1" applyAlignment="1">
      <alignment vertical="center"/>
    </xf>
    <xf numFmtId="0" fontId="10" fillId="10" borderId="2" xfId="0" applyNumberFormat="1" applyFont="1" applyFill="1" applyBorder="1" applyAlignment="1">
      <alignment horizontal="center" vertical="center"/>
    </xf>
    <xf numFmtId="38" fontId="11" fillId="10" borderId="2" xfId="0" applyNumberFormat="1" applyFont="1" applyFill="1" applyBorder="1" applyAlignment="1">
      <alignment vertical="center"/>
    </xf>
    <xf numFmtId="40" fontId="10" fillId="30" borderId="2" xfId="0" applyNumberFormat="1" applyFont="1" applyFill="1" applyBorder="1" applyAlignment="1">
      <alignment horizontal="center" vertical="center"/>
    </xf>
    <xf numFmtId="0" fontId="10" fillId="30" borderId="2" xfId="0" applyNumberFormat="1" applyFont="1" applyFill="1" applyBorder="1" applyAlignment="1">
      <alignment horizontal="center" vertical="center"/>
    </xf>
    <xf numFmtId="38" fontId="11" fillId="30" borderId="2" xfId="0" applyNumberFormat="1" applyFont="1" applyFill="1" applyBorder="1" applyAlignment="1">
      <alignment vertical="center"/>
    </xf>
    <xf numFmtId="0" fontId="85" fillId="0" borderId="0" xfId="0" applyFont="1" applyAlignment="1">
      <alignment horizontal="right" vertical="center" wrapText="1"/>
    </xf>
    <xf numFmtId="0" fontId="11" fillId="0" borderId="0" xfId="0" applyFont="1" applyFill="1"/>
    <xf numFmtId="3" fontId="98" fillId="0" borderId="0" xfId="1" applyNumberFormat="1" applyFont="1" applyFill="1"/>
    <xf numFmtId="3" fontId="75" fillId="0" borderId="0" xfId="1" applyNumberFormat="1" applyFont="1" applyFill="1" applyBorder="1" applyAlignment="1"/>
    <xf numFmtId="0" fontId="16" fillId="0" borderId="2" xfId="0" applyNumberFormat="1" applyFont="1" applyFill="1" applyBorder="1" applyAlignment="1">
      <alignment horizontal="center" vertical="center"/>
    </xf>
    <xf numFmtId="0" fontId="31" fillId="0" borderId="2" xfId="0" applyNumberFormat="1" applyFont="1" applyFill="1" applyBorder="1" applyAlignment="1">
      <alignment horizontal="center" vertical="center"/>
    </xf>
    <xf numFmtId="0" fontId="32" fillId="0" borderId="2" xfId="0" applyNumberFormat="1" applyFont="1" applyFill="1" applyBorder="1" applyAlignment="1">
      <alignment horizontal="center" vertical="center"/>
    </xf>
    <xf numFmtId="0" fontId="0" fillId="0" borderId="0" xfId="0" applyNumberFormat="1" applyFont="1" applyFill="1" applyBorder="1" applyAlignment="1">
      <alignment horizontal="left" vertical="center" wrapText="1"/>
    </xf>
    <xf numFmtId="0" fontId="11" fillId="0" borderId="0" xfId="0" applyNumberFormat="1" applyFont="1" applyFill="1" applyBorder="1" applyAlignment="1">
      <alignment horizontal="left" vertical="center" wrapText="1"/>
    </xf>
    <xf numFmtId="0" fontId="13" fillId="0" borderId="2" xfId="0" applyNumberFormat="1" applyFont="1" applyFill="1" applyBorder="1" applyAlignment="1">
      <alignment horizontal="center" vertical="center"/>
    </xf>
    <xf numFmtId="0" fontId="0" fillId="0" borderId="2" xfId="0" applyNumberFormat="1" applyFont="1" applyFill="1" applyBorder="1" applyAlignment="1">
      <alignment horizontal="center" vertical="center"/>
    </xf>
    <xf numFmtId="0" fontId="29" fillId="0" borderId="0" xfId="0" applyNumberFormat="1" applyFont="1" applyFill="1" applyBorder="1" applyAlignment="1">
      <alignment horizontal="left" vertical="center" wrapText="1"/>
    </xf>
    <xf numFmtId="0" fontId="6" fillId="3" borderId="0" xfId="0" applyNumberFormat="1" applyFont="1" applyFill="1" applyBorder="1" applyAlignment="1">
      <alignment horizontal="left" vertical="center"/>
    </xf>
    <xf numFmtId="0" fontId="0" fillId="0" borderId="0" xfId="0" applyNumberFormat="1" applyFont="1" applyFill="1" applyBorder="1" applyAlignment="1">
      <alignment vertical="center"/>
    </xf>
    <xf numFmtId="0" fontId="6" fillId="3" borderId="0" xfId="0" applyNumberFormat="1" applyFont="1" applyFill="1" applyBorder="1" applyAlignment="1">
      <alignment horizontal="right" vertical="center"/>
    </xf>
    <xf numFmtId="177" fontId="6" fillId="3" borderId="0" xfId="0" applyNumberFormat="1" applyFont="1" applyFill="1" applyBorder="1" applyAlignment="1">
      <alignment horizontal="left" vertical="center"/>
    </xf>
    <xf numFmtId="3" fontId="6" fillId="3" borderId="0" xfId="0" applyNumberFormat="1" applyFont="1" applyFill="1" applyBorder="1" applyAlignment="1">
      <alignment horizontal="left" vertical="center"/>
    </xf>
    <xf numFmtId="0" fontId="6" fillId="3" borderId="5" xfId="0" applyNumberFormat="1" applyFont="1" applyFill="1" applyBorder="1" applyAlignment="1">
      <alignment horizontal="right" vertical="center"/>
    </xf>
    <xf numFmtId="0" fontId="0" fillId="0" borderId="0" xfId="0" applyNumberFormat="1" applyFont="1" applyFill="1" applyBorder="1" applyAlignment="1">
      <alignment horizontal="center" vertical="center" wrapText="1"/>
    </xf>
    <xf numFmtId="0" fontId="6" fillId="3" borderId="0" xfId="0" applyNumberFormat="1" applyFont="1" applyFill="1" applyBorder="1" applyAlignment="1">
      <alignment horizontal="left"/>
    </xf>
    <xf numFmtId="0" fontId="0" fillId="0" borderId="0" xfId="0" applyNumberFormat="1" applyFont="1" applyFill="1" applyBorder="1" applyAlignment="1"/>
    <xf numFmtId="0" fontId="44" fillId="8" borderId="35" xfId="9" applyFont="1" applyFill="1" applyBorder="1" applyAlignment="1">
      <alignment horizontal="center" vertical="center" wrapText="1"/>
    </xf>
    <xf numFmtId="0" fontId="44" fillId="8" borderId="10" xfId="9" applyFont="1" applyFill="1" applyBorder="1" applyAlignment="1">
      <alignment horizontal="center" vertical="center"/>
    </xf>
    <xf numFmtId="0" fontId="44" fillId="8" borderId="23" xfId="9" applyFont="1" applyFill="1" applyBorder="1" applyAlignment="1">
      <alignment horizontal="center" vertical="center"/>
    </xf>
    <xf numFmtId="0" fontId="44" fillId="11" borderId="23" xfId="9" applyFont="1" applyFill="1" applyBorder="1" applyAlignment="1">
      <alignment horizontal="center" vertical="center"/>
    </xf>
    <xf numFmtId="0" fontId="44" fillId="11" borderId="25" xfId="9" applyFont="1" applyFill="1" applyBorder="1" applyAlignment="1">
      <alignment horizontal="center" vertical="center"/>
    </xf>
    <xf numFmtId="0" fontId="45" fillId="0" borderId="42" xfId="9" applyFont="1" applyBorder="1" applyAlignment="1">
      <alignment horizontal="center" vertical="center" wrapText="1"/>
    </xf>
    <xf numFmtId="0" fontId="45" fillId="0" borderId="29" xfId="9" applyFont="1" applyBorder="1" applyAlignment="1">
      <alignment horizontal="center" vertical="center" wrapText="1"/>
    </xf>
    <xf numFmtId="0" fontId="45" fillId="0" borderId="30" xfId="9" applyFont="1" applyBorder="1" applyAlignment="1">
      <alignment horizontal="center" vertical="center" wrapText="1"/>
    </xf>
    <xf numFmtId="0" fontId="45" fillId="12" borderId="29" xfId="9" applyFont="1" applyFill="1" applyBorder="1" applyAlignment="1">
      <alignment horizontal="center" vertical="center" wrapText="1"/>
    </xf>
    <xf numFmtId="0" fontId="45" fillId="12" borderId="30" xfId="9" applyFont="1" applyFill="1" applyBorder="1" applyAlignment="1">
      <alignment horizontal="center" vertical="center" wrapText="1"/>
    </xf>
    <xf numFmtId="0" fontId="44" fillId="8" borderId="21" xfId="9" applyFont="1" applyFill="1" applyBorder="1" applyAlignment="1">
      <alignment horizontal="center" vertical="center" wrapText="1"/>
    </xf>
    <xf numFmtId="0" fontId="44" fillId="8" borderId="26" xfId="9" applyFont="1" applyFill="1" applyBorder="1" applyAlignment="1">
      <alignment horizontal="center" vertical="center" wrapText="1"/>
    </xf>
    <xf numFmtId="0" fontId="0" fillId="0" borderId="2" xfId="1" applyNumberFormat="1" applyFont="1" applyFill="1" applyBorder="1" applyAlignment="1">
      <alignment horizontal="center" vertical="center"/>
    </xf>
    <xf numFmtId="0" fontId="16" fillId="8" borderId="27" xfId="1" applyNumberFormat="1" applyFont="1" applyFill="1" applyBorder="1" applyAlignment="1">
      <alignment horizontal="center" vertical="center"/>
    </xf>
    <xf numFmtId="0" fontId="16" fillId="8" borderId="45" xfId="1" applyNumberFormat="1" applyFont="1" applyFill="1" applyBorder="1" applyAlignment="1">
      <alignment horizontal="center" vertical="center"/>
    </xf>
    <xf numFmtId="0" fontId="16" fillId="8" borderId="2" xfId="1" applyNumberFormat="1" applyFont="1" applyFill="1" applyBorder="1" applyAlignment="1">
      <alignment horizontal="center" vertical="center"/>
    </xf>
    <xf numFmtId="0" fontId="11" fillId="0" borderId="2" xfId="1" applyNumberFormat="1" applyFont="1" applyFill="1" applyBorder="1" applyAlignment="1">
      <alignment horizontal="center" vertical="center"/>
    </xf>
    <xf numFmtId="0" fontId="0" fillId="8" borderId="2" xfId="1" applyNumberFormat="1" applyFont="1" applyFill="1" applyBorder="1" applyAlignment="1">
      <alignment horizontal="center" vertical="center"/>
    </xf>
    <xf numFmtId="40" fontId="16" fillId="8" borderId="2" xfId="1" applyNumberFormat="1" applyFont="1" applyFill="1" applyBorder="1" applyAlignment="1">
      <alignment horizontal="center" vertical="center"/>
    </xf>
    <xf numFmtId="38" fontId="39" fillId="0" borderId="6" xfId="1" applyNumberFormat="1" applyFont="1" applyFill="1" applyBorder="1" applyAlignment="1">
      <alignment horizontal="left" vertical="center"/>
    </xf>
    <xf numFmtId="38" fontId="39" fillId="0" borderId="10" xfId="1" applyNumberFormat="1" applyFont="1" applyFill="1" applyBorder="1" applyAlignment="1">
      <alignment horizontal="left" vertical="center"/>
    </xf>
    <xf numFmtId="38" fontId="39" fillId="0" borderId="8" xfId="1" applyNumberFormat="1" applyFont="1" applyFill="1" applyBorder="1" applyAlignment="1">
      <alignment horizontal="left" vertical="center"/>
    </xf>
    <xf numFmtId="0" fontId="39" fillId="0" borderId="6" xfId="1" applyNumberFormat="1" applyFont="1" applyFill="1" applyBorder="1" applyAlignment="1">
      <alignment horizontal="center" vertical="center" wrapText="1"/>
    </xf>
    <xf numFmtId="0" fontId="39" fillId="0" borderId="10" xfId="1" applyNumberFormat="1" applyFont="1" applyFill="1" applyBorder="1" applyAlignment="1">
      <alignment horizontal="center" vertical="center" wrapText="1"/>
    </xf>
    <xf numFmtId="0" fontId="39" fillId="0" borderId="8" xfId="1" applyNumberFormat="1" applyFont="1" applyFill="1" applyBorder="1" applyAlignment="1">
      <alignment horizontal="center" vertical="center" wrapText="1"/>
    </xf>
    <xf numFmtId="0" fontId="40" fillId="0" borderId="46" xfId="1" applyNumberFormat="1" applyFont="1" applyFill="1" applyBorder="1" applyAlignment="1">
      <alignment horizontal="center" vertical="center"/>
    </xf>
    <xf numFmtId="0" fontId="40" fillId="0" borderId="57" xfId="1" applyNumberFormat="1" applyFont="1" applyFill="1" applyBorder="1" applyAlignment="1">
      <alignment horizontal="center" vertical="center"/>
    </xf>
    <xf numFmtId="0" fontId="40" fillId="0" borderId="36" xfId="1" applyNumberFormat="1" applyFont="1" applyFill="1" applyBorder="1" applyAlignment="1">
      <alignment horizontal="center" vertical="center"/>
    </xf>
    <xf numFmtId="0" fontId="40" fillId="0" borderId="58" xfId="1" applyNumberFormat="1" applyFont="1" applyFill="1" applyBorder="1" applyAlignment="1">
      <alignment horizontal="center" vertical="center"/>
    </xf>
    <xf numFmtId="0" fontId="40" fillId="0" borderId="0" xfId="1" applyNumberFormat="1" applyFont="1" applyFill="1" applyBorder="1" applyAlignment="1">
      <alignment horizontal="center" vertical="center"/>
    </xf>
    <xf numFmtId="0" fontId="40" fillId="0" borderId="14" xfId="1" applyNumberFormat="1" applyFont="1" applyFill="1" applyBorder="1" applyAlignment="1">
      <alignment horizontal="center" vertical="center"/>
    </xf>
    <xf numFmtId="0" fontId="40" fillId="0" borderId="47" xfId="1" applyNumberFormat="1" applyFont="1" applyFill="1" applyBorder="1" applyAlignment="1">
      <alignment horizontal="center" vertical="center"/>
    </xf>
    <xf numFmtId="0" fontId="40" fillId="0" borderId="54" xfId="1" applyNumberFormat="1" applyFont="1" applyFill="1" applyBorder="1" applyAlignment="1">
      <alignment horizontal="center" vertical="center"/>
    </xf>
    <xf numFmtId="0" fontId="40" fillId="0" borderId="48" xfId="1" applyNumberFormat="1" applyFont="1" applyFill="1" applyBorder="1" applyAlignment="1">
      <alignment horizontal="center" vertical="center"/>
    </xf>
    <xf numFmtId="0" fontId="40" fillId="0" borderId="27" xfId="1" applyNumberFormat="1" applyFont="1" applyFill="1" applyBorder="1" applyAlignment="1">
      <alignment horizontal="center" vertical="center"/>
    </xf>
    <xf numFmtId="0" fontId="40" fillId="0" borderId="45" xfId="1" applyNumberFormat="1" applyFont="1" applyFill="1" applyBorder="1" applyAlignment="1">
      <alignment horizontal="center" vertical="center"/>
    </xf>
    <xf numFmtId="0" fontId="39" fillId="0" borderId="6" xfId="1" applyNumberFormat="1" applyFont="1" applyFill="1" applyBorder="1" applyAlignment="1">
      <alignment horizontal="center" vertical="center"/>
    </xf>
    <xf numFmtId="0" fontId="39" fillId="0" borderId="10" xfId="1" applyNumberFormat="1" applyFont="1" applyFill="1" applyBorder="1" applyAlignment="1">
      <alignment horizontal="center" vertical="center"/>
    </xf>
    <xf numFmtId="0" fontId="39" fillId="0" borderId="8" xfId="1" applyNumberFormat="1" applyFont="1" applyFill="1" applyBorder="1" applyAlignment="1">
      <alignment horizontal="center" vertical="center"/>
    </xf>
    <xf numFmtId="38" fontId="39" fillId="0" borderId="6" xfId="1" applyNumberFormat="1" applyFont="1" applyFill="1" applyBorder="1" applyAlignment="1">
      <alignment horizontal="left" vertical="center" wrapText="1"/>
    </xf>
    <xf numFmtId="38" fontId="39" fillId="0" borderId="10" xfId="1" applyNumberFormat="1" applyFont="1" applyFill="1" applyBorder="1" applyAlignment="1">
      <alignment horizontal="left" vertical="center" wrapText="1"/>
    </xf>
    <xf numFmtId="38" fontId="39" fillId="0" borderId="8" xfId="1" applyNumberFormat="1" applyFont="1" applyFill="1" applyBorder="1" applyAlignment="1">
      <alignment horizontal="left" vertical="center" wrapText="1"/>
    </xf>
    <xf numFmtId="0" fontId="11" fillId="0" borderId="6" xfId="1" applyNumberFormat="1" applyFont="1" applyFill="1" applyBorder="1" applyAlignment="1">
      <alignment horizontal="center" vertical="center"/>
    </xf>
    <xf numFmtId="0" fontId="11" fillId="0" borderId="10" xfId="1" applyNumberFormat="1" applyFont="1" applyFill="1" applyBorder="1" applyAlignment="1">
      <alignment horizontal="center" vertical="center"/>
    </xf>
    <xf numFmtId="0" fontId="11" fillId="0" borderId="8" xfId="1" applyNumberFormat="1" applyFont="1" applyFill="1" applyBorder="1" applyAlignment="1">
      <alignment horizontal="center" vertical="center"/>
    </xf>
    <xf numFmtId="0" fontId="0" fillId="0" borderId="6" xfId="1" applyNumberFormat="1" applyFont="1" applyFill="1" applyBorder="1" applyAlignment="1">
      <alignment horizontal="center" vertical="center"/>
    </xf>
    <xf numFmtId="0" fontId="0" fillId="0" borderId="10" xfId="1" applyNumberFormat="1" applyFont="1" applyFill="1" applyBorder="1" applyAlignment="1">
      <alignment horizontal="center" vertical="center"/>
    </xf>
    <xf numFmtId="0" fontId="0" fillId="0" borderId="8" xfId="1" applyNumberFormat="1" applyFont="1" applyFill="1" applyBorder="1" applyAlignment="1">
      <alignment horizontal="center" vertical="center"/>
    </xf>
    <xf numFmtId="0" fontId="0" fillId="14" borderId="6" xfId="1" applyNumberFormat="1" applyFont="1" applyFill="1" applyBorder="1" applyAlignment="1">
      <alignment horizontal="center" vertical="center"/>
    </xf>
    <xf numFmtId="0" fontId="0" fillId="14" borderId="10" xfId="1" applyNumberFormat="1" applyFont="1" applyFill="1" applyBorder="1" applyAlignment="1">
      <alignment horizontal="center" vertical="center"/>
    </xf>
    <xf numFmtId="0" fontId="0" fillId="14" borderId="8" xfId="1" applyNumberFormat="1" applyFont="1" applyFill="1" applyBorder="1" applyAlignment="1">
      <alignment horizontal="center" vertical="center"/>
    </xf>
    <xf numFmtId="0" fontId="11" fillId="8" borderId="6" xfId="1" applyNumberFormat="1" applyFont="1" applyFill="1" applyBorder="1" applyAlignment="1">
      <alignment horizontal="center" vertical="center"/>
    </xf>
    <xf numFmtId="0" fontId="11" fillId="8" borderId="10" xfId="1" applyNumberFormat="1" applyFont="1" applyFill="1" applyBorder="1" applyAlignment="1">
      <alignment horizontal="center" vertical="center"/>
    </xf>
    <xf numFmtId="0" fontId="11" fillId="8" borderId="8" xfId="1" applyNumberFormat="1" applyFont="1" applyFill="1" applyBorder="1" applyAlignment="1">
      <alignment horizontal="center" vertical="center"/>
    </xf>
    <xf numFmtId="0" fontId="16" fillId="8" borderId="6" xfId="1" applyNumberFormat="1" applyFont="1" applyFill="1" applyBorder="1" applyAlignment="1">
      <alignment horizontal="center" vertical="center"/>
    </xf>
    <xf numFmtId="0" fontId="16" fillId="8" borderId="8" xfId="1" applyNumberFormat="1" applyFont="1" applyFill="1" applyBorder="1" applyAlignment="1">
      <alignment horizontal="center" vertical="center"/>
    </xf>
    <xf numFmtId="0" fontId="0" fillId="8" borderId="6" xfId="1" applyNumberFormat="1" applyFont="1" applyFill="1" applyBorder="1" applyAlignment="1">
      <alignment horizontal="center" vertical="center"/>
    </xf>
    <xf numFmtId="0" fontId="0" fillId="8" borderId="8" xfId="1" applyNumberFormat="1" applyFont="1" applyFill="1" applyBorder="1" applyAlignment="1">
      <alignment horizontal="center" vertical="center"/>
    </xf>
    <xf numFmtId="40" fontId="16" fillId="8" borderId="27" xfId="1" applyNumberFormat="1" applyFont="1" applyFill="1" applyBorder="1" applyAlignment="1">
      <alignment horizontal="center" vertical="center"/>
    </xf>
    <xf numFmtId="40" fontId="16" fillId="8" borderId="45" xfId="1" applyNumberFormat="1" applyFont="1" applyFill="1" applyBorder="1" applyAlignment="1">
      <alignment horizontal="center" vertical="center"/>
    </xf>
    <xf numFmtId="0" fontId="0" fillId="8" borderId="27" xfId="1" applyNumberFormat="1" applyFont="1" applyFill="1" applyBorder="1" applyAlignment="1">
      <alignment horizontal="center" vertical="center" wrapText="1"/>
    </xf>
    <xf numFmtId="0" fontId="0" fillId="8" borderId="44" xfId="1" applyNumberFormat="1" applyFont="1" applyFill="1" applyBorder="1" applyAlignment="1">
      <alignment horizontal="center" vertical="center" wrapText="1"/>
    </xf>
    <xf numFmtId="0" fontId="0" fillId="8" borderId="45" xfId="1" applyNumberFormat="1" applyFont="1" applyFill="1" applyBorder="1" applyAlignment="1">
      <alignment horizontal="center" vertical="center" wrapText="1"/>
    </xf>
    <xf numFmtId="0" fontId="16" fillId="8" borderId="6" xfId="1" applyNumberFormat="1" applyFont="1" applyFill="1" applyBorder="1" applyAlignment="1">
      <alignment horizontal="center" vertical="center" wrapText="1"/>
    </xf>
    <xf numFmtId="0" fontId="16" fillId="8" borderId="8" xfId="1" applyNumberFormat="1" applyFont="1" applyFill="1" applyBorder="1" applyAlignment="1">
      <alignment horizontal="center" vertical="center" wrapText="1"/>
    </xf>
    <xf numFmtId="17" fontId="16" fillId="8" borderId="6" xfId="1" applyNumberFormat="1" applyFont="1" applyFill="1" applyBorder="1" applyAlignment="1">
      <alignment horizontal="center" vertical="center"/>
    </xf>
    <xf numFmtId="17" fontId="16" fillId="8" borderId="8" xfId="1" applyNumberFormat="1" applyFont="1" applyFill="1" applyBorder="1" applyAlignment="1">
      <alignment horizontal="center" vertical="center"/>
    </xf>
    <xf numFmtId="0" fontId="48" fillId="0" borderId="0" xfId="0" applyNumberFormat="1" applyFont="1" applyFill="1" applyBorder="1" applyAlignment="1">
      <alignment horizontal="center"/>
    </xf>
    <xf numFmtId="0" fontId="16" fillId="8" borderId="27" xfId="1" applyNumberFormat="1" applyFont="1" applyFill="1" applyBorder="1" applyAlignment="1">
      <alignment horizontal="center" vertical="center" wrapText="1"/>
    </xf>
    <xf numFmtId="0" fontId="16" fillId="8" borderId="44" xfId="1" applyNumberFormat="1" applyFont="1" applyFill="1" applyBorder="1" applyAlignment="1">
      <alignment horizontal="center" vertical="center" wrapText="1"/>
    </xf>
    <xf numFmtId="0" fontId="16" fillId="8" borderId="45" xfId="1" applyNumberFormat="1" applyFont="1" applyFill="1" applyBorder="1" applyAlignment="1">
      <alignment horizontal="center" vertical="center" wrapText="1"/>
    </xf>
    <xf numFmtId="0" fontId="0" fillId="8" borderId="6" xfId="1" applyNumberFormat="1" applyFont="1" applyFill="1" applyBorder="1" applyAlignment="1">
      <alignment horizontal="center" vertical="center" wrapText="1"/>
    </xf>
    <xf numFmtId="0" fontId="0" fillId="8" borderId="8" xfId="1" applyNumberFormat="1" applyFont="1" applyFill="1" applyBorder="1" applyAlignment="1">
      <alignment horizontal="center" vertical="center" wrapText="1"/>
    </xf>
    <xf numFmtId="17" fontId="0" fillId="8" borderId="6" xfId="1" applyNumberFormat="1" applyFont="1" applyFill="1" applyBorder="1" applyAlignment="1">
      <alignment horizontal="center" vertical="center"/>
    </xf>
    <xf numFmtId="17" fontId="0" fillId="8" borderId="8" xfId="1" applyNumberFormat="1" applyFont="1" applyFill="1" applyBorder="1" applyAlignment="1">
      <alignment horizontal="center" vertical="center"/>
    </xf>
    <xf numFmtId="38" fontId="39" fillId="12" borderId="6" xfId="0" applyNumberFormat="1" applyFont="1" applyFill="1" applyBorder="1" applyAlignment="1">
      <alignment horizontal="center" vertical="center"/>
    </xf>
    <xf numFmtId="38" fontId="39" fillId="12" borderId="10" xfId="0" applyNumberFormat="1" applyFont="1" applyFill="1" applyBorder="1" applyAlignment="1">
      <alignment horizontal="center" vertical="center"/>
    </xf>
    <xf numFmtId="38" fontId="39" fillId="12" borderId="38" xfId="0" applyNumberFormat="1" applyFont="1" applyFill="1" applyBorder="1" applyAlignment="1">
      <alignment horizontal="center" vertical="center"/>
    </xf>
    <xf numFmtId="0" fontId="39" fillId="8" borderId="39" xfId="0" applyNumberFormat="1" applyFont="1" applyFill="1" applyBorder="1" applyAlignment="1">
      <alignment horizontal="center" vertical="center" wrapText="1"/>
    </xf>
    <xf numFmtId="0" fontId="39" fillId="8" borderId="40" xfId="0" applyNumberFormat="1" applyFont="1" applyFill="1" applyBorder="1" applyAlignment="1">
      <alignment horizontal="center" vertical="center" wrapText="1"/>
    </xf>
    <xf numFmtId="0" fontId="16" fillId="8" borderId="6" xfId="0" applyNumberFormat="1" applyFont="1" applyFill="1" applyBorder="1" applyAlignment="1">
      <alignment horizontal="center" vertical="center" wrapText="1"/>
    </xf>
    <xf numFmtId="0" fontId="39" fillId="8" borderId="8" xfId="0" applyNumberFormat="1" applyFont="1" applyFill="1" applyBorder="1" applyAlignment="1">
      <alignment horizontal="center" vertical="center" wrapText="1"/>
    </xf>
    <xf numFmtId="3" fontId="39" fillId="12" borderId="6" xfId="0" applyNumberFormat="1" applyFont="1" applyFill="1" applyBorder="1" applyAlignment="1">
      <alignment horizontal="center" vertical="center"/>
    </xf>
    <xf numFmtId="3" fontId="39" fillId="12" borderId="10" xfId="0" applyNumberFormat="1" applyFont="1" applyFill="1" applyBorder="1" applyAlignment="1">
      <alignment horizontal="center" vertical="center"/>
    </xf>
    <xf numFmtId="3" fontId="39" fillId="12" borderId="38" xfId="0" applyNumberFormat="1" applyFont="1" applyFill="1" applyBorder="1" applyAlignment="1">
      <alignment horizontal="center" vertical="center"/>
    </xf>
    <xf numFmtId="0" fontId="40" fillId="10" borderId="47" xfId="0" applyNumberFormat="1" applyFont="1" applyFill="1" applyBorder="1" applyAlignment="1">
      <alignment horizontal="center" vertical="center"/>
    </xf>
    <xf numFmtId="0" fontId="40" fillId="10" borderId="54" xfId="0" applyNumberFormat="1" applyFont="1" applyFill="1" applyBorder="1" applyAlignment="1">
      <alignment horizontal="center" vertical="center"/>
    </xf>
    <xf numFmtId="0" fontId="16" fillId="8" borderId="6" xfId="0" applyNumberFormat="1" applyFont="1" applyFill="1" applyBorder="1" applyAlignment="1">
      <alignment horizontal="center" vertical="center"/>
    </xf>
    <xf numFmtId="0" fontId="16" fillId="8" borderId="8" xfId="0" applyNumberFormat="1" applyFont="1" applyFill="1" applyBorder="1" applyAlignment="1">
      <alignment horizontal="center" vertical="center"/>
    </xf>
    <xf numFmtId="0" fontId="39" fillId="8" borderId="6" xfId="0" applyNumberFormat="1" applyFont="1" applyFill="1" applyBorder="1" applyAlignment="1">
      <alignment horizontal="center" vertical="center"/>
    </xf>
    <xf numFmtId="0" fontId="39" fillId="8" borderId="8" xfId="0" applyNumberFormat="1" applyFont="1" applyFill="1" applyBorder="1" applyAlignment="1">
      <alignment horizontal="center" vertical="center"/>
    </xf>
    <xf numFmtId="0" fontId="39" fillId="8" borderId="39" xfId="0" applyNumberFormat="1" applyFont="1" applyFill="1" applyBorder="1" applyAlignment="1">
      <alignment horizontal="center" vertical="center"/>
    </xf>
    <xf numFmtId="0" fontId="16" fillId="8" borderId="39" xfId="0" applyNumberFormat="1" applyFont="1" applyFill="1" applyBorder="1" applyAlignment="1">
      <alignment horizontal="center" vertical="center"/>
    </xf>
    <xf numFmtId="0" fontId="16" fillId="8" borderId="40" xfId="0" applyNumberFormat="1" applyFont="1" applyFill="1" applyBorder="1" applyAlignment="1">
      <alignment horizontal="center" vertical="center"/>
    </xf>
    <xf numFmtId="0" fontId="39" fillId="8" borderId="40" xfId="0" applyNumberFormat="1" applyFont="1" applyFill="1" applyBorder="1" applyAlignment="1">
      <alignment horizontal="center" vertical="center"/>
    </xf>
    <xf numFmtId="0" fontId="39" fillId="0" borderId="6" xfId="0" applyNumberFormat="1" applyFont="1" applyFill="1" applyBorder="1" applyAlignment="1">
      <alignment horizontal="center" vertical="center" wrapText="1"/>
    </xf>
    <xf numFmtId="0" fontId="39" fillId="0" borderId="10" xfId="0" applyNumberFormat="1" applyFont="1" applyFill="1" applyBorder="1" applyAlignment="1">
      <alignment horizontal="center" vertical="center" wrapText="1"/>
    </xf>
    <xf numFmtId="0" fontId="39" fillId="0" borderId="8" xfId="0" applyNumberFormat="1" applyFont="1" applyFill="1" applyBorder="1" applyAlignment="1">
      <alignment horizontal="center" vertical="center" wrapText="1"/>
    </xf>
    <xf numFmtId="0" fontId="40" fillId="0" borderId="49" xfId="0" applyNumberFormat="1" applyFont="1" applyFill="1" applyBorder="1" applyAlignment="1">
      <alignment horizontal="center" vertical="center"/>
    </xf>
    <xf numFmtId="0" fontId="40" fillId="0" borderId="52" xfId="0" applyNumberFormat="1" applyFont="1" applyFill="1" applyBorder="1" applyAlignment="1">
      <alignment horizontal="center" vertical="center"/>
    </xf>
    <xf numFmtId="0" fontId="40" fillId="0" borderId="47" xfId="0" applyNumberFormat="1" applyFont="1" applyFill="1" applyBorder="1" applyAlignment="1">
      <alignment horizontal="center" vertical="center"/>
    </xf>
    <xf numFmtId="0" fontId="40" fillId="0" borderId="54" xfId="0" applyNumberFormat="1" applyFont="1" applyFill="1" applyBorder="1" applyAlignment="1">
      <alignment horizontal="center" vertical="center"/>
    </xf>
    <xf numFmtId="178" fontId="40" fillId="0" borderId="50" xfId="0" applyNumberFormat="1" applyFont="1" applyFill="1" applyBorder="1" applyAlignment="1">
      <alignment horizontal="center" vertical="center"/>
    </xf>
    <xf numFmtId="178" fontId="40" fillId="0" borderId="8" xfId="0" applyNumberFormat="1" applyFont="1" applyFill="1" applyBorder="1" applyAlignment="1">
      <alignment horizontal="center" vertical="center"/>
    </xf>
    <xf numFmtId="0" fontId="16" fillId="8" borderId="46" xfId="0" applyNumberFormat="1" applyFont="1" applyFill="1" applyBorder="1" applyAlignment="1">
      <alignment horizontal="center" vertical="center"/>
    </xf>
    <xf numFmtId="0" fontId="16" fillId="8" borderId="36" xfId="0" applyNumberFormat="1" applyFont="1" applyFill="1" applyBorder="1" applyAlignment="1">
      <alignment horizontal="center" vertical="center"/>
    </xf>
    <xf numFmtId="0" fontId="16" fillId="8" borderId="47" xfId="0" applyNumberFormat="1" applyFont="1" applyFill="1" applyBorder="1" applyAlignment="1">
      <alignment horizontal="center" vertical="center"/>
    </xf>
    <xf numFmtId="0" fontId="16" fillId="8" borderId="48" xfId="0" applyNumberFormat="1" applyFont="1" applyFill="1" applyBorder="1" applyAlignment="1">
      <alignment horizontal="center" vertical="center"/>
    </xf>
    <xf numFmtId="0" fontId="16" fillId="8" borderId="8" xfId="0" applyNumberFormat="1" applyFont="1" applyFill="1" applyBorder="1" applyAlignment="1">
      <alignment horizontal="center" vertical="center" wrapText="1"/>
    </xf>
    <xf numFmtId="40" fontId="40" fillId="0" borderId="53" xfId="0" applyNumberFormat="1" applyFont="1" applyFill="1" applyBorder="1" applyAlignment="1">
      <alignment horizontal="center" vertical="center"/>
    </xf>
    <xf numFmtId="40" fontId="40" fillId="0" borderId="48" xfId="0" applyNumberFormat="1" applyFont="1" applyFill="1" applyBorder="1" applyAlignment="1">
      <alignment horizontal="center" vertical="center"/>
    </xf>
    <xf numFmtId="0" fontId="67" fillId="18" borderId="0" xfId="0" applyNumberFormat="1" applyFont="1" applyFill="1" applyBorder="1" applyAlignment="1">
      <alignment horizontal="left" vertical="center" wrapText="1" readingOrder="1"/>
    </xf>
    <xf numFmtId="0" fontId="70" fillId="0" borderId="0" xfId="0" applyNumberFormat="1" applyFont="1" applyFill="1" applyBorder="1" applyAlignment="1">
      <alignment horizontal="center" vertical="center" wrapText="1" readingOrder="1"/>
    </xf>
    <xf numFmtId="0" fontId="70" fillId="0" borderId="86" xfId="0" applyNumberFormat="1" applyFont="1" applyFill="1" applyBorder="1" applyAlignment="1">
      <alignment horizontal="center" vertical="center" wrapText="1" readingOrder="1"/>
    </xf>
    <xf numFmtId="0" fontId="70" fillId="19" borderId="0" xfId="0" applyNumberFormat="1" applyFont="1" applyFill="1" applyBorder="1" applyAlignment="1">
      <alignment horizontal="left" vertical="center" wrapText="1" readingOrder="1"/>
    </xf>
    <xf numFmtId="0" fontId="70" fillId="0" borderId="84" xfId="0" applyNumberFormat="1" applyFont="1" applyFill="1" applyBorder="1" applyAlignment="1">
      <alignment horizontal="center" vertical="center" wrapText="1" readingOrder="1"/>
    </xf>
    <xf numFmtId="0" fontId="70" fillId="0" borderId="91" xfId="0" applyNumberFormat="1" applyFont="1" applyFill="1" applyBorder="1" applyAlignment="1">
      <alignment horizontal="center" vertical="center" wrapText="1" readingOrder="1"/>
    </xf>
    <xf numFmtId="38" fontId="39" fillId="12" borderId="46" xfId="0" applyNumberFormat="1" applyFont="1" applyFill="1" applyBorder="1" applyAlignment="1">
      <alignment horizontal="center" vertical="center"/>
    </xf>
    <xf numFmtId="38" fontId="39" fillId="12" borderId="58" xfId="0" applyNumberFormat="1" applyFont="1" applyFill="1" applyBorder="1" applyAlignment="1">
      <alignment horizontal="center" vertical="center"/>
    </xf>
    <xf numFmtId="38" fontId="39" fillId="12" borderId="67" xfId="0" applyNumberFormat="1" applyFont="1" applyFill="1" applyBorder="1" applyAlignment="1">
      <alignment horizontal="center" vertical="center"/>
    </xf>
    <xf numFmtId="38" fontId="39" fillId="12" borderId="76" xfId="0" applyNumberFormat="1" applyFont="1" applyFill="1" applyBorder="1" applyAlignment="1">
      <alignment horizontal="center" vertical="center"/>
    </xf>
    <xf numFmtId="38" fontId="39" fillId="12" borderId="77" xfId="0" applyNumberFormat="1" applyFont="1" applyFill="1" applyBorder="1" applyAlignment="1">
      <alignment horizontal="center" vertical="center"/>
    </xf>
    <xf numFmtId="38" fontId="39" fillId="12" borderId="78" xfId="0" applyNumberFormat="1" applyFont="1" applyFill="1" applyBorder="1" applyAlignment="1">
      <alignment horizontal="center" vertical="center"/>
    </xf>
    <xf numFmtId="3" fontId="39" fillId="12" borderId="46" xfId="0" applyNumberFormat="1" applyFont="1" applyFill="1" applyBorder="1" applyAlignment="1">
      <alignment horizontal="center" vertical="center"/>
    </xf>
    <xf numFmtId="3" fontId="39" fillId="12" borderId="58" xfId="0" applyNumberFormat="1" applyFont="1" applyFill="1" applyBorder="1" applyAlignment="1">
      <alignment horizontal="center" vertical="center"/>
    </xf>
    <xf numFmtId="3" fontId="39" fillId="12" borderId="76" xfId="0" applyNumberFormat="1" applyFont="1" applyFill="1" applyBorder="1" applyAlignment="1">
      <alignment horizontal="center" vertical="center"/>
    </xf>
    <xf numFmtId="3" fontId="39" fillId="12" borderId="77" xfId="0" applyNumberFormat="1" applyFont="1" applyFill="1" applyBorder="1" applyAlignment="1">
      <alignment horizontal="center" vertical="center"/>
    </xf>
    <xf numFmtId="0" fontId="39" fillId="8" borderId="46" xfId="0" applyNumberFormat="1" applyFont="1" applyFill="1" applyBorder="1" applyAlignment="1">
      <alignment horizontal="center" vertical="center"/>
    </xf>
    <xf numFmtId="0" fontId="39" fillId="8" borderId="36" xfId="0" applyNumberFormat="1" applyFont="1" applyFill="1" applyBorder="1" applyAlignment="1">
      <alignment horizontal="center" vertical="center"/>
    </xf>
    <xf numFmtId="0" fontId="39" fillId="8" borderId="47" xfId="0" applyNumberFormat="1" applyFont="1" applyFill="1" applyBorder="1" applyAlignment="1">
      <alignment horizontal="center" vertical="center"/>
    </xf>
    <xf numFmtId="0" fontId="39" fillId="8" borderId="48" xfId="0" applyNumberFormat="1" applyFont="1" applyFill="1" applyBorder="1" applyAlignment="1">
      <alignment horizontal="center" vertical="center"/>
    </xf>
    <xf numFmtId="0" fontId="52" fillId="8" borderId="74" xfId="0" applyNumberFormat="1" applyFont="1" applyFill="1" applyBorder="1" applyAlignment="1">
      <alignment horizontal="center" vertical="center" wrapText="1"/>
    </xf>
    <xf numFmtId="0" fontId="52" fillId="8" borderId="75" xfId="0" applyNumberFormat="1" applyFont="1" applyFill="1" applyBorder="1" applyAlignment="1">
      <alignment horizontal="center" vertical="center" wrapText="1"/>
    </xf>
    <xf numFmtId="0" fontId="39" fillId="8" borderId="69" xfId="0" applyNumberFormat="1" applyFont="1" applyFill="1" applyBorder="1" applyAlignment="1">
      <alignment horizontal="center" vertical="center" wrapText="1"/>
    </xf>
    <xf numFmtId="0" fontId="39" fillId="8" borderId="70" xfId="0" applyNumberFormat="1" applyFont="1" applyFill="1" applyBorder="1" applyAlignment="1">
      <alignment horizontal="center" vertical="center" wrapText="1"/>
    </xf>
    <xf numFmtId="0" fontId="39" fillId="8" borderId="72" xfId="0" applyNumberFormat="1" applyFont="1" applyFill="1" applyBorder="1" applyAlignment="1">
      <alignment horizontal="center" vertical="center"/>
    </xf>
    <xf numFmtId="0" fontId="39" fillId="8" borderId="69" xfId="0" applyNumberFormat="1" applyFont="1" applyFill="1" applyBorder="1" applyAlignment="1">
      <alignment horizontal="center" vertical="center"/>
    </xf>
    <xf numFmtId="0" fontId="39" fillId="8" borderId="6" xfId="0" applyNumberFormat="1" applyFont="1" applyFill="1" applyBorder="1" applyAlignment="1">
      <alignment horizontal="center" vertical="center" wrapText="1"/>
    </xf>
    <xf numFmtId="0" fontId="39" fillId="8" borderId="46" xfId="0" applyNumberFormat="1" applyFont="1" applyFill="1" applyBorder="1" applyAlignment="1">
      <alignment horizontal="center" vertical="center" wrapText="1"/>
    </xf>
    <xf numFmtId="0" fontId="39" fillId="8" borderId="47" xfId="0" applyNumberFormat="1" applyFont="1" applyFill="1" applyBorder="1" applyAlignment="1">
      <alignment horizontal="center" vertical="center" wrapText="1"/>
    </xf>
    <xf numFmtId="0" fontId="39" fillId="8" borderId="27" xfId="0" applyNumberFormat="1" applyFont="1" applyFill="1" applyBorder="1" applyAlignment="1">
      <alignment horizontal="center" vertical="center"/>
    </xf>
    <xf numFmtId="0" fontId="39" fillId="8" borderId="45" xfId="0" applyNumberFormat="1" applyFont="1" applyFill="1" applyBorder="1" applyAlignment="1">
      <alignment horizontal="center" vertical="center"/>
    </xf>
    <xf numFmtId="0" fontId="39" fillId="8" borderId="83" xfId="0" applyNumberFormat="1" applyFont="1" applyFill="1" applyBorder="1" applyAlignment="1">
      <alignment horizontal="center" vertical="center"/>
    </xf>
    <xf numFmtId="0" fontId="22" fillId="7" borderId="2" xfId="2" applyFont="1" applyFill="1" applyBorder="1" applyAlignment="1">
      <alignment horizontal="center" vertical="center" wrapText="1" readingOrder="1"/>
    </xf>
    <xf numFmtId="0" fontId="57" fillId="7" borderId="6" xfId="2" applyFont="1" applyFill="1" applyBorder="1" applyAlignment="1">
      <alignment horizontal="center" vertical="center" wrapText="1" readingOrder="1"/>
    </xf>
    <xf numFmtId="0" fontId="22" fillId="7" borderId="8" xfId="2" applyFont="1" applyFill="1" applyBorder="1" applyAlignment="1">
      <alignment horizontal="center" vertical="center" wrapText="1" readingOrder="1"/>
    </xf>
    <xf numFmtId="0" fontId="20" fillId="6" borderId="0" xfId="2" applyFont="1" applyFill="1" applyAlignment="1">
      <alignment horizontal="center" vertical="center"/>
    </xf>
    <xf numFmtId="0" fontId="22" fillId="7" borderId="6" xfId="2" applyFont="1" applyFill="1" applyBorder="1" applyAlignment="1">
      <alignment horizontal="center" vertical="center" readingOrder="1"/>
    </xf>
    <xf numFmtId="0" fontId="22" fillId="7" borderId="8" xfId="2" applyFont="1" applyFill="1" applyBorder="1" applyAlignment="1">
      <alignment horizontal="center" vertical="center" readingOrder="1"/>
    </xf>
    <xf numFmtId="0" fontId="22" fillId="7" borderId="7" xfId="2" applyFont="1" applyFill="1" applyBorder="1" applyAlignment="1">
      <alignment horizontal="center" vertical="center" wrapText="1" readingOrder="1"/>
    </xf>
    <xf numFmtId="0" fontId="22" fillId="7" borderId="9" xfId="2" applyFont="1" applyFill="1" applyBorder="1" applyAlignment="1">
      <alignment horizontal="center" vertical="center" wrapText="1" readingOrder="1"/>
    </xf>
    <xf numFmtId="0" fontId="22" fillId="7" borderId="6" xfId="2" applyFont="1" applyFill="1" applyBorder="1" applyAlignment="1">
      <alignment horizontal="center" vertical="center" wrapText="1" readingOrder="1"/>
    </xf>
    <xf numFmtId="0" fontId="22" fillId="0" borderId="2" xfId="2" applyFont="1" applyBorder="1" applyAlignment="1">
      <alignment horizontal="center" vertical="center" readingOrder="1"/>
    </xf>
    <xf numFmtId="40" fontId="55" fillId="4" borderId="2" xfId="3" applyNumberFormat="1" applyFont="1" applyFill="1" applyBorder="1" applyAlignment="1">
      <alignment horizontal="center" vertical="center" wrapText="1" readingOrder="1"/>
    </xf>
    <xf numFmtId="40" fontId="25" fillId="0" borderId="2" xfId="3" applyNumberFormat="1" applyFont="1" applyBorder="1" applyAlignment="1">
      <alignment horizontal="center" vertical="center" readingOrder="1"/>
    </xf>
    <xf numFmtId="38" fontId="55" fillId="0" borderId="6" xfId="3" applyFont="1" applyBorder="1" applyAlignment="1">
      <alignment horizontal="center" vertical="center"/>
    </xf>
    <xf numFmtId="38" fontId="55" fillId="0" borderId="10" xfId="3" applyFont="1" applyBorder="1" applyAlignment="1">
      <alignment horizontal="center" vertical="center"/>
    </xf>
    <xf numFmtId="38" fontId="55" fillId="0" borderId="8" xfId="3" applyFont="1" applyBorder="1" applyAlignment="1">
      <alignment horizontal="center" vertical="center"/>
    </xf>
    <xf numFmtId="40" fontId="55" fillId="4" borderId="2" xfId="3" applyNumberFormat="1" applyFont="1" applyFill="1" applyBorder="1" applyAlignment="1">
      <alignment horizontal="center" vertical="center" readingOrder="1"/>
    </xf>
    <xf numFmtId="2" fontId="25" fillId="0" borderId="2" xfId="2" applyNumberFormat="1" applyFont="1" applyBorder="1" applyAlignment="1">
      <alignment horizontal="center" vertical="center" readingOrder="1"/>
    </xf>
    <xf numFmtId="40" fontId="25" fillId="4" borderId="2" xfId="3" applyNumberFormat="1" applyFont="1" applyFill="1" applyBorder="1" applyAlignment="1">
      <alignment horizontal="center" vertical="center" wrapText="1" readingOrder="1"/>
    </xf>
    <xf numFmtId="38" fontId="55" fillId="0" borderId="6" xfId="3" applyFont="1" applyFill="1" applyBorder="1" applyAlignment="1">
      <alignment horizontal="center" vertical="center"/>
    </xf>
    <xf numFmtId="38" fontId="55" fillId="0" borderId="10" xfId="3" applyFont="1" applyFill="1" applyBorder="1" applyAlignment="1">
      <alignment horizontal="center" vertical="center"/>
    </xf>
    <xf numFmtId="38" fontId="55" fillId="0" borderId="8" xfId="3" applyFont="1" applyFill="1" applyBorder="1" applyAlignment="1">
      <alignment horizontal="center" vertical="center"/>
    </xf>
    <xf numFmtId="0" fontId="22" fillId="0" borderId="6" xfId="2" applyFont="1" applyBorder="1" applyAlignment="1">
      <alignment horizontal="center" vertical="center" readingOrder="1"/>
    </xf>
    <xf numFmtId="0" fontId="22" fillId="0" borderId="10" xfId="2" applyFont="1" applyBorder="1" applyAlignment="1">
      <alignment horizontal="center" vertical="center" readingOrder="1"/>
    </xf>
    <xf numFmtId="0" fontId="22" fillId="0" borderId="8" xfId="2" applyFont="1" applyBorder="1" applyAlignment="1">
      <alignment horizontal="center" vertical="center" readingOrder="1"/>
    </xf>
    <xf numFmtId="40" fontId="27" fillId="4" borderId="6" xfId="3" applyNumberFormat="1" applyFont="1" applyFill="1" applyBorder="1" applyAlignment="1">
      <alignment horizontal="center" vertical="center" wrapText="1" readingOrder="1"/>
    </xf>
    <xf numFmtId="40" fontId="27" fillId="4" borderId="10" xfId="3" applyNumberFormat="1" applyFont="1" applyFill="1" applyBorder="1" applyAlignment="1">
      <alignment horizontal="center" vertical="center" wrapText="1" readingOrder="1"/>
    </xf>
    <xf numFmtId="40" fontId="27" fillId="4" borderId="8" xfId="3" applyNumberFormat="1" applyFont="1" applyFill="1" applyBorder="1" applyAlignment="1">
      <alignment horizontal="center" vertical="center" wrapText="1" readingOrder="1"/>
    </xf>
    <xf numFmtId="2" fontId="25" fillId="0" borderId="6" xfId="2" applyNumberFormat="1" applyFont="1" applyBorder="1" applyAlignment="1">
      <alignment horizontal="center" vertical="center" readingOrder="1"/>
    </xf>
    <xf numFmtId="2" fontId="25" fillId="0" borderId="10" xfId="2" applyNumberFormat="1" applyFont="1" applyBorder="1" applyAlignment="1">
      <alignment horizontal="center" vertical="center" readingOrder="1"/>
    </xf>
    <xf numFmtId="2" fontId="25" fillId="0" borderId="8" xfId="2" applyNumberFormat="1" applyFont="1" applyBorder="1" applyAlignment="1">
      <alignment horizontal="center" vertical="center" readingOrder="1"/>
    </xf>
    <xf numFmtId="40" fontId="25" fillId="0" borderId="6" xfId="3" applyNumberFormat="1" applyFont="1" applyBorder="1" applyAlignment="1">
      <alignment horizontal="center" vertical="center" readingOrder="1"/>
    </xf>
    <xf numFmtId="40" fontId="25" fillId="0" borderId="10" xfId="3" applyNumberFormat="1" applyFont="1" applyBorder="1" applyAlignment="1">
      <alignment horizontal="center" vertical="center" readingOrder="1"/>
    </xf>
    <xf numFmtId="40" fontId="25" fillId="0" borderId="8" xfId="3" applyNumberFormat="1" applyFont="1" applyBorder="1" applyAlignment="1">
      <alignment horizontal="center" vertical="center" readingOrder="1"/>
    </xf>
    <xf numFmtId="40" fontId="25" fillId="8" borderId="2" xfId="3" applyNumberFormat="1" applyFont="1" applyFill="1" applyBorder="1" applyAlignment="1">
      <alignment horizontal="center" vertical="center" wrapText="1" readingOrder="1"/>
    </xf>
    <xf numFmtId="0" fontId="17" fillId="8" borderId="2" xfId="5" applyFont="1" applyFill="1" applyBorder="1" applyAlignment="1">
      <alignment horizontal="center" vertical="center" wrapText="1" readingOrder="1"/>
    </xf>
    <xf numFmtId="2" fontId="25" fillId="8" borderId="2" xfId="2" applyNumberFormat="1" applyFont="1" applyFill="1" applyBorder="1" applyAlignment="1">
      <alignment horizontal="center" vertical="center" wrapText="1" readingOrder="1"/>
    </xf>
    <xf numFmtId="17" fontId="22" fillId="7" borderId="7" xfId="2" applyNumberFormat="1" applyFont="1" applyFill="1" applyBorder="1" applyAlignment="1">
      <alignment horizontal="center" vertical="center" wrapText="1" readingOrder="1"/>
    </xf>
    <xf numFmtId="17" fontId="22" fillId="7" borderId="9" xfId="2" applyNumberFormat="1" applyFont="1" applyFill="1" applyBorder="1" applyAlignment="1">
      <alignment horizontal="center" vertical="center" wrapText="1" readingOrder="1"/>
    </xf>
    <xf numFmtId="0" fontId="17" fillId="0" borderId="6" xfId="0" applyFont="1" applyBorder="1" applyAlignment="1">
      <alignment horizontal="center" vertical="center"/>
    </xf>
    <xf numFmtId="0" fontId="17" fillId="0" borderId="10" xfId="0" applyFont="1" applyBorder="1" applyAlignment="1">
      <alignment horizontal="center" vertical="center"/>
    </xf>
    <xf numFmtId="0" fontId="17" fillId="0" borderId="8" xfId="0" applyFont="1" applyBorder="1" applyAlignment="1">
      <alignment horizontal="center" vertical="center"/>
    </xf>
    <xf numFmtId="0" fontId="80" fillId="0" borderId="0" xfId="0" applyNumberFormat="1" applyFont="1" applyFill="1" applyBorder="1" applyAlignment="1">
      <alignment horizontal="center"/>
    </xf>
    <xf numFmtId="0" fontId="83" fillId="4" borderId="0" xfId="0" applyFont="1" applyFill="1" applyAlignment="1">
      <alignment horizontal="left"/>
    </xf>
    <xf numFmtId="0" fontId="83" fillId="4" borderId="103" xfId="0" applyFont="1" applyFill="1" applyBorder="1" applyAlignment="1">
      <alignment horizontal="left"/>
    </xf>
    <xf numFmtId="0" fontId="86" fillId="0" borderId="0" xfId="0" applyFont="1" applyAlignment="1">
      <alignment horizontal="left" vertical="center" wrapText="1" indent="2"/>
    </xf>
    <xf numFmtId="0" fontId="93" fillId="4" borderId="0" xfId="0" applyFont="1" applyFill="1" applyAlignment="1">
      <alignment horizontal="left" vertical="center" wrapText="1"/>
    </xf>
    <xf numFmtId="0" fontId="83" fillId="0" borderId="0" xfId="0" applyFont="1" applyAlignment="1">
      <alignment horizontal="left"/>
    </xf>
    <xf numFmtId="0" fontId="83" fillId="0" borderId="103" xfId="0" applyFont="1" applyBorder="1" applyAlignment="1">
      <alignment horizontal="left"/>
    </xf>
    <xf numFmtId="0" fontId="83" fillId="5" borderId="0" xfId="0" applyFont="1" applyFill="1" applyAlignment="1">
      <alignment horizontal="left"/>
    </xf>
    <xf numFmtId="0" fontId="83" fillId="5" borderId="103" xfId="0" applyFont="1" applyFill="1" applyBorder="1" applyAlignment="1">
      <alignment horizontal="left"/>
    </xf>
    <xf numFmtId="0" fontId="83" fillId="4" borderId="0" xfId="0" applyFont="1" applyFill="1" applyAlignment="1">
      <alignment horizontal="left" vertical="top" wrapText="1"/>
    </xf>
    <xf numFmtId="0" fontId="83" fillId="4" borderId="103" xfId="0" applyFont="1" applyFill="1" applyBorder="1" applyAlignment="1">
      <alignment horizontal="left" vertical="top" wrapText="1"/>
    </xf>
    <xf numFmtId="0" fontId="83" fillId="4" borderId="0" xfId="0" quotePrefix="1" applyFont="1" applyFill="1" applyAlignment="1">
      <alignment horizontal="left" vertical="center" wrapText="1"/>
    </xf>
    <xf numFmtId="0" fontId="83" fillId="4" borderId="103" xfId="0" applyFont="1" applyFill="1" applyBorder="1" applyAlignment="1">
      <alignment horizontal="left" vertical="center" wrapText="1"/>
    </xf>
    <xf numFmtId="0" fontId="83" fillId="0" borderId="0" xfId="0" applyFont="1" applyFill="1" applyAlignment="1">
      <alignment horizontal="left"/>
    </xf>
    <xf numFmtId="0" fontId="83" fillId="0" borderId="103" xfId="0" applyFont="1" applyFill="1" applyBorder="1" applyAlignment="1">
      <alignment horizontal="left"/>
    </xf>
    <xf numFmtId="0" fontId="83" fillId="0" borderId="0" xfId="0" applyFont="1" applyAlignment="1">
      <alignment horizontal="left" vertical="center" wrapText="1"/>
    </xf>
    <xf numFmtId="0" fontId="83" fillId="0" borderId="103" xfId="0" applyFont="1" applyBorder="1" applyAlignment="1">
      <alignment horizontal="left" vertical="center" wrapText="1"/>
    </xf>
    <xf numFmtId="0" fontId="83" fillId="0" borderId="0" xfId="0" applyFont="1" applyFill="1" applyAlignment="1">
      <alignment vertical="center" wrapText="1"/>
    </xf>
    <xf numFmtId="0" fontId="83" fillId="0" borderId="103" xfId="0" applyFont="1" applyFill="1" applyBorder="1" applyAlignment="1">
      <alignment vertical="center" wrapText="1"/>
    </xf>
    <xf numFmtId="0" fontId="83" fillId="5" borderId="0" xfId="0" applyFont="1" applyFill="1" applyAlignment="1">
      <alignment horizontal="left" vertical="center" wrapText="1"/>
    </xf>
    <xf numFmtId="0" fontId="83" fillId="5" borderId="103" xfId="0" applyFont="1" applyFill="1" applyBorder="1" applyAlignment="1">
      <alignment horizontal="left" vertical="center" wrapText="1"/>
    </xf>
    <xf numFmtId="0" fontId="93" fillId="4" borderId="0" xfId="0" applyNumberFormat="1" applyFont="1" applyFill="1" applyBorder="1" applyAlignment="1">
      <alignment horizontal="left" vertical="center" wrapText="1"/>
    </xf>
    <xf numFmtId="0" fontId="46" fillId="24" borderId="0" xfId="0" applyFont="1" applyFill="1" applyAlignment="1">
      <alignment horizontal="left" vertical="center"/>
    </xf>
    <xf numFmtId="0" fontId="46" fillId="25" borderId="54" xfId="0" applyFont="1" applyFill="1" applyBorder="1" applyAlignment="1">
      <alignment horizontal="center" vertical="center"/>
    </xf>
    <xf numFmtId="0" fontId="46" fillId="0" borderId="6"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8" xfId="0" applyFont="1" applyBorder="1" applyAlignment="1">
      <alignment horizontal="center" vertical="center" wrapText="1"/>
    </xf>
    <xf numFmtId="40" fontId="62" fillId="0" borderId="2" xfId="0" applyNumberFormat="1" applyFont="1" applyFill="1" applyBorder="1" applyAlignment="1">
      <alignment horizontal="center" vertical="center" wrapText="1" readingOrder="1"/>
    </xf>
    <xf numFmtId="0" fontId="66" fillId="0" borderId="27" xfId="0" applyNumberFormat="1" applyFont="1" applyFill="1" applyBorder="1" applyAlignment="1">
      <alignment horizontal="center" vertical="center" wrapText="1" readingOrder="1"/>
    </xf>
    <xf numFmtId="0" fontId="66" fillId="0" borderId="45" xfId="0" applyNumberFormat="1" applyFont="1" applyFill="1" applyBorder="1" applyAlignment="1">
      <alignment horizontal="center" vertical="center" wrapText="1" readingOrder="1"/>
    </xf>
    <xf numFmtId="1" fontId="62" fillId="0" borderId="6" xfId="1" applyNumberFormat="1" applyFont="1" applyFill="1" applyBorder="1" applyAlignment="1">
      <alignment horizontal="center" vertical="center" wrapText="1" readingOrder="1"/>
    </xf>
    <xf numFmtId="1" fontId="62" fillId="0" borderId="10" xfId="1" applyNumberFormat="1" applyFont="1" applyFill="1" applyBorder="1" applyAlignment="1">
      <alignment horizontal="center" vertical="center" wrapText="1" readingOrder="1"/>
    </xf>
    <xf numFmtId="1" fontId="62" fillId="0" borderId="8" xfId="1" applyNumberFormat="1" applyFont="1" applyFill="1" applyBorder="1" applyAlignment="1">
      <alignment horizontal="center" vertical="center" wrapText="1" readingOrder="1"/>
    </xf>
    <xf numFmtId="40" fontId="62" fillId="0" borderId="6" xfId="0" applyNumberFormat="1" applyFont="1" applyFill="1" applyBorder="1" applyAlignment="1">
      <alignment horizontal="center" vertical="center" wrapText="1" readingOrder="1"/>
    </xf>
    <xf numFmtId="40" fontId="62" fillId="0" borderId="10" xfId="0" applyNumberFormat="1" applyFont="1" applyFill="1" applyBorder="1" applyAlignment="1">
      <alignment horizontal="center" vertical="center" wrapText="1" readingOrder="1"/>
    </xf>
    <xf numFmtId="40" fontId="62" fillId="0" borderId="8" xfId="0" applyNumberFormat="1" applyFont="1" applyFill="1" applyBorder="1" applyAlignment="1">
      <alignment horizontal="center" vertical="center" wrapText="1" readingOrder="1"/>
    </xf>
    <xf numFmtId="1" fontId="62" fillId="0" borderId="39" xfId="1" applyNumberFormat="1" applyFont="1" applyFill="1" applyBorder="1" applyAlignment="1">
      <alignment horizontal="center" vertical="center" wrapText="1" readingOrder="1"/>
    </xf>
    <xf numFmtId="1" fontId="62" fillId="0" borderId="20" xfId="1" applyNumberFormat="1" applyFont="1" applyFill="1" applyBorder="1" applyAlignment="1">
      <alignment horizontal="center" vertical="center" wrapText="1" readingOrder="1"/>
    </xf>
    <xf numFmtId="40" fontId="66" fillId="0" borderId="27" xfId="0" applyNumberFormat="1" applyFont="1" applyFill="1" applyBorder="1" applyAlignment="1">
      <alignment horizontal="center" vertical="center" wrapText="1" readingOrder="1"/>
    </xf>
    <xf numFmtId="40" fontId="66" fillId="0" borderId="45" xfId="0" applyNumberFormat="1" applyFont="1" applyFill="1" applyBorder="1" applyAlignment="1">
      <alignment horizontal="center" vertical="center" wrapText="1" readingOrder="1"/>
    </xf>
    <xf numFmtId="1" fontId="62" fillId="0" borderId="40" xfId="1" applyNumberFormat="1" applyFont="1" applyFill="1" applyBorder="1" applyAlignment="1">
      <alignment horizontal="center" vertical="center" wrapText="1" readingOrder="1"/>
    </xf>
    <xf numFmtId="38" fontId="66" fillId="0" borderId="6" xfId="0" applyNumberFormat="1" applyFont="1" applyFill="1" applyBorder="1" applyAlignment="1">
      <alignment horizontal="center" vertical="center" wrapText="1" readingOrder="1"/>
    </xf>
    <xf numFmtId="38" fontId="66" fillId="0" borderId="10" xfId="0" applyNumberFormat="1" applyFont="1" applyFill="1" applyBorder="1" applyAlignment="1">
      <alignment horizontal="center" vertical="center" wrapText="1" readingOrder="1"/>
    </xf>
    <xf numFmtId="40" fontId="66" fillId="0" borderId="2" xfId="0" applyNumberFormat="1" applyFont="1" applyFill="1" applyBorder="1" applyAlignment="1">
      <alignment horizontal="center" vertical="center" wrapText="1" readingOrder="1"/>
    </xf>
    <xf numFmtId="0" fontId="66" fillId="0" borderId="2" xfId="0" applyNumberFormat="1" applyFont="1" applyFill="1" applyBorder="1" applyAlignment="1">
      <alignment horizontal="center" vertical="center" wrapText="1" readingOrder="1"/>
    </xf>
    <xf numFmtId="0" fontId="63" fillId="17" borderId="2" xfId="0" applyNumberFormat="1" applyFont="1" applyFill="1" applyBorder="1" applyAlignment="1">
      <alignment horizontal="center" vertical="center" wrapText="1" readingOrder="1"/>
    </xf>
    <xf numFmtId="38" fontId="66" fillId="0" borderId="8" xfId="0" applyNumberFormat="1" applyFont="1" applyFill="1" applyBorder="1" applyAlignment="1">
      <alignment horizontal="center" vertical="center" wrapText="1" readingOrder="1"/>
    </xf>
    <xf numFmtId="38" fontId="78" fillId="0" borderId="6" xfId="0" applyNumberFormat="1" applyFont="1" applyFill="1" applyBorder="1" applyAlignment="1">
      <alignment horizontal="center" vertical="center" wrapText="1" readingOrder="1"/>
    </xf>
    <xf numFmtId="38" fontId="78" fillId="0" borderId="10" xfId="0" applyNumberFormat="1" applyFont="1" applyFill="1" applyBorder="1" applyAlignment="1">
      <alignment horizontal="center" vertical="center" wrapText="1" readingOrder="1"/>
    </xf>
    <xf numFmtId="38" fontId="78" fillId="0" borderId="8" xfId="0" applyNumberFormat="1" applyFont="1" applyFill="1" applyBorder="1" applyAlignment="1">
      <alignment horizontal="center" vertical="center" wrapText="1" readingOrder="1"/>
    </xf>
    <xf numFmtId="0" fontId="110" fillId="4" borderId="44" xfId="0" applyFont="1" applyFill="1" applyBorder="1" applyAlignment="1">
      <alignment horizontal="center" vertical="center" wrapText="1" readingOrder="1"/>
    </xf>
    <xf numFmtId="0" fontId="110" fillId="4" borderId="152" xfId="0" applyFont="1" applyFill="1" applyBorder="1" applyAlignment="1">
      <alignment horizontal="center" vertical="center" wrapText="1" readingOrder="1"/>
    </xf>
    <xf numFmtId="0" fontId="110" fillId="27" borderId="108" xfId="0" applyFont="1" applyFill="1" applyBorder="1" applyAlignment="1">
      <alignment horizontal="center" vertical="center" wrapText="1" readingOrder="1"/>
    </xf>
    <xf numFmtId="0" fontId="110" fillId="27" borderId="109" xfId="0" applyFont="1" applyFill="1" applyBorder="1" applyAlignment="1">
      <alignment horizontal="center" vertical="center" wrapText="1" readingOrder="1"/>
    </xf>
    <xf numFmtId="0" fontId="109" fillId="26" borderId="130" xfId="0" applyFont="1" applyFill="1" applyBorder="1" applyAlignment="1">
      <alignment horizontal="center" vertical="center" wrapText="1" readingOrder="1"/>
    </xf>
    <xf numFmtId="0" fontId="109" fillId="26" borderId="131" xfId="0" applyFont="1" applyFill="1" applyBorder="1" applyAlignment="1">
      <alignment horizontal="center" vertical="center" wrapText="1" readingOrder="1"/>
    </xf>
    <xf numFmtId="4" fontId="70" fillId="4" borderId="149" xfId="0" applyNumberFormat="1" applyFont="1" applyFill="1" applyBorder="1" applyAlignment="1">
      <alignment horizontal="center" vertical="center" wrapText="1" readingOrder="1"/>
    </xf>
    <xf numFmtId="4" fontId="70" fillId="4" borderId="150" xfId="0" applyNumberFormat="1" applyFont="1" applyFill="1" applyBorder="1" applyAlignment="1">
      <alignment horizontal="center" vertical="center" wrapText="1" readingOrder="1"/>
    </xf>
    <xf numFmtId="4" fontId="70" fillId="4" borderId="151" xfId="0" applyNumberFormat="1" applyFont="1" applyFill="1" applyBorder="1" applyAlignment="1">
      <alignment horizontal="center" vertical="center" wrapText="1" readingOrder="1"/>
    </xf>
    <xf numFmtId="0" fontId="110" fillId="27" borderId="146" xfId="0" applyFont="1" applyFill="1" applyBorder="1" applyAlignment="1">
      <alignment horizontal="center" vertical="center" wrapText="1" readingOrder="1"/>
    </xf>
    <xf numFmtId="0" fontId="67" fillId="26" borderId="134" xfId="0" applyNumberFormat="1" applyFont="1" applyFill="1" applyBorder="1" applyAlignment="1">
      <alignment horizontal="center" vertical="center" wrapText="1" readingOrder="1"/>
    </xf>
    <xf numFmtId="0" fontId="67" fillId="26" borderId="136" xfId="0" applyNumberFormat="1" applyFont="1" applyFill="1" applyBorder="1" applyAlignment="1">
      <alignment horizontal="center" vertical="center" wrapText="1" readingOrder="1"/>
    </xf>
    <xf numFmtId="0" fontId="67" fillId="26" borderId="135" xfId="0" applyNumberFormat="1" applyFont="1" applyFill="1" applyBorder="1" applyAlignment="1">
      <alignment horizontal="center" vertical="center" wrapText="1" readingOrder="1"/>
    </xf>
    <xf numFmtId="0" fontId="67" fillId="26" borderId="132" xfId="0" applyNumberFormat="1" applyFont="1" applyFill="1" applyBorder="1" applyAlignment="1">
      <alignment horizontal="center" vertical="center" wrapText="1" readingOrder="1"/>
    </xf>
    <xf numFmtId="0" fontId="67" fillId="26" borderId="133" xfId="0" applyNumberFormat="1" applyFont="1" applyFill="1" applyBorder="1" applyAlignment="1">
      <alignment horizontal="center" vertical="center" wrapText="1" readingOrder="1"/>
    </xf>
    <xf numFmtId="0" fontId="104" fillId="27" borderId="108" xfId="0" applyNumberFormat="1" applyFont="1" applyFill="1" applyBorder="1" applyAlignment="1">
      <alignment horizontal="center" vertical="center" wrapText="1" readingOrder="1"/>
    </xf>
    <xf numFmtId="0" fontId="104" fillId="27" borderId="109" xfId="0" applyNumberFormat="1" applyFont="1" applyFill="1" applyBorder="1" applyAlignment="1">
      <alignment horizontal="center" vertical="center" wrapText="1" readingOrder="1"/>
    </xf>
    <xf numFmtId="0" fontId="104" fillId="27" borderId="140" xfId="0" applyNumberFormat="1" applyFont="1" applyFill="1" applyBorder="1" applyAlignment="1">
      <alignment horizontal="center" vertical="center" wrapText="1" readingOrder="1"/>
    </xf>
    <xf numFmtId="0" fontId="104" fillId="20" borderId="110" xfId="0" applyNumberFormat="1" applyFont="1" applyFill="1" applyBorder="1" applyAlignment="1">
      <alignment horizontal="center" vertical="center" wrapText="1" readingOrder="1"/>
    </xf>
    <xf numFmtId="0" fontId="104" fillId="20" borderId="113" xfId="0" applyNumberFormat="1" applyFont="1" applyFill="1" applyBorder="1" applyAlignment="1">
      <alignment horizontal="center" vertical="center" wrapText="1" readingOrder="1"/>
    </xf>
    <xf numFmtId="0" fontId="105" fillId="0" borderId="113" xfId="0" applyNumberFormat="1" applyFont="1" applyFill="1" applyBorder="1" applyAlignment="1">
      <alignment horizontal="center" vertical="center" wrapText="1" readingOrder="1"/>
    </xf>
    <xf numFmtId="40" fontId="105" fillId="0" borderId="113" xfId="0" applyNumberFormat="1" applyFont="1" applyFill="1" applyBorder="1" applyAlignment="1">
      <alignment horizontal="center" vertical="center" wrapText="1" readingOrder="1"/>
    </xf>
    <xf numFmtId="0" fontId="105" fillId="0" borderId="142" xfId="0" applyNumberFormat="1" applyFont="1" applyFill="1" applyBorder="1" applyAlignment="1">
      <alignment horizontal="center" vertical="center" wrapText="1" readingOrder="1"/>
    </xf>
    <xf numFmtId="0" fontId="104" fillId="4" borderId="144" xfId="0" applyNumberFormat="1" applyFont="1" applyFill="1" applyBorder="1" applyAlignment="1">
      <alignment horizontal="center" vertical="center" wrapText="1" readingOrder="1"/>
    </xf>
    <xf numFmtId="0" fontId="104" fillId="4" borderId="145" xfId="0" applyNumberFormat="1" applyFont="1" applyFill="1" applyBorder="1" applyAlignment="1">
      <alignment horizontal="center" vertical="center" wrapText="1" readingOrder="1"/>
    </xf>
    <xf numFmtId="0" fontId="104" fillId="4" borderId="139" xfId="0" applyNumberFormat="1" applyFont="1" applyFill="1" applyBorder="1" applyAlignment="1">
      <alignment horizontal="center" vertical="center" wrapText="1" readingOrder="1"/>
    </xf>
    <xf numFmtId="0" fontId="102" fillId="26" borderId="130" xfId="0" applyNumberFormat="1" applyFont="1" applyFill="1" applyBorder="1" applyAlignment="1">
      <alignment horizontal="center" vertical="center" wrapText="1" readingOrder="1"/>
    </xf>
    <xf numFmtId="0" fontId="102" fillId="26" borderId="131" xfId="0" applyNumberFormat="1" applyFont="1" applyFill="1" applyBorder="1" applyAlignment="1">
      <alignment horizontal="center" vertical="center" wrapText="1" readingOrder="1"/>
    </xf>
    <xf numFmtId="0" fontId="102" fillId="26" borderId="132" xfId="0" applyNumberFormat="1" applyFont="1" applyFill="1" applyBorder="1" applyAlignment="1">
      <alignment horizontal="center" vertical="center" wrapText="1" readingOrder="1"/>
    </xf>
    <xf numFmtId="0" fontId="102" fillId="26" borderId="133" xfId="0" applyNumberFormat="1" applyFont="1" applyFill="1" applyBorder="1" applyAlignment="1">
      <alignment horizontal="center" vertical="center" wrapText="1" readingOrder="1"/>
    </xf>
    <xf numFmtId="0" fontId="102" fillId="26" borderId="134" xfId="0" applyNumberFormat="1" applyFont="1" applyFill="1" applyBorder="1" applyAlignment="1">
      <alignment horizontal="center" vertical="center" wrapText="1" readingOrder="1"/>
    </xf>
    <xf numFmtId="0" fontId="102" fillId="26" borderId="135" xfId="0" applyNumberFormat="1" applyFont="1" applyFill="1" applyBorder="1" applyAlignment="1">
      <alignment horizontal="center" vertical="center" wrapText="1" readingOrder="1"/>
    </xf>
    <xf numFmtId="0" fontId="102" fillId="26" borderId="136" xfId="0" applyNumberFormat="1" applyFont="1" applyFill="1" applyBorder="1" applyAlignment="1">
      <alignment horizontal="center" vertical="center" wrapText="1" readingOrder="1"/>
    </xf>
    <xf numFmtId="0" fontId="102" fillId="26" borderId="0" xfId="0" applyNumberFormat="1" applyFont="1" applyFill="1" applyBorder="1" applyAlignment="1">
      <alignment horizontal="center" vertical="center" wrapText="1" readingOrder="1"/>
    </xf>
    <xf numFmtId="0" fontId="102" fillId="26" borderId="87" xfId="0" applyNumberFormat="1" applyFont="1" applyFill="1" applyBorder="1" applyAlignment="1">
      <alignment horizontal="center" vertical="center" wrapText="1" readingOrder="1"/>
    </xf>
    <xf numFmtId="0" fontId="103" fillId="0" borderId="111" xfId="0" applyNumberFormat="1" applyFont="1" applyFill="1" applyBorder="1" applyAlignment="1">
      <alignment horizontal="center" vertical="center" wrapText="1"/>
    </xf>
    <xf numFmtId="0" fontId="103" fillId="0" borderId="112" xfId="0" applyNumberFormat="1" applyFont="1" applyFill="1" applyBorder="1" applyAlignment="1">
      <alignment horizontal="center" vertical="center" wrapText="1"/>
    </xf>
    <xf numFmtId="0" fontId="105" fillId="0" borderId="110" xfId="0" applyNumberFormat="1" applyFont="1" applyFill="1" applyBorder="1" applyAlignment="1">
      <alignment horizontal="center" vertical="center" wrapText="1" readingOrder="1"/>
    </xf>
    <xf numFmtId="40" fontId="105" fillId="0" borderId="110" xfId="0" applyNumberFormat="1" applyFont="1" applyFill="1" applyBorder="1" applyAlignment="1">
      <alignment horizontal="center" vertical="center" wrapText="1" readingOrder="1"/>
    </xf>
    <xf numFmtId="0" fontId="105" fillId="0" borderId="113" xfId="0" applyNumberFormat="1" applyFont="1" applyFill="1" applyBorder="1" applyAlignment="1">
      <alignment horizontal="left" vertical="center" wrapText="1" readingOrder="1"/>
    </xf>
    <xf numFmtId="0" fontId="104" fillId="20" borderId="144" xfId="0" applyNumberFormat="1" applyFont="1" applyFill="1" applyBorder="1" applyAlignment="1">
      <alignment horizontal="center" vertical="center" wrapText="1" readingOrder="1"/>
    </xf>
    <xf numFmtId="0" fontId="104" fillId="20" borderId="139" xfId="0" applyNumberFormat="1" applyFont="1" applyFill="1" applyBorder="1" applyAlignment="1">
      <alignment horizontal="center" vertical="center" wrapText="1" readingOrder="1"/>
    </xf>
    <xf numFmtId="0" fontId="104" fillId="20" borderId="142" xfId="0" applyNumberFormat="1" applyFont="1" applyFill="1" applyBorder="1" applyAlignment="1">
      <alignment horizontal="center" vertical="center" wrapText="1" readingOrder="1"/>
    </xf>
    <xf numFmtId="0" fontId="105" fillId="0" borderId="110" xfId="0" applyNumberFormat="1" applyFont="1" applyFill="1" applyBorder="1" applyAlignment="1">
      <alignment horizontal="left" vertical="center" wrapText="1" readingOrder="1"/>
    </xf>
    <xf numFmtId="0" fontId="105" fillId="0" borderId="142" xfId="0" applyNumberFormat="1" applyFont="1" applyFill="1" applyBorder="1" applyAlignment="1">
      <alignment horizontal="left" vertical="center" wrapText="1" readingOrder="1"/>
    </xf>
    <xf numFmtId="0" fontId="71" fillId="20" borderId="0" xfId="0" applyNumberFormat="1" applyFont="1" applyFill="1" applyBorder="1" applyAlignment="1">
      <alignment horizontal="center" vertical="center" wrapText="1" readingOrder="1"/>
    </xf>
    <xf numFmtId="40" fontId="71" fillId="20" borderId="0" xfId="0" applyNumberFormat="1" applyFont="1" applyFill="1" applyBorder="1" applyAlignment="1">
      <alignment horizontal="center" vertical="center" wrapText="1" readingOrder="1"/>
    </xf>
    <xf numFmtId="0" fontId="71" fillId="20" borderId="0" xfId="0" applyNumberFormat="1" applyFont="1" applyFill="1" applyBorder="1" applyAlignment="1">
      <alignment horizontal="left" vertical="center" wrapText="1" readingOrder="1"/>
    </xf>
    <xf numFmtId="0" fontId="72" fillId="20" borderId="0" xfId="0" applyNumberFormat="1" applyFont="1" applyFill="1" applyBorder="1" applyAlignment="1">
      <alignment horizontal="center" vertical="center" wrapText="1" readingOrder="1"/>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0" xfId="0" applyBorder="1" applyAlignment="1">
      <alignment horizontal="center" vertical="center"/>
    </xf>
    <xf numFmtId="0" fontId="0" fillId="0" borderId="14" xfId="0" applyBorder="1" applyAlignment="1">
      <alignment horizontal="center" vertical="center"/>
    </xf>
    <xf numFmtId="0" fontId="70" fillId="19" borderId="0" xfId="0" applyNumberFormat="1" applyFont="1" applyFill="1" applyBorder="1" applyAlignment="1">
      <alignment horizontal="center" vertical="center" wrapText="1" readingOrder="1"/>
    </xf>
    <xf numFmtId="0" fontId="70" fillId="0" borderId="87" xfId="0" applyNumberFormat="1" applyFont="1" applyFill="1" applyBorder="1" applyAlignment="1">
      <alignment horizontal="center" vertical="center" wrapText="1" readingOrder="1"/>
    </xf>
    <xf numFmtId="0" fontId="70" fillId="0" borderId="97" xfId="0" applyNumberFormat="1" applyFont="1" applyFill="1" applyBorder="1" applyAlignment="1">
      <alignment horizontal="center" vertical="center" wrapText="1" readingOrder="1"/>
    </xf>
    <xf numFmtId="0" fontId="70" fillId="0" borderId="52" xfId="0" applyNumberFormat="1" applyFont="1" applyFill="1" applyBorder="1" applyAlignment="1">
      <alignment horizontal="center" vertical="center" wrapText="1" readingOrder="1"/>
    </xf>
    <xf numFmtId="0" fontId="46" fillId="24" borderId="0" xfId="0" applyNumberFormat="1" applyFont="1" applyFill="1" applyBorder="1" applyAlignment="1">
      <alignment horizontal="left" vertical="center"/>
    </xf>
    <xf numFmtId="0" fontId="46" fillId="25" borderId="54" xfId="0" applyNumberFormat="1" applyFont="1" applyFill="1" applyBorder="1" applyAlignment="1">
      <alignment horizontal="center" vertical="center"/>
    </xf>
    <xf numFmtId="0" fontId="46" fillId="0" borderId="6" xfId="0" applyNumberFormat="1" applyFont="1" applyFill="1" applyBorder="1" applyAlignment="1">
      <alignment horizontal="center" vertical="center" wrapText="1"/>
    </xf>
    <xf numFmtId="0" fontId="46" fillId="0" borderId="10" xfId="0" applyNumberFormat="1" applyFont="1" applyFill="1" applyBorder="1" applyAlignment="1">
      <alignment horizontal="center" vertical="center" wrapText="1"/>
    </xf>
    <xf numFmtId="0" fontId="46" fillId="0" borderId="8" xfId="0" applyNumberFormat="1" applyFont="1" applyFill="1" applyBorder="1" applyAlignment="1">
      <alignment horizontal="center" vertical="center" wrapText="1"/>
    </xf>
    <xf numFmtId="38" fontId="16" fillId="8" borderId="6" xfId="1" applyNumberFormat="1" applyFont="1" applyFill="1" applyBorder="1" applyAlignment="1">
      <alignment horizontal="center" vertical="center"/>
    </xf>
    <xf numFmtId="38" fontId="16" fillId="8" borderId="8" xfId="1" applyNumberFormat="1" applyFont="1" applyFill="1" applyBorder="1" applyAlignment="1">
      <alignment horizontal="center" vertical="center"/>
    </xf>
    <xf numFmtId="0" fontId="16" fillId="8" borderId="2" xfId="0" applyNumberFormat="1" applyFont="1" applyFill="1" applyBorder="1" applyAlignment="1">
      <alignment horizontal="center" vertical="center"/>
    </xf>
    <xf numFmtId="38" fontId="39" fillId="8" borderId="2" xfId="1" applyNumberFormat="1" applyFont="1" applyFill="1" applyBorder="1" applyAlignment="1">
      <alignment horizontal="center" vertical="center"/>
    </xf>
    <xf numFmtId="0" fontId="39" fillId="8" borderId="2" xfId="0" applyNumberFormat="1" applyFont="1" applyFill="1" applyBorder="1" applyAlignment="1">
      <alignment horizontal="center" vertical="center"/>
    </xf>
    <xf numFmtId="38" fontId="39" fillId="8" borderId="2" xfId="0" applyNumberFormat="1" applyFont="1" applyFill="1" applyBorder="1" applyAlignment="1">
      <alignment horizontal="center" vertical="center"/>
    </xf>
    <xf numFmtId="0" fontId="39" fillId="0" borderId="2" xfId="0" applyNumberFormat="1" applyFont="1" applyFill="1" applyBorder="1" applyAlignment="1">
      <alignment horizontal="center" vertical="center"/>
    </xf>
    <xf numFmtId="0" fontId="39" fillId="8" borderId="2" xfId="0" applyNumberFormat="1" applyFont="1" applyFill="1" applyBorder="1" applyAlignment="1">
      <alignment horizontal="center" vertical="center" wrapText="1"/>
    </xf>
    <xf numFmtId="38" fontId="39" fillId="8" borderId="2" xfId="1" applyNumberFormat="1" applyFont="1" applyFill="1" applyBorder="1" applyAlignment="1">
      <alignment horizontal="center" vertical="center" wrapText="1"/>
    </xf>
    <xf numFmtId="38" fontId="16" fillId="8" borderId="6" xfId="0" applyNumberFormat="1" applyFont="1" applyFill="1" applyBorder="1" applyAlignment="1">
      <alignment horizontal="center" vertical="center"/>
    </xf>
    <xf numFmtId="38" fontId="16" fillId="8" borderId="8" xfId="0" applyNumberFormat="1" applyFont="1" applyFill="1" applyBorder="1" applyAlignment="1">
      <alignment horizontal="center" vertical="center"/>
    </xf>
    <xf numFmtId="38" fontId="8" fillId="8" borderId="27" xfId="0" applyNumberFormat="1" applyFont="1" applyFill="1" applyBorder="1" applyAlignment="1">
      <alignment horizontal="center" vertical="center"/>
    </xf>
    <xf numFmtId="38" fontId="8" fillId="8" borderId="44" xfId="0" applyNumberFormat="1" applyFont="1" applyFill="1" applyBorder="1" applyAlignment="1">
      <alignment horizontal="center" vertical="center"/>
    </xf>
    <xf numFmtId="38" fontId="8" fillId="8" borderId="45" xfId="0" applyNumberFormat="1" applyFont="1" applyFill="1" applyBorder="1" applyAlignment="1">
      <alignment horizontal="center" vertical="center"/>
    </xf>
    <xf numFmtId="0" fontId="39" fillId="0" borderId="6" xfId="0" applyNumberFormat="1" applyFont="1" applyFill="1" applyBorder="1" applyAlignment="1">
      <alignment horizontal="center" vertical="center"/>
    </xf>
    <xf numFmtId="0" fontId="39" fillId="0" borderId="8" xfId="0" applyNumberFormat="1" applyFont="1" applyFill="1" applyBorder="1" applyAlignment="1">
      <alignment horizontal="center" vertical="center"/>
    </xf>
    <xf numFmtId="38" fontId="8" fillId="8" borderId="6" xfId="0" applyNumberFormat="1" applyFont="1" applyFill="1" applyBorder="1" applyAlignment="1">
      <alignment horizontal="center" vertical="center"/>
    </xf>
    <xf numFmtId="38" fontId="8" fillId="8" borderId="8" xfId="0" applyNumberFormat="1" applyFont="1" applyFill="1" applyBorder="1" applyAlignment="1">
      <alignment horizontal="center" vertical="center"/>
    </xf>
    <xf numFmtId="38" fontId="39" fillId="8" borderId="6" xfId="1" applyNumberFormat="1" applyFont="1" applyFill="1" applyBorder="1" applyAlignment="1">
      <alignment horizontal="center" vertical="center"/>
    </xf>
    <xf numFmtId="38" fontId="39" fillId="8" borderId="8" xfId="1" applyNumberFormat="1" applyFont="1" applyFill="1" applyBorder="1" applyAlignment="1">
      <alignment horizontal="center" vertical="center"/>
    </xf>
    <xf numFmtId="38" fontId="39" fillId="0" borderId="27" xfId="0" applyNumberFormat="1" applyFont="1" applyFill="1" applyBorder="1" applyAlignment="1">
      <alignment horizontal="center" vertical="center"/>
    </xf>
    <xf numFmtId="38" fontId="39" fillId="0" borderId="45" xfId="0" applyNumberFormat="1" applyFont="1" applyFill="1" applyBorder="1" applyAlignment="1">
      <alignment horizontal="center" vertical="center"/>
    </xf>
    <xf numFmtId="38" fontId="39" fillId="0" borderId="2" xfId="0" applyNumberFormat="1" applyFont="1" applyFill="1" applyBorder="1" applyAlignment="1">
      <alignment horizontal="left" vertical="center"/>
    </xf>
    <xf numFmtId="38" fontId="16" fillId="0" borderId="2" xfId="0" applyNumberFormat="1" applyFont="1" applyFill="1" applyBorder="1" applyAlignment="1">
      <alignment horizontal="center" vertical="center"/>
    </xf>
    <xf numFmtId="0" fontId="16" fillId="0" borderId="6" xfId="0" applyNumberFormat="1" applyFont="1" applyFill="1" applyBorder="1" applyAlignment="1">
      <alignment horizontal="center" vertical="center"/>
    </xf>
    <xf numFmtId="0" fontId="16" fillId="0" borderId="8" xfId="0" applyNumberFormat="1" applyFont="1" applyFill="1" applyBorder="1" applyAlignment="1">
      <alignment horizontal="center" vertical="center"/>
    </xf>
    <xf numFmtId="40" fontId="16" fillId="0" borderId="6" xfId="0" applyNumberFormat="1" applyFont="1" applyFill="1" applyBorder="1" applyAlignment="1">
      <alignment horizontal="center" vertical="center"/>
    </xf>
    <xf numFmtId="40" fontId="16" fillId="0" borderId="8" xfId="0" applyNumberFormat="1" applyFont="1" applyFill="1" applyBorder="1" applyAlignment="1">
      <alignment horizontal="center" vertical="center"/>
    </xf>
    <xf numFmtId="0" fontId="37" fillId="0" borderId="26" xfId="5" applyFont="1" applyBorder="1" applyAlignment="1">
      <alignment horizontal="center" vertical="center"/>
    </xf>
    <xf numFmtId="0" fontId="17" fillId="0" borderId="29" xfId="5" applyFont="1" applyBorder="1" applyAlignment="1">
      <alignment horizontal="center" vertical="center"/>
    </xf>
    <xf numFmtId="0" fontId="17" fillId="0" borderId="30" xfId="5" applyFont="1" applyBorder="1" applyAlignment="1">
      <alignment horizontal="center" vertical="center"/>
    </xf>
    <xf numFmtId="0" fontId="17" fillId="0" borderId="35" xfId="5" applyFont="1" applyBorder="1" applyAlignment="1">
      <alignment horizontal="center" vertical="center"/>
    </xf>
    <xf numFmtId="0" fontId="17" fillId="0" borderId="10" xfId="5" applyFont="1" applyBorder="1" applyAlignment="1">
      <alignment horizontal="center" vertical="center"/>
    </xf>
    <xf numFmtId="0" fontId="17" fillId="0" borderId="31" xfId="5" applyFont="1" applyBorder="1" applyAlignment="1">
      <alignment horizontal="center" vertical="center"/>
    </xf>
    <xf numFmtId="0" fontId="17" fillId="0" borderId="26" xfId="5" applyFont="1" applyBorder="1" applyAlignment="1">
      <alignment horizontal="center" vertical="center"/>
    </xf>
    <xf numFmtId="0" fontId="37" fillId="0" borderId="35" xfId="5" applyFont="1" applyBorder="1" applyAlignment="1">
      <alignment horizontal="center" vertical="center"/>
    </xf>
    <xf numFmtId="0" fontId="34" fillId="0" borderId="26" xfId="5" applyFont="1" applyBorder="1" applyAlignment="1">
      <alignment horizontal="center" vertical="center"/>
    </xf>
    <xf numFmtId="0" fontId="34" fillId="0" borderId="35" xfId="5" applyFont="1" applyBorder="1" applyAlignment="1">
      <alignment horizontal="center" vertical="center"/>
    </xf>
    <xf numFmtId="0" fontId="17" fillId="0" borderId="21" xfId="7" applyFont="1" applyBorder="1" applyAlignment="1">
      <alignment horizontal="center" vertical="center"/>
    </xf>
    <xf numFmtId="0" fontId="17" fillId="0" borderId="22" xfId="7" applyFont="1" applyBorder="1" applyAlignment="1">
      <alignment horizontal="center" vertical="center"/>
    </xf>
    <xf numFmtId="0" fontId="17" fillId="0" borderId="23" xfId="7" applyFont="1" applyBorder="1" applyAlignment="1">
      <alignment horizontal="center" vertical="center"/>
    </xf>
    <xf numFmtId="0" fontId="17" fillId="0" borderId="6" xfId="5" applyFont="1" applyBorder="1" applyAlignment="1">
      <alignment horizontal="center" vertical="center"/>
    </xf>
    <xf numFmtId="0" fontId="17" fillId="0" borderId="55" xfId="7" applyFont="1" applyBorder="1" applyAlignment="1">
      <alignment horizontal="center" vertical="center"/>
    </xf>
    <xf numFmtId="0" fontId="17" fillId="0" borderId="63" xfId="7" applyFont="1" applyBorder="1" applyAlignment="1">
      <alignment horizontal="center" vertical="center"/>
    </xf>
    <xf numFmtId="0" fontId="17" fillId="0" borderId="56" xfId="7" applyFont="1" applyBorder="1" applyAlignment="1">
      <alignment horizontal="center" vertical="center"/>
    </xf>
    <xf numFmtId="0" fontId="17" fillId="0" borderId="59" xfId="5" applyFont="1" applyBorder="1" applyAlignment="1">
      <alignment horizontal="center" vertical="center"/>
    </xf>
    <xf numFmtId="0" fontId="17" fillId="0" borderId="60" xfId="5" applyFont="1" applyBorder="1" applyAlignment="1">
      <alignment horizontal="center" vertical="center"/>
    </xf>
    <xf numFmtId="0" fontId="17" fillId="0" borderId="61" xfId="5" applyFont="1" applyBorder="1" applyAlignment="1">
      <alignment horizontal="center" vertical="center"/>
    </xf>
    <xf numFmtId="0" fontId="37" fillId="0" borderId="36" xfId="5" applyFont="1" applyBorder="1" applyAlignment="1">
      <alignment horizontal="center" vertical="center" wrapText="1"/>
    </xf>
    <xf numFmtId="0" fontId="17" fillId="0" borderId="14" xfId="5" applyFont="1" applyBorder="1" applyAlignment="1">
      <alignment horizontal="center" vertical="center" wrapText="1"/>
    </xf>
    <xf numFmtId="0" fontId="17" fillId="0" borderId="37" xfId="5" applyFont="1" applyBorder="1" applyAlignment="1">
      <alignment horizontal="center" vertical="center" wrapText="1"/>
    </xf>
    <xf numFmtId="0" fontId="17" fillId="0" borderId="62" xfId="5" applyFont="1" applyBorder="1" applyAlignment="1">
      <alignment horizontal="center" vertical="center"/>
    </xf>
    <xf numFmtId="0" fontId="17" fillId="0" borderId="14" xfId="5" applyFont="1" applyBorder="1" applyAlignment="1">
      <alignment horizontal="center" vertical="center"/>
    </xf>
    <xf numFmtId="0" fontId="17" fillId="0" borderId="37" xfId="5" applyFont="1" applyBorder="1" applyAlignment="1">
      <alignment horizontal="center" vertical="center"/>
    </xf>
    <xf numFmtId="0" fontId="37" fillId="0" borderId="59" xfId="5" applyFont="1" applyBorder="1" applyAlignment="1">
      <alignment horizontal="center" vertical="center" wrapText="1"/>
    </xf>
    <xf numFmtId="0" fontId="37" fillId="0" borderId="60" xfId="5" applyFont="1" applyBorder="1" applyAlignment="1">
      <alignment horizontal="center" vertical="center" wrapText="1"/>
    </xf>
    <xf numFmtId="0" fontId="37" fillId="0" borderId="61" xfId="5" applyFont="1" applyBorder="1" applyAlignment="1">
      <alignment horizontal="center" vertical="center" wrapText="1"/>
    </xf>
    <xf numFmtId="0" fontId="17" fillId="0" borderId="64" xfId="5" applyFont="1" applyBorder="1" applyAlignment="1">
      <alignment horizontal="center" vertical="center"/>
    </xf>
    <xf numFmtId="0" fontId="17" fillId="0" borderId="65" xfId="5" applyFont="1" applyBorder="1" applyAlignment="1">
      <alignment horizontal="center" vertical="center"/>
    </xf>
    <xf numFmtId="0" fontId="17" fillId="0" borderId="66" xfId="5" applyFont="1" applyBorder="1" applyAlignment="1">
      <alignment horizontal="center" vertical="center"/>
    </xf>
    <xf numFmtId="0" fontId="37" fillId="0" borderId="59" xfId="5" applyFont="1" applyBorder="1" applyAlignment="1">
      <alignment horizontal="center" vertical="center"/>
    </xf>
    <xf numFmtId="0" fontId="37" fillId="0" borderId="60" xfId="5" applyFont="1" applyBorder="1" applyAlignment="1">
      <alignment horizontal="center" vertical="center"/>
    </xf>
    <xf numFmtId="0" fontId="37" fillId="0" borderId="61" xfId="5" applyFont="1" applyBorder="1" applyAlignment="1">
      <alignment horizontal="center" vertical="center"/>
    </xf>
    <xf numFmtId="40" fontId="25" fillId="8" borderId="2" xfId="3" applyNumberFormat="1" applyFont="1" applyFill="1" applyBorder="1" applyAlignment="1">
      <alignment horizontal="center" vertical="center" readingOrder="1"/>
    </xf>
    <xf numFmtId="39" fontId="25" fillId="8" borderId="2" xfId="2" applyNumberFormat="1" applyFont="1" applyFill="1" applyBorder="1" applyAlignment="1">
      <alignment horizontal="center" vertical="center" readingOrder="1"/>
    </xf>
    <xf numFmtId="0" fontId="55" fillId="4" borderId="2" xfId="2" applyFont="1" applyFill="1" applyBorder="1" applyAlignment="1">
      <alignment horizontal="center" vertical="center" readingOrder="1"/>
    </xf>
    <xf numFmtId="0" fontId="25" fillId="4" borderId="2" xfId="2" applyFont="1" applyFill="1" applyBorder="1" applyAlignment="1">
      <alignment horizontal="center" vertical="center" readingOrder="1"/>
    </xf>
    <xf numFmtId="40" fontId="27" fillId="15" borderId="6" xfId="3" applyNumberFormat="1" applyFont="1" applyFill="1" applyBorder="1" applyAlignment="1">
      <alignment horizontal="center" vertical="center" wrapText="1" readingOrder="1"/>
    </xf>
    <xf numFmtId="40" fontId="27" fillId="15" borderId="10" xfId="3" applyNumberFormat="1" applyFont="1" applyFill="1" applyBorder="1" applyAlignment="1">
      <alignment horizontal="center" vertical="center" wrapText="1" readingOrder="1"/>
    </xf>
    <xf numFmtId="40" fontId="27" fillId="15" borderId="8" xfId="3" applyNumberFormat="1" applyFont="1" applyFill="1" applyBorder="1" applyAlignment="1">
      <alignment horizontal="center" vertical="center" wrapText="1" readingOrder="1"/>
    </xf>
    <xf numFmtId="2" fontId="25" fillId="8" borderId="2" xfId="2" applyNumberFormat="1" applyFont="1" applyFill="1" applyBorder="1" applyAlignment="1">
      <alignment horizontal="center" vertical="center" readingOrder="1"/>
    </xf>
    <xf numFmtId="40" fontId="25" fillId="4" borderId="6" xfId="3" applyNumberFormat="1" applyFont="1" applyFill="1" applyBorder="1" applyAlignment="1">
      <alignment horizontal="center" vertical="center" wrapText="1" readingOrder="1"/>
    </xf>
    <xf numFmtId="40" fontId="25" fillId="4" borderId="10" xfId="3" applyNumberFormat="1" applyFont="1" applyFill="1" applyBorder="1" applyAlignment="1">
      <alignment horizontal="center" vertical="center" wrapText="1" readingOrder="1"/>
    </xf>
    <xf numFmtId="40" fontId="25" fillId="4" borderId="8" xfId="3" applyNumberFormat="1" applyFont="1" applyFill="1" applyBorder="1" applyAlignment="1">
      <alignment horizontal="center" vertical="center" wrapText="1" readingOrder="1"/>
    </xf>
    <xf numFmtId="0" fontId="55" fillId="4" borderId="6" xfId="2" applyFont="1" applyFill="1" applyBorder="1" applyAlignment="1">
      <alignment horizontal="center" vertical="center" readingOrder="1"/>
    </xf>
    <xf numFmtId="0" fontId="55" fillId="4" borderId="10" xfId="2" applyFont="1" applyFill="1" applyBorder="1" applyAlignment="1">
      <alignment horizontal="center" vertical="center" readingOrder="1"/>
    </xf>
    <xf numFmtId="0" fontId="55" fillId="4" borderId="8" xfId="2" applyFont="1" applyFill="1" applyBorder="1" applyAlignment="1">
      <alignment horizontal="center" vertical="center" readingOrder="1"/>
    </xf>
    <xf numFmtId="40" fontId="25" fillId="0" borderId="6" xfId="3" applyNumberFormat="1" applyFont="1" applyFill="1" applyBorder="1" applyAlignment="1">
      <alignment horizontal="center" vertical="center" readingOrder="1"/>
    </xf>
    <xf numFmtId="40" fontId="25" fillId="0" borderId="10" xfId="3" applyNumberFormat="1" applyFont="1" applyFill="1" applyBorder="1" applyAlignment="1">
      <alignment horizontal="center" vertical="center" readingOrder="1"/>
    </xf>
    <xf numFmtId="40" fontId="25" fillId="0" borderId="8" xfId="3" applyNumberFormat="1" applyFont="1" applyFill="1" applyBorder="1" applyAlignment="1">
      <alignment horizontal="center" vertical="center" readingOrder="1"/>
    </xf>
    <xf numFmtId="0" fontId="25" fillId="4" borderId="6" xfId="2" applyFont="1" applyFill="1" applyBorder="1" applyAlignment="1">
      <alignment horizontal="center" vertical="center" readingOrder="1"/>
    </xf>
    <xf numFmtId="0" fontId="25" fillId="4" borderId="10" xfId="2" applyFont="1" applyFill="1" applyBorder="1" applyAlignment="1">
      <alignment horizontal="center" vertical="center" readingOrder="1"/>
    </xf>
    <xf numFmtId="0" fontId="25" fillId="4" borderId="8" xfId="2" applyFont="1" applyFill="1" applyBorder="1" applyAlignment="1">
      <alignment horizontal="center" vertical="center" readingOrder="1"/>
    </xf>
    <xf numFmtId="40" fontId="25" fillId="0" borderId="6" xfId="2" applyNumberFormat="1" applyFont="1" applyBorder="1" applyAlignment="1">
      <alignment horizontal="center" vertical="center" readingOrder="1"/>
    </xf>
    <xf numFmtId="40" fontId="25" fillId="0" borderId="10" xfId="2" applyNumberFormat="1" applyFont="1" applyBorder="1" applyAlignment="1">
      <alignment horizontal="center" vertical="center" readingOrder="1"/>
    </xf>
    <xf numFmtId="40" fontId="25" fillId="0" borderId="8" xfId="2" applyNumberFormat="1" applyFont="1" applyBorder="1" applyAlignment="1">
      <alignment horizontal="center" vertical="center" readingOrder="1"/>
    </xf>
    <xf numFmtId="0" fontId="57" fillId="7" borderId="8" xfId="2" applyFont="1" applyFill="1" applyBorder="1" applyAlignment="1">
      <alignment horizontal="center" vertical="center" wrapText="1" readingOrder="1"/>
    </xf>
    <xf numFmtId="0" fontId="100" fillId="23" borderId="108" xfId="0" applyNumberFormat="1" applyFont="1" applyFill="1" applyBorder="1" applyAlignment="1">
      <alignment horizontal="center" vertical="center" wrapText="1" readingOrder="1"/>
    </xf>
    <xf numFmtId="0" fontId="100" fillId="23" borderId="140" xfId="0" applyNumberFormat="1" applyFont="1" applyFill="1" applyBorder="1" applyAlignment="1">
      <alignment horizontal="center" vertical="center" wrapText="1" readingOrder="1"/>
    </xf>
    <xf numFmtId="0" fontId="114" fillId="28" borderId="91" xfId="0" applyNumberFormat="1" applyFont="1" applyFill="1" applyBorder="1" applyAlignment="1">
      <alignment horizontal="center" vertical="center" wrapText="1" readingOrder="1"/>
    </xf>
    <xf numFmtId="0" fontId="114" fillId="28" borderId="87" xfId="0" applyNumberFormat="1" applyFont="1" applyFill="1" applyBorder="1" applyAlignment="1">
      <alignment horizontal="center" vertical="center" wrapText="1" readingOrder="1"/>
    </xf>
    <xf numFmtId="0" fontId="114" fillId="28" borderId="155" xfId="0" applyNumberFormat="1" applyFont="1" applyFill="1" applyBorder="1" applyAlignment="1">
      <alignment horizontal="center" vertical="center" wrapText="1" readingOrder="1"/>
    </xf>
    <xf numFmtId="4" fontId="104" fillId="0" borderId="162" xfId="0" applyNumberFormat="1" applyFont="1" applyFill="1" applyBorder="1" applyAlignment="1">
      <alignment horizontal="center" vertical="center" wrapText="1" readingOrder="1"/>
    </xf>
    <xf numFmtId="4" fontId="104" fillId="0" borderId="163" xfId="0" applyNumberFormat="1" applyFont="1" applyFill="1" applyBorder="1" applyAlignment="1">
      <alignment horizontal="center" vertical="center" wrapText="1" readingOrder="1"/>
    </xf>
    <xf numFmtId="0" fontId="114" fillId="28" borderId="130" xfId="0" applyNumberFormat="1" applyFont="1" applyFill="1" applyBorder="1" applyAlignment="1">
      <alignment horizontal="center" vertical="center" wrapText="1" readingOrder="1"/>
    </xf>
    <xf numFmtId="0" fontId="114" fillId="28" borderId="153" xfId="0" applyNumberFormat="1" applyFont="1" applyFill="1" applyBorder="1" applyAlignment="1">
      <alignment horizontal="center" vertical="center" wrapText="1" readingOrder="1"/>
    </xf>
    <xf numFmtId="0" fontId="114" fillId="28" borderId="131" xfId="0" applyNumberFormat="1" applyFont="1" applyFill="1" applyBorder="1" applyAlignment="1">
      <alignment horizontal="center" vertical="center" wrapText="1" readingOrder="1"/>
    </xf>
    <xf numFmtId="0" fontId="114" fillId="28" borderId="154" xfId="0" applyNumberFormat="1" applyFont="1" applyFill="1" applyBorder="1" applyAlignment="1">
      <alignment horizontal="center" vertical="center" wrapText="1" readingOrder="1"/>
    </xf>
    <xf numFmtId="0" fontId="100" fillId="23" borderId="111" xfId="0" applyNumberFormat="1" applyFont="1" applyFill="1" applyBorder="1" applyAlignment="1">
      <alignment horizontal="center" vertical="center" wrapText="1" readingOrder="1"/>
    </xf>
    <xf numFmtId="0" fontId="100" fillId="23" borderId="112" xfId="0" applyNumberFormat="1" applyFont="1" applyFill="1" applyBorder="1" applyAlignment="1">
      <alignment horizontal="center" vertical="center" wrapText="1" readingOrder="1"/>
    </xf>
    <xf numFmtId="0" fontId="100" fillId="23" borderId="110" xfId="0" applyNumberFormat="1" applyFont="1" applyFill="1" applyBorder="1" applyAlignment="1">
      <alignment horizontal="center" vertical="center" wrapText="1" readingOrder="1"/>
    </xf>
    <xf numFmtId="0" fontId="100" fillId="23" borderId="113" xfId="0" applyNumberFormat="1" applyFont="1" applyFill="1" applyBorder="1" applyAlignment="1">
      <alignment horizontal="center" vertical="center" wrapText="1" readingOrder="1"/>
    </xf>
    <xf numFmtId="0" fontId="100" fillId="23" borderId="109" xfId="0" applyNumberFormat="1" applyFont="1" applyFill="1" applyBorder="1" applyAlignment="1">
      <alignment horizontal="center" vertical="center" wrapText="1" readingOrder="1"/>
    </xf>
    <xf numFmtId="40" fontId="100" fillId="0" borderId="120" xfId="0" applyNumberFormat="1" applyFont="1" applyFill="1" applyBorder="1" applyAlignment="1">
      <alignment horizontal="center" vertical="center" wrapText="1" readingOrder="1"/>
    </xf>
    <xf numFmtId="40" fontId="100" fillId="0" borderId="121" xfId="0" applyNumberFormat="1" applyFont="1" applyFill="1" applyBorder="1" applyAlignment="1">
      <alignment horizontal="center" vertical="center" wrapText="1" readingOrder="1"/>
    </xf>
    <xf numFmtId="203" fontId="100" fillId="0" borderId="122" xfId="0" applyNumberFormat="1" applyFont="1" applyFill="1" applyBorder="1" applyAlignment="1">
      <alignment horizontal="right" vertical="center" wrapText="1" readingOrder="1"/>
    </xf>
    <xf numFmtId="203" fontId="100" fillId="0" borderId="123" xfId="0" applyNumberFormat="1" applyFont="1" applyFill="1" applyBorder="1" applyAlignment="1">
      <alignment horizontal="right" vertical="center" wrapText="1" readingOrder="1"/>
    </xf>
    <xf numFmtId="203" fontId="100" fillId="0" borderId="118" xfId="0" applyNumberFormat="1" applyFont="1" applyFill="1" applyBorder="1" applyAlignment="1">
      <alignment horizontal="center" vertical="center" wrapText="1" readingOrder="1"/>
    </xf>
    <xf numFmtId="203" fontId="100" fillId="0" borderId="70" xfId="0" applyNumberFormat="1" applyFont="1" applyFill="1" applyBorder="1" applyAlignment="1">
      <alignment horizontal="center" vertical="center" wrapText="1" readingOrder="1"/>
    </xf>
    <xf numFmtId="204" fontId="100" fillId="0" borderId="124" xfId="0" applyNumberFormat="1" applyFont="1" applyFill="1" applyBorder="1" applyAlignment="1">
      <alignment horizontal="right" vertical="center" wrapText="1" readingOrder="1"/>
    </xf>
    <xf numFmtId="204" fontId="100" fillId="0" borderId="123" xfId="0" applyNumberFormat="1" applyFont="1" applyFill="1" applyBorder="1" applyAlignment="1">
      <alignment horizontal="right" vertical="center" wrapText="1" readingOrder="1"/>
    </xf>
    <xf numFmtId="203" fontId="100" fillId="0" borderId="118" xfId="0" applyNumberFormat="1" applyFont="1" applyFill="1" applyBorder="1" applyAlignment="1">
      <alignment horizontal="right" vertical="center" wrapText="1" readingOrder="1"/>
    </xf>
    <xf numFmtId="203" fontId="100" fillId="0" borderId="70" xfId="0" applyNumberFormat="1" applyFont="1" applyFill="1" applyBorder="1" applyAlignment="1">
      <alignment horizontal="right" vertical="center" wrapText="1" readingOrder="1"/>
    </xf>
    <xf numFmtId="0" fontId="25" fillId="0" borderId="2" xfId="2" applyFont="1" applyBorder="1" applyAlignment="1">
      <alignment horizontal="center" vertical="center" readingOrder="1"/>
    </xf>
    <xf numFmtId="0" fontId="55" fillId="0" borderId="2" xfId="2" applyFont="1" applyBorder="1" applyAlignment="1">
      <alignment horizontal="center" vertical="center" readingOrder="1"/>
    </xf>
    <xf numFmtId="0" fontId="25" fillId="0" borderId="6" xfId="2" applyFont="1" applyBorder="1" applyAlignment="1">
      <alignment horizontal="left" vertical="center" wrapText="1" readingOrder="1"/>
    </xf>
    <xf numFmtId="0" fontId="25" fillId="0" borderId="10" xfId="2" applyFont="1" applyBorder="1" applyAlignment="1">
      <alignment horizontal="left" vertical="center" wrapText="1" readingOrder="1"/>
    </xf>
    <xf numFmtId="0" fontId="25" fillId="0" borderId="8" xfId="2" applyFont="1" applyBorder="1" applyAlignment="1">
      <alignment horizontal="left" vertical="center" wrapText="1" readingOrder="1"/>
    </xf>
    <xf numFmtId="0" fontId="25" fillId="13" borderId="2" xfId="2" applyFont="1" applyFill="1" applyBorder="1" applyAlignment="1">
      <alignment horizontal="center" vertical="center" readingOrder="1"/>
    </xf>
    <xf numFmtId="0" fontId="25" fillId="0" borderId="2" xfId="2" applyFont="1" applyBorder="1" applyAlignment="1">
      <alignment horizontal="center" vertical="center" wrapText="1" readingOrder="1"/>
    </xf>
    <xf numFmtId="0" fontId="25" fillId="0" borderId="2" xfId="2" applyFont="1" applyBorder="1" applyAlignment="1">
      <alignment horizontal="left" vertical="center" wrapText="1" readingOrder="1"/>
    </xf>
    <xf numFmtId="40" fontId="25" fillId="8" borderId="46" xfId="3" applyNumberFormat="1" applyFont="1" applyFill="1" applyBorder="1" applyAlignment="1">
      <alignment horizontal="center" vertical="center" readingOrder="1"/>
    </xf>
    <xf numFmtId="40" fontId="25" fillId="8" borderId="57" xfId="3" applyNumberFormat="1" applyFont="1" applyFill="1" applyBorder="1" applyAlignment="1">
      <alignment horizontal="center" vertical="center" readingOrder="1"/>
    </xf>
    <xf numFmtId="40" fontId="25" fillId="8" borderId="36" xfId="3" applyNumberFormat="1" applyFont="1" applyFill="1" applyBorder="1" applyAlignment="1">
      <alignment horizontal="center" vertical="center" readingOrder="1"/>
    </xf>
    <xf numFmtId="40" fontId="25" fillId="8" borderId="58" xfId="3" applyNumberFormat="1" applyFont="1" applyFill="1" applyBorder="1" applyAlignment="1">
      <alignment horizontal="center" vertical="center" readingOrder="1"/>
    </xf>
    <xf numFmtId="40" fontId="25" fillId="8" borderId="0" xfId="3" applyNumberFormat="1" applyFont="1" applyFill="1" applyBorder="1" applyAlignment="1">
      <alignment horizontal="center" vertical="center" readingOrder="1"/>
    </xf>
    <xf numFmtId="40" fontId="25" fillId="8" borderId="14" xfId="3" applyNumberFormat="1" applyFont="1" applyFill="1" applyBorder="1" applyAlignment="1">
      <alignment horizontal="center" vertical="center" readingOrder="1"/>
    </xf>
    <xf numFmtId="40" fontId="25" fillId="8" borderId="47" xfId="3" applyNumberFormat="1" applyFont="1" applyFill="1" applyBorder="1" applyAlignment="1">
      <alignment horizontal="center" vertical="center" readingOrder="1"/>
    </xf>
    <xf numFmtId="40" fontId="25" fillId="8" borderId="54" xfId="3" applyNumberFormat="1" applyFont="1" applyFill="1" applyBorder="1" applyAlignment="1">
      <alignment horizontal="center" vertical="center" readingOrder="1"/>
    </xf>
    <xf numFmtId="40" fontId="25" fillId="8" borderId="48" xfId="3" applyNumberFormat="1" applyFont="1" applyFill="1" applyBorder="1" applyAlignment="1">
      <alignment horizontal="center" vertical="center" readingOrder="1"/>
    </xf>
  </cellXfs>
  <cellStyles count="13">
    <cellStyle name="백분율" xfId="12" builtinId="5"/>
    <cellStyle name="백분율 2" xfId="8" xr:uid="{CDE2D942-20FB-482B-9F33-E9DDDC9E6CD8}"/>
    <cellStyle name="쉼표 [0]" xfId="1" builtinId="6"/>
    <cellStyle name="쉼표 [0] 2" xfId="3" xr:uid="{55EE4F3B-57D7-4080-81CB-6458C4F8707B}"/>
    <cellStyle name="쉼표 [0] 3" xfId="10" xr:uid="{8B1368A8-EAB6-4D4E-8DFB-36C0124CAE28}"/>
    <cellStyle name="쉼표 [0] 4" xfId="4" xr:uid="{0D28C7D6-6CE1-4E8F-8216-CDCBCD32FDB1}"/>
    <cellStyle name="통화 [0]" xfId="11" builtinId="7"/>
    <cellStyle name="표준" xfId="0" builtinId="0"/>
    <cellStyle name="표준 2" xfId="5" xr:uid="{DA6C2D2E-A9AC-4AC0-8AB5-4E29FB24FA73}"/>
    <cellStyle name="표준 3" xfId="9" xr:uid="{29A62784-04AD-45CA-880F-FFBEE9700F3F}"/>
    <cellStyle name="표준 3 3" xfId="2" xr:uid="{C20DAD0D-5AAE-477E-A850-B6AAB85B03CD}"/>
    <cellStyle name="표준 3 3 2" xfId="7" xr:uid="{5F39ECC9-854F-406F-A807-71FADE9073B1}"/>
    <cellStyle name="하이퍼링크" xfId="6"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externalLink" Target="externalLinks/externalLink6.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externalLink" Target="externalLinks/externalLink9.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7.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0.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5.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60" Type="http://schemas.openxmlformats.org/officeDocument/2006/relationships/theme" Target="theme/theme1.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1" Type="http://schemas.openxmlformats.org/officeDocument/2006/relationships/image" Target="../media/image4.jpg"/></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jpg"/><Relationship Id="rId1" Type="http://schemas.openxmlformats.org/officeDocument/2006/relationships/image" Target="../media/image8.jp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jpg"/></Relationships>
</file>

<file path=xl/drawings/_rels/drawing7.xml.rels><?xml version="1.0" encoding="UTF-8" standalone="yes"?>
<Relationships xmlns="http://schemas.openxmlformats.org/package/2006/relationships"><Relationship Id="rId8" Type="http://schemas.openxmlformats.org/officeDocument/2006/relationships/image" Target="../media/image21.jpg"/><Relationship Id="rId3" Type="http://schemas.openxmlformats.org/officeDocument/2006/relationships/image" Target="../media/image16.jpg"/><Relationship Id="rId7" Type="http://schemas.openxmlformats.org/officeDocument/2006/relationships/image" Target="../media/image20.jpg"/><Relationship Id="rId2" Type="http://schemas.openxmlformats.org/officeDocument/2006/relationships/image" Target="../media/image15.jpg"/><Relationship Id="rId1" Type="http://schemas.openxmlformats.org/officeDocument/2006/relationships/image" Target="../media/image14.jpg"/><Relationship Id="rId6" Type="http://schemas.openxmlformats.org/officeDocument/2006/relationships/image" Target="../media/image19.jpg"/><Relationship Id="rId5" Type="http://schemas.openxmlformats.org/officeDocument/2006/relationships/image" Target="../media/image18.jpg"/><Relationship Id="rId4" Type="http://schemas.openxmlformats.org/officeDocument/2006/relationships/image" Target="../media/image17.jpg"/><Relationship Id="rId9" Type="http://schemas.openxmlformats.org/officeDocument/2006/relationships/image" Target="../media/image22.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97</xdr:row>
      <xdr:rowOff>95250</xdr:rowOff>
    </xdr:from>
    <xdr:to>
      <xdr:col>17</xdr:col>
      <xdr:colOff>287908</xdr:colOff>
      <xdr:row>123</xdr:row>
      <xdr:rowOff>29153</xdr:rowOff>
    </xdr:to>
    <xdr:pic>
      <xdr:nvPicPr>
        <xdr:cNvPr id="6" name="그림 5">
          <a:extLst>
            <a:ext uri="{FF2B5EF4-FFF2-40B4-BE49-F238E27FC236}">
              <a16:creationId xmlns:a16="http://schemas.microsoft.com/office/drawing/2014/main" id="{82F0D3B4-3FBE-C5C4-2743-C0297BEE7420}"/>
            </a:ext>
          </a:extLst>
        </xdr:cNvPr>
        <xdr:cNvPicPr>
          <a:picLocks noChangeAspect="1"/>
        </xdr:cNvPicPr>
      </xdr:nvPicPr>
      <xdr:blipFill>
        <a:blip xmlns:r="http://schemas.openxmlformats.org/officeDocument/2006/relationships" r:embed="rId1"/>
        <a:stretch>
          <a:fillRect/>
        </a:stretch>
      </xdr:blipFill>
      <xdr:spPr>
        <a:xfrm>
          <a:off x="752475" y="16125825"/>
          <a:ext cx="15461233" cy="4143953"/>
        </a:xfrm>
        <a:prstGeom prst="rect">
          <a:avLst/>
        </a:prstGeom>
      </xdr:spPr>
    </xdr:pic>
    <xdr:clientData/>
  </xdr:twoCellAnchor>
  <xdr:twoCellAnchor editAs="oneCell">
    <xdr:from>
      <xdr:col>1</xdr:col>
      <xdr:colOff>76200</xdr:colOff>
      <xdr:row>42</xdr:row>
      <xdr:rowOff>152400</xdr:rowOff>
    </xdr:from>
    <xdr:to>
      <xdr:col>17</xdr:col>
      <xdr:colOff>221233</xdr:colOff>
      <xdr:row>85</xdr:row>
      <xdr:rowOff>77161</xdr:rowOff>
    </xdr:to>
    <xdr:pic>
      <xdr:nvPicPr>
        <xdr:cNvPr id="7" name="그림 6">
          <a:extLst>
            <a:ext uri="{FF2B5EF4-FFF2-40B4-BE49-F238E27FC236}">
              <a16:creationId xmlns:a16="http://schemas.microsoft.com/office/drawing/2014/main" id="{1C819E20-DD7D-1F52-3606-16B2540308FE}"/>
            </a:ext>
          </a:extLst>
        </xdr:cNvPr>
        <xdr:cNvPicPr>
          <a:picLocks noChangeAspect="1"/>
        </xdr:cNvPicPr>
      </xdr:nvPicPr>
      <xdr:blipFill>
        <a:blip xmlns:r="http://schemas.openxmlformats.org/officeDocument/2006/relationships" r:embed="rId2"/>
        <a:stretch>
          <a:fillRect/>
        </a:stretch>
      </xdr:blipFill>
      <xdr:spPr>
        <a:xfrm>
          <a:off x="685800" y="7410450"/>
          <a:ext cx="15461233" cy="68875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1</xdr:row>
      <xdr:rowOff>0</xdr:rowOff>
    </xdr:from>
    <xdr:to>
      <xdr:col>23</xdr:col>
      <xdr:colOff>402794</xdr:colOff>
      <xdr:row>53</xdr:row>
      <xdr:rowOff>137160</xdr:rowOff>
    </xdr:to>
    <xdr:pic>
      <xdr:nvPicPr>
        <xdr:cNvPr id="3" name="그림 2">
          <a:extLst>
            <a:ext uri="{FF2B5EF4-FFF2-40B4-BE49-F238E27FC236}">
              <a16:creationId xmlns:a16="http://schemas.microsoft.com/office/drawing/2014/main" id="{90CA9810-DDEE-8CC5-A25C-F2087E2C58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37920" y="220980"/>
          <a:ext cx="7108394"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23</xdr:col>
      <xdr:colOff>402794</xdr:colOff>
      <xdr:row>55</xdr:row>
      <xdr:rowOff>83820</xdr:rowOff>
    </xdr:to>
    <xdr:pic>
      <xdr:nvPicPr>
        <xdr:cNvPr id="3" name="그림 2">
          <a:extLst>
            <a:ext uri="{FF2B5EF4-FFF2-40B4-BE49-F238E27FC236}">
              <a16:creationId xmlns:a16="http://schemas.microsoft.com/office/drawing/2014/main" id="{66B268D2-490B-FD6C-0EAB-080D002B3E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37920" y="441960"/>
          <a:ext cx="7108394"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19050</xdr:colOff>
      <xdr:row>74</xdr:row>
      <xdr:rowOff>142875</xdr:rowOff>
    </xdr:from>
    <xdr:to>
      <xdr:col>24</xdr:col>
      <xdr:colOff>425036</xdr:colOff>
      <xdr:row>137</xdr:row>
      <xdr:rowOff>0</xdr:rowOff>
    </xdr:to>
    <xdr:pic>
      <xdr:nvPicPr>
        <xdr:cNvPr id="3" name="그림 2">
          <a:extLst>
            <a:ext uri="{FF2B5EF4-FFF2-40B4-BE49-F238E27FC236}">
              <a16:creationId xmlns:a16="http://schemas.microsoft.com/office/drawing/2014/main" id="{AFE1ADB0-5786-91ED-BCB8-BCF4BBEFCF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43850" y="12125325"/>
          <a:ext cx="7111586" cy="10058400"/>
        </a:xfrm>
        <a:prstGeom prst="rect">
          <a:avLst/>
        </a:prstGeom>
      </xdr:spPr>
    </xdr:pic>
    <xdr:clientData/>
  </xdr:twoCellAnchor>
  <xdr:twoCellAnchor editAs="oneCell">
    <xdr:from>
      <xdr:col>13</xdr:col>
      <xdr:colOff>16650</xdr:colOff>
      <xdr:row>12</xdr:row>
      <xdr:rowOff>92850</xdr:rowOff>
    </xdr:from>
    <xdr:to>
      <xdr:col>24</xdr:col>
      <xdr:colOff>422636</xdr:colOff>
      <xdr:row>74</xdr:row>
      <xdr:rowOff>111900</xdr:rowOff>
    </xdr:to>
    <xdr:pic>
      <xdr:nvPicPr>
        <xdr:cNvPr id="5" name="그림 4">
          <a:extLst>
            <a:ext uri="{FF2B5EF4-FFF2-40B4-BE49-F238E27FC236}">
              <a16:creationId xmlns:a16="http://schemas.microsoft.com/office/drawing/2014/main" id="{7D9E304B-44EC-BF52-806E-4E57FB47E2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41450" y="2035950"/>
          <a:ext cx="7111586" cy="10058400"/>
        </a:xfrm>
        <a:prstGeom prst="rect">
          <a:avLst/>
        </a:prstGeom>
      </xdr:spPr>
    </xdr:pic>
    <xdr:clientData/>
  </xdr:twoCellAnchor>
  <xdr:twoCellAnchor editAs="oneCell">
    <xdr:from>
      <xdr:col>0</xdr:col>
      <xdr:colOff>0</xdr:colOff>
      <xdr:row>12</xdr:row>
      <xdr:rowOff>52350</xdr:rowOff>
    </xdr:from>
    <xdr:to>
      <xdr:col>12</xdr:col>
      <xdr:colOff>457200</xdr:colOff>
      <xdr:row>49</xdr:row>
      <xdr:rowOff>67070</xdr:rowOff>
    </xdr:to>
    <xdr:pic>
      <xdr:nvPicPr>
        <xdr:cNvPr id="7" name="그림 6">
          <a:extLst>
            <a:ext uri="{FF2B5EF4-FFF2-40B4-BE49-F238E27FC236}">
              <a16:creationId xmlns:a16="http://schemas.microsoft.com/office/drawing/2014/main" id="{0531A856-B784-2E39-F750-E0914BFD6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995450"/>
          <a:ext cx="7772400" cy="60059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22860</xdr:rowOff>
    </xdr:from>
    <xdr:to>
      <xdr:col>12</xdr:col>
      <xdr:colOff>457200</xdr:colOff>
      <xdr:row>34</xdr:row>
      <xdr:rowOff>154553</xdr:rowOff>
    </xdr:to>
    <xdr:pic>
      <xdr:nvPicPr>
        <xdr:cNvPr id="3" name="그림 2">
          <a:extLst>
            <a:ext uri="{FF2B5EF4-FFF2-40B4-BE49-F238E27FC236}">
              <a16:creationId xmlns:a16="http://schemas.microsoft.com/office/drawing/2014/main" id="{33443C1E-BAB7-1976-577C-5A71CBB9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34540"/>
          <a:ext cx="7772400" cy="5496173"/>
        </a:xfrm>
        <a:prstGeom prst="rect">
          <a:avLst/>
        </a:prstGeom>
      </xdr:spPr>
    </xdr:pic>
    <xdr:clientData/>
  </xdr:twoCellAnchor>
  <xdr:twoCellAnchor editAs="oneCell">
    <xdr:from>
      <xdr:col>13</xdr:col>
      <xdr:colOff>20460</xdr:colOff>
      <xdr:row>2</xdr:row>
      <xdr:rowOff>89040</xdr:rowOff>
    </xdr:from>
    <xdr:to>
      <xdr:col>24</xdr:col>
      <xdr:colOff>427509</xdr:colOff>
      <xdr:row>62</xdr:row>
      <xdr:rowOff>89040</xdr:rowOff>
    </xdr:to>
    <xdr:pic>
      <xdr:nvPicPr>
        <xdr:cNvPr id="5" name="그림 4">
          <a:extLst>
            <a:ext uri="{FF2B5EF4-FFF2-40B4-BE49-F238E27FC236}">
              <a16:creationId xmlns:a16="http://schemas.microsoft.com/office/drawing/2014/main" id="{F7D8FF3C-1198-08A3-1FDB-54D04A0BF0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45260" y="2100720"/>
          <a:ext cx="7112649" cy="10058400"/>
        </a:xfrm>
        <a:prstGeom prst="rect">
          <a:avLst/>
        </a:prstGeom>
      </xdr:spPr>
    </xdr:pic>
    <xdr:clientData/>
  </xdr:twoCellAnchor>
  <xdr:twoCellAnchor editAs="oneCell">
    <xdr:from>
      <xdr:col>25</xdr:col>
      <xdr:colOff>28901</xdr:colOff>
      <xdr:row>2</xdr:row>
      <xdr:rowOff>106280</xdr:rowOff>
    </xdr:from>
    <xdr:to>
      <xdr:col>34</xdr:col>
      <xdr:colOff>37700</xdr:colOff>
      <xdr:row>48</xdr:row>
      <xdr:rowOff>157715</xdr:rowOff>
    </xdr:to>
    <xdr:pic>
      <xdr:nvPicPr>
        <xdr:cNvPr id="7" name="그림 6">
          <a:extLst>
            <a:ext uri="{FF2B5EF4-FFF2-40B4-BE49-F238E27FC236}">
              <a16:creationId xmlns:a16="http://schemas.microsoft.com/office/drawing/2014/main" id="{FB3F800D-7494-6159-B85B-FEE39B1111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6200000">
          <a:off x="14130301" y="3256560"/>
          <a:ext cx="7772400" cy="5495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60960</xdr:rowOff>
    </xdr:from>
    <xdr:to>
      <xdr:col>12</xdr:col>
      <xdr:colOff>457200</xdr:colOff>
      <xdr:row>35</xdr:row>
      <xdr:rowOff>25013</xdr:rowOff>
    </xdr:to>
    <xdr:pic>
      <xdr:nvPicPr>
        <xdr:cNvPr id="3" name="그림 2">
          <a:extLst>
            <a:ext uri="{FF2B5EF4-FFF2-40B4-BE49-F238E27FC236}">
              <a16:creationId xmlns:a16="http://schemas.microsoft.com/office/drawing/2014/main" id="{CE54EBCC-57E6-B8C7-1FDA-DFD3A14544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72640"/>
          <a:ext cx="7772400" cy="5496173"/>
        </a:xfrm>
        <a:prstGeom prst="rect">
          <a:avLst/>
        </a:prstGeom>
      </xdr:spPr>
    </xdr:pic>
    <xdr:clientData/>
  </xdr:twoCellAnchor>
  <xdr:twoCellAnchor editAs="oneCell">
    <xdr:from>
      <xdr:col>13</xdr:col>
      <xdr:colOff>28080</xdr:colOff>
      <xdr:row>2</xdr:row>
      <xdr:rowOff>43320</xdr:rowOff>
    </xdr:from>
    <xdr:to>
      <xdr:col>24</xdr:col>
      <xdr:colOff>435129</xdr:colOff>
      <xdr:row>62</xdr:row>
      <xdr:rowOff>43320</xdr:rowOff>
    </xdr:to>
    <xdr:pic>
      <xdr:nvPicPr>
        <xdr:cNvPr id="5" name="그림 4">
          <a:extLst>
            <a:ext uri="{FF2B5EF4-FFF2-40B4-BE49-F238E27FC236}">
              <a16:creationId xmlns:a16="http://schemas.microsoft.com/office/drawing/2014/main" id="{134A8F43-C818-EB4F-D5E2-DE0C7B914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52880" y="2055000"/>
          <a:ext cx="7112649" cy="10058400"/>
        </a:xfrm>
        <a:prstGeom prst="rect">
          <a:avLst/>
        </a:prstGeom>
      </xdr:spPr>
    </xdr:pic>
    <xdr:clientData/>
  </xdr:twoCellAnchor>
  <xdr:twoCellAnchor editAs="oneCell">
    <xdr:from>
      <xdr:col>25</xdr:col>
      <xdr:colOff>36521</xdr:colOff>
      <xdr:row>2</xdr:row>
      <xdr:rowOff>106281</xdr:rowOff>
    </xdr:from>
    <xdr:to>
      <xdr:col>34</xdr:col>
      <xdr:colOff>45320</xdr:colOff>
      <xdr:row>48</xdr:row>
      <xdr:rowOff>157716</xdr:rowOff>
    </xdr:to>
    <xdr:pic>
      <xdr:nvPicPr>
        <xdr:cNvPr id="7" name="그림 6">
          <a:extLst>
            <a:ext uri="{FF2B5EF4-FFF2-40B4-BE49-F238E27FC236}">
              <a16:creationId xmlns:a16="http://schemas.microsoft.com/office/drawing/2014/main" id="{C06EC8A4-ACA8-2C35-86D5-73ECB0E3508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6200000">
          <a:off x="14137921" y="3256561"/>
          <a:ext cx="7772400" cy="5495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68</xdr:row>
      <xdr:rowOff>142380</xdr:rowOff>
    </xdr:from>
    <xdr:to>
      <xdr:col>12</xdr:col>
      <xdr:colOff>457200</xdr:colOff>
      <xdr:row>101</xdr:row>
      <xdr:rowOff>106433</xdr:rowOff>
    </xdr:to>
    <xdr:pic>
      <xdr:nvPicPr>
        <xdr:cNvPr id="5" name="그림 4">
          <a:extLst>
            <a:ext uri="{FF2B5EF4-FFF2-40B4-BE49-F238E27FC236}">
              <a16:creationId xmlns:a16="http://schemas.microsoft.com/office/drawing/2014/main" id="{840A7F20-1A4C-3BA2-9538-E36043304C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3218300"/>
          <a:ext cx="7772400" cy="5496173"/>
        </a:xfrm>
        <a:prstGeom prst="rect">
          <a:avLst/>
        </a:prstGeom>
      </xdr:spPr>
    </xdr:pic>
    <xdr:clientData/>
  </xdr:twoCellAnchor>
  <xdr:twoCellAnchor editAs="oneCell">
    <xdr:from>
      <xdr:col>0</xdr:col>
      <xdr:colOff>0</xdr:colOff>
      <xdr:row>3</xdr:row>
      <xdr:rowOff>33300</xdr:rowOff>
    </xdr:from>
    <xdr:to>
      <xdr:col>12</xdr:col>
      <xdr:colOff>457200</xdr:colOff>
      <xdr:row>36</xdr:row>
      <xdr:rowOff>3068</xdr:rowOff>
    </xdr:to>
    <xdr:pic>
      <xdr:nvPicPr>
        <xdr:cNvPr id="7" name="그림 6">
          <a:extLst>
            <a:ext uri="{FF2B5EF4-FFF2-40B4-BE49-F238E27FC236}">
              <a16:creationId xmlns:a16="http://schemas.microsoft.com/office/drawing/2014/main" id="{AA8B7298-76A3-9AE6-B637-13584441E7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212620"/>
          <a:ext cx="7772400" cy="5496173"/>
        </a:xfrm>
        <a:prstGeom prst="rect">
          <a:avLst/>
        </a:prstGeom>
      </xdr:spPr>
    </xdr:pic>
    <xdr:clientData/>
  </xdr:twoCellAnchor>
  <xdr:twoCellAnchor editAs="oneCell">
    <xdr:from>
      <xdr:col>0</xdr:col>
      <xdr:colOff>0</xdr:colOff>
      <xdr:row>36</xdr:row>
      <xdr:rowOff>23280</xdr:rowOff>
    </xdr:from>
    <xdr:to>
      <xdr:col>12</xdr:col>
      <xdr:colOff>457200</xdr:colOff>
      <xdr:row>68</xdr:row>
      <xdr:rowOff>154973</xdr:rowOff>
    </xdr:to>
    <xdr:pic>
      <xdr:nvPicPr>
        <xdr:cNvPr id="9" name="그림 8">
          <a:extLst>
            <a:ext uri="{FF2B5EF4-FFF2-40B4-BE49-F238E27FC236}">
              <a16:creationId xmlns:a16="http://schemas.microsoft.com/office/drawing/2014/main" id="{C7FFCEA5-388C-33A3-6EED-DF959911457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7734720"/>
          <a:ext cx="7772400" cy="5496173"/>
        </a:xfrm>
        <a:prstGeom prst="rect">
          <a:avLst/>
        </a:prstGeom>
      </xdr:spPr>
    </xdr:pic>
    <xdr:clientData/>
  </xdr:twoCellAnchor>
  <xdr:twoCellAnchor editAs="oneCell">
    <xdr:from>
      <xdr:col>13</xdr:col>
      <xdr:colOff>51360</xdr:colOff>
      <xdr:row>3</xdr:row>
      <xdr:rowOff>58980</xdr:rowOff>
    </xdr:from>
    <xdr:to>
      <xdr:col>24</xdr:col>
      <xdr:colOff>458409</xdr:colOff>
      <xdr:row>63</xdr:row>
      <xdr:rowOff>58980</xdr:rowOff>
    </xdr:to>
    <xdr:pic>
      <xdr:nvPicPr>
        <xdr:cNvPr id="11" name="그림 10">
          <a:extLst>
            <a:ext uri="{FF2B5EF4-FFF2-40B4-BE49-F238E27FC236}">
              <a16:creationId xmlns:a16="http://schemas.microsoft.com/office/drawing/2014/main" id="{7C6DDE72-A574-BEF8-7385-CD3CFDC9AC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76160" y="2238300"/>
          <a:ext cx="7112649" cy="10058400"/>
        </a:xfrm>
        <a:prstGeom prst="rect">
          <a:avLst/>
        </a:prstGeom>
      </xdr:spPr>
    </xdr:pic>
    <xdr:clientData/>
  </xdr:twoCellAnchor>
  <xdr:twoCellAnchor editAs="oneCell">
    <xdr:from>
      <xdr:col>13</xdr:col>
      <xdr:colOff>41340</xdr:colOff>
      <xdr:row>63</xdr:row>
      <xdr:rowOff>109920</xdr:rowOff>
    </xdr:from>
    <xdr:to>
      <xdr:col>24</xdr:col>
      <xdr:colOff>448389</xdr:colOff>
      <xdr:row>123</xdr:row>
      <xdr:rowOff>109920</xdr:rowOff>
    </xdr:to>
    <xdr:pic>
      <xdr:nvPicPr>
        <xdr:cNvPr id="13" name="그림 12">
          <a:extLst>
            <a:ext uri="{FF2B5EF4-FFF2-40B4-BE49-F238E27FC236}">
              <a16:creationId xmlns:a16="http://schemas.microsoft.com/office/drawing/2014/main" id="{AFAD9C4D-A5F4-C71B-0D4C-A3AA5D0A9A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66140" y="12347640"/>
          <a:ext cx="7112649" cy="10058400"/>
        </a:xfrm>
        <a:prstGeom prst="rect">
          <a:avLst/>
        </a:prstGeom>
      </xdr:spPr>
    </xdr:pic>
    <xdr:clientData/>
  </xdr:twoCellAnchor>
  <xdr:twoCellAnchor editAs="oneCell">
    <xdr:from>
      <xdr:col>13</xdr:col>
      <xdr:colOff>38940</xdr:colOff>
      <xdr:row>123</xdr:row>
      <xdr:rowOff>160860</xdr:rowOff>
    </xdr:from>
    <xdr:to>
      <xdr:col>24</xdr:col>
      <xdr:colOff>445989</xdr:colOff>
      <xdr:row>183</xdr:row>
      <xdr:rowOff>160860</xdr:rowOff>
    </xdr:to>
    <xdr:pic>
      <xdr:nvPicPr>
        <xdr:cNvPr id="15" name="그림 14">
          <a:extLst>
            <a:ext uri="{FF2B5EF4-FFF2-40B4-BE49-F238E27FC236}">
              <a16:creationId xmlns:a16="http://schemas.microsoft.com/office/drawing/2014/main" id="{4FF0C802-444B-0310-4327-E699A739B4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63740" y="22456980"/>
          <a:ext cx="7112649" cy="10058400"/>
        </a:xfrm>
        <a:prstGeom prst="rect">
          <a:avLst/>
        </a:prstGeom>
      </xdr:spPr>
    </xdr:pic>
    <xdr:clientData/>
  </xdr:twoCellAnchor>
  <xdr:twoCellAnchor editAs="oneCell">
    <xdr:from>
      <xdr:col>13</xdr:col>
      <xdr:colOff>28920</xdr:colOff>
      <xdr:row>183</xdr:row>
      <xdr:rowOff>158460</xdr:rowOff>
    </xdr:from>
    <xdr:to>
      <xdr:col>24</xdr:col>
      <xdr:colOff>435969</xdr:colOff>
      <xdr:row>243</xdr:row>
      <xdr:rowOff>158460</xdr:rowOff>
    </xdr:to>
    <xdr:pic>
      <xdr:nvPicPr>
        <xdr:cNvPr id="17" name="그림 16">
          <a:extLst>
            <a:ext uri="{FF2B5EF4-FFF2-40B4-BE49-F238E27FC236}">
              <a16:creationId xmlns:a16="http://schemas.microsoft.com/office/drawing/2014/main" id="{74374611-6F9C-3EED-6036-DACF7C27DA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53720" y="32512980"/>
          <a:ext cx="7112649" cy="10058400"/>
        </a:xfrm>
        <a:prstGeom prst="rect">
          <a:avLst/>
        </a:prstGeom>
      </xdr:spPr>
    </xdr:pic>
    <xdr:clientData/>
  </xdr:twoCellAnchor>
  <xdr:twoCellAnchor editAs="oneCell">
    <xdr:from>
      <xdr:col>25</xdr:col>
      <xdr:colOff>52600</xdr:colOff>
      <xdr:row>3</xdr:row>
      <xdr:rowOff>69021</xdr:rowOff>
    </xdr:from>
    <xdr:to>
      <xdr:col>34</xdr:col>
      <xdr:colOff>61399</xdr:colOff>
      <xdr:row>49</xdr:row>
      <xdr:rowOff>129981</xdr:rowOff>
    </xdr:to>
    <xdr:pic>
      <xdr:nvPicPr>
        <xdr:cNvPr id="19" name="그림 18">
          <a:extLst>
            <a:ext uri="{FF2B5EF4-FFF2-40B4-BE49-F238E27FC236}">
              <a16:creationId xmlns:a16="http://schemas.microsoft.com/office/drawing/2014/main" id="{1492550F-6348-38F5-6FB2-B85C2FA3354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6200000">
          <a:off x="14154000" y="3386941"/>
          <a:ext cx="7772400" cy="5495199"/>
        </a:xfrm>
        <a:prstGeom prst="rect">
          <a:avLst/>
        </a:prstGeom>
      </xdr:spPr>
    </xdr:pic>
    <xdr:clientData/>
  </xdr:twoCellAnchor>
  <xdr:twoCellAnchor editAs="oneCell">
    <xdr:from>
      <xdr:col>25</xdr:col>
      <xdr:colOff>42583</xdr:colOff>
      <xdr:row>49</xdr:row>
      <xdr:rowOff>142820</xdr:rowOff>
    </xdr:from>
    <xdr:to>
      <xdr:col>34</xdr:col>
      <xdr:colOff>51382</xdr:colOff>
      <xdr:row>96</xdr:row>
      <xdr:rowOff>36140</xdr:rowOff>
    </xdr:to>
    <xdr:pic>
      <xdr:nvPicPr>
        <xdr:cNvPr id="21" name="그림 20">
          <a:extLst>
            <a:ext uri="{FF2B5EF4-FFF2-40B4-BE49-F238E27FC236}">
              <a16:creationId xmlns:a16="http://schemas.microsoft.com/office/drawing/2014/main" id="{B54764DC-73F0-B463-7409-BB4701DDAF7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6200000">
          <a:off x="14143983" y="11172180"/>
          <a:ext cx="7772400" cy="5495199"/>
        </a:xfrm>
        <a:prstGeom prst="rect">
          <a:avLst/>
        </a:prstGeom>
      </xdr:spPr>
    </xdr:pic>
    <xdr:clientData/>
  </xdr:twoCellAnchor>
  <xdr:twoCellAnchor editAs="oneCell">
    <xdr:from>
      <xdr:col>0</xdr:col>
      <xdr:colOff>0</xdr:colOff>
      <xdr:row>101</xdr:row>
      <xdr:rowOff>106680</xdr:rowOff>
    </xdr:from>
    <xdr:to>
      <xdr:col>12</xdr:col>
      <xdr:colOff>457200</xdr:colOff>
      <xdr:row>134</xdr:row>
      <xdr:rowOff>70733</xdr:rowOff>
    </xdr:to>
    <xdr:pic>
      <xdr:nvPicPr>
        <xdr:cNvPr id="22" name="그림 21">
          <a:extLst>
            <a:ext uri="{FF2B5EF4-FFF2-40B4-BE49-F238E27FC236}">
              <a16:creationId xmlns:a16="http://schemas.microsoft.com/office/drawing/2014/main" id="{3FBA41F5-7419-457B-AE32-1DA63E9762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8714720"/>
          <a:ext cx="7772400" cy="549617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352425</xdr:colOff>
      <xdr:row>0</xdr:row>
      <xdr:rowOff>76200</xdr:rowOff>
    </xdr:from>
    <xdr:to>
      <xdr:col>20</xdr:col>
      <xdr:colOff>534143</xdr:colOff>
      <xdr:row>43</xdr:row>
      <xdr:rowOff>105644</xdr:rowOff>
    </xdr:to>
    <xdr:pic>
      <xdr:nvPicPr>
        <xdr:cNvPr id="2" name="그림 1">
          <a:extLst>
            <a:ext uri="{FF2B5EF4-FFF2-40B4-BE49-F238E27FC236}">
              <a16:creationId xmlns:a16="http://schemas.microsoft.com/office/drawing/2014/main" id="{2297771A-EFE2-E2A0-2F52-7809C2B667EB}"/>
            </a:ext>
          </a:extLst>
        </xdr:cNvPr>
        <xdr:cNvPicPr>
          <a:picLocks noChangeAspect="1"/>
        </xdr:cNvPicPr>
      </xdr:nvPicPr>
      <xdr:blipFill>
        <a:blip xmlns:r="http://schemas.openxmlformats.org/officeDocument/2006/relationships" r:embed="rId1"/>
        <a:stretch>
          <a:fillRect/>
        </a:stretch>
      </xdr:blipFill>
      <xdr:spPr>
        <a:xfrm>
          <a:off x="12992100" y="76200"/>
          <a:ext cx="5325218" cy="6230219"/>
        </a:xfrm>
        <a:prstGeom prst="rect">
          <a:avLst/>
        </a:prstGeom>
      </xdr:spPr>
    </xdr:pic>
    <xdr:clientData/>
  </xdr:twoCellAnchor>
  <xdr:twoCellAnchor editAs="oneCell">
    <xdr:from>
      <xdr:col>19</xdr:col>
      <xdr:colOff>381000</xdr:colOff>
      <xdr:row>0</xdr:row>
      <xdr:rowOff>76200</xdr:rowOff>
    </xdr:from>
    <xdr:to>
      <xdr:col>28</xdr:col>
      <xdr:colOff>143608</xdr:colOff>
      <xdr:row>46</xdr:row>
      <xdr:rowOff>105716</xdr:rowOff>
    </xdr:to>
    <xdr:pic>
      <xdr:nvPicPr>
        <xdr:cNvPr id="3" name="그림 2">
          <a:extLst>
            <a:ext uri="{FF2B5EF4-FFF2-40B4-BE49-F238E27FC236}">
              <a16:creationId xmlns:a16="http://schemas.microsoft.com/office/drawing/2014/main" id="{CBED6CB8-5517-4D1E-1733-5BAF84516AEA}"/>
            </a:ext>
          </a:extLst>
        </xdr:cNvPr>
        <xdr:cNvPicPr>
          <a:picLocks noChangeAspect="1"/>
        </xdr:cNvPicPr>
      </xdr:nvPicPr>
      <xdr:blipFill>
        <a:blip xmlns:r="http://schemas.openxmlformats.org/officeDocument/2006/relationships" r:embed="rId2"/>
        <a:stretch>
          <a:fillRect/>
        </a:stretch>
      </xdr:blipFill>
      <xdr:spPr>
        <a:xfrm>
          <a:off x="17630775" y="76200"/>
          <a:ext cx="5249008" cy="674464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istributedgeneratio\Desktop\&#49352;%20&#54260;&#45908;\1.%20&#44536;&#47536;&#48380;&#53944;\&#49849;&#51064;&#51088;&#47308;\Liquidity%20Projection%20of%20DG%20organic%20Batch%2012_20250416.xlsx" TargetMode="External"/><Relationship Id="rId1" Type="http://schemas.openxmlformats.org/officeDocument/2006/relationships/externalLinkPath" Target="https://originated.sharepoint.com/Users/distributedgeneratio/Desktop/&#49352;%20&#54260;&#45908;/1.%20&#44536;&#47536;&#48380;&#53944;/&#49849;&#51064;&#51088;&#47308;/Liquidity%20Projection%20of%20DG%20organic%20Batch%2012_20250416.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8046699f46284e5f/&#47928;&#49436;/DG_Batch12_DEVEX%20Payment%20Plan_Revised_Aug%2026_Financial%20Condition%20%202nd%20Drawdown%20plan_v4.xlsx" TargetMode="External"/><Relationship Id="rId1" Type="http://schemas.openxmlformats.org/officeDocument/2006/relationships/externalLinkPath" Target="https://d.docs.live.net/8046699f46284e5f/&#47928;&#49436;/DG_Batch12_DEVEX%20Payment%20Plan_Revised_Aug%2026_Financial%20Condition%20%202nd%20Drawdown%20plan_v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distributedgeneratio\Desktop\Cash%20Position%20by%20SPV%20as%20of%20Oct%2015,%202025_REX1.xlsx" TargetMode="External"/><Relationship Id="rId1" Type="http://schemas.openxmlformats.org/officeDocument/2006/relationships/externalLinkPath" Target="Cash%20Position%20by%20SPV%20as%20of%20Oct%2015,%202025_REX1.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germa\AppData\Local\Microsoft\Windows\INetCache\Content.Outlook\807QOWQU\DG_Batch12_DEVEX%20Payment%20Plan_2025.06.13_R02.xlsx" TargetMode="External"/><Relationship Id="rId1" Type="http://schemas.openxmlformats.org/officeDocument/2006/relationships/externalLinkPath" Target="https://originated.sharepoint.com/Users/germa/AppData/Local/Microsoft/Windows/INetCache/Content.Outlook/807QOWQU/DG_Batch12_DEVEX%20Payment%20Plan_2025.06.13_R02.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originated.sharepoint.com/sites/vdr/Shared%20Documents/Plants%20(DG,%20Conventional)%20-South%20Korea/05_1.%20Payment%20Status/Summary%20of%20payment%20amounts%20and%20schedules%20by%20SPV_12052025.xlsx" TargetMode="External"/><Relationship Id="rId1" Type="http://schemas.openxmlformats.org/officeDocument/2006/relationships/externalLinkPath" Target="https://originated.sharepoint.com/sites/vdr/Shared%20Documents/Plants%20(DG,%20Conventional)%20-South%20Korea/05_1.%20Payment%20Status/Summary%20of%20payment%20amounts%20and%20schedules%20by%20SPV_12052025.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originated\&#51116;&#47924;&#47784;&#45944;\Input%20Sheet\1.%20Inputsheet_Shinan(9Project)_6.500MW_20250502_V1.xlsx" TargetMode="External"/><Relationship Id="rId1" Type="http://schemas.openxmlformats.org/officeDocument/2006/relationships/externalLinkPath" Target="https://originated-my.sharepoint.com/originated/&#51116;&#47924;&#47784;&#45944;/Input%20Sheet/1.%20Inputsheet_Shinan(9Project)_6.500MW_20250502_V1.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originated.sharepoint.com/sites/vdr/Shared%20Documents/Plants%20(DG,%20Conventional)%20-South%20Korea/09-1.%20CAPEX/2026%20Budget_20251128_JS/Capex_BU26_International_20251128_&#50577;&#49885;&#48320;&#44221;.xlsx" TargetMode="External"/><Relationship Id="rId1" Type="http://schemas.openxmlformats.org/officeDocument/2006/relationships/externalLinkPath" Target="https://originated.sharepoint.com/sites/vdr/Shared%20Documents/Plants%20(DG,%20Conventional)%20-South%20Korea/09-1.%20CAPEX/2026%20Budget_20251128_JS/Capex_BU26_International_20251128_&#50577;&#49885;&#48320;&#44221;.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originated\&#51088;&#44552;&#44288;&#47144;\GM_Batch1,%20Batch2_Broker%20Fee_&#51088;&#44552;%20&#44228;&#54925;_V2.xlsx" TargetMode="External"/><Relationship Id="rId1" Type="http://schemas.openxmlformats.org/officeDocument/2006/relationships/externalLinkPath" Target="/originated/&#51088;&#44552;&#44288;&#47144;/GM_Batch1,%20Batch2_Broker%20Fee_&#51088;&#44552;%20&#44228;&#54925;_V2.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distributedgeneratio\Desktop\&#49352;%20&#54260;&#45908;\1.%20&#44536;&#47536;&#48380;&#53944;\&#49849;&#51064;&#51088;&#47308;\DG_Batch1&amp;2_DEVEX%20Payment%20Plan_August%206_Financial%20Condition%20&amp;%202nd%20Drawdown%20plan\DG_Batch1&amp;2_DEVEX%20Payment%20Plan_August%2021_Financial%20Condition%20&amp;%202nd%20Drawdown%20plan_v2.xlsx" TargetMode="External"/><Relationship Id="rId1" Type="http://schemas.openxmlformats.org/officeDocument/2006/relationships/externalLinkPath" Target="https://originated.sharepoint.com/sites/vdr/Shared%20Documents/Plants%20(DG,%20Conventional)%20-South%20Korea/05_1.%20Payment%20Status/DG_Batch1&amp;2_DEVEX%20Payment%20Plan_August%2021_Financial%20Condition%20&amp;%202nd%20Drawdown%20plan_v2.xlsx" TargetMode="External"/></Relationships>
</file>

<file path=xl/externalLinks/_rels/externalLink10.xml.rels><?xml version="1.0" encoding="UTF-8" standalone="yes"?>
<Relationships xmlns="http://schemas.openxmlformats.org/package/2006/relationships"><Relationship Id="rId2" Type="http://schemas.microsoft.com/office/2006/relationships/xlExternalLinkPath/xlPathMissing" Target="DG_Batch1&amp;2_DEVEX%20Payment%20Plan_August%2014_Financial%20Condition%20&amp;%202nd%20Drawdown%20plan_v1.xlsx" TargetMode="External"/><Relationship Id="rId1" Type="http://schemas.openxmlformats.org/officeDocument/2006/relationships/externalLinkPath" Target="https://originated.sharepoint.com/sites/vdr/Shared%20Documents/Plants%20(DG,%20Conventional)%20-South%20Korea/05_1.%20Payment%20Status/DG_Batch1&amp;2_DEVEX%20Payment%20Plan_August%2014_Financial%20Condition%20&amp;%202nd%20Drawdown%20plan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iquidity Projection Master"/>
      <sheetName val="Liquidity Projection by SPV"/>
      <sheetName val="Liquidity Monthly Schedule"/>
    </sheetNames>
    <sheetDataSet>
      <sheetData sheetId="0"/>
      <sheetData sheetId="1">
        <row r="7">
          <cell r="T7">
            <v>40078500.000000007</v>
          </cell>
        </row>
        <row r="8">
          <cell r="Q8">
            <v>78155000.000000015</v>
          </cell>
          <cell r="T8">
            <v>15631000.000000004</v>
          </cell>
        </row>
        <row r="9">
          <cell r="N9">
            <v>10395000.000000002</v>
          </cell>
          <cell r="Q9">
            <v>51975000.000000007</v>
          </cell>
          <cell r="T9">
            <v>10395000.000000002</v>
          </cell>
        </row>
        <row r="10">
          <cell r="N10">
            <v>12355200.000000002</v>
          </cell>
          <cell r="Q10">
            <v>61776000.000000007</v>
          </cell>
          <cell r="T10">
            <v>12355200.000000002</v>
          </cell>
        </row>
        <row r="11">
          <cell r="N11">
            <v>13083840.000000002</v>
          </cell>
          <cell r="Q11">
            <v>65419200.000000007</v>
          </cell>
          <cell r="T11">
            <v>13083840.000000002</v>
          </cell>
        </row>
        <row r="12">
          <cell r="N12">
            <v>18849600.000000004</v>
          </cell>
          <cell r="Q12">
            <v>94248000.000000015</v>
          </cell>
          <cell r="T12">
            <v>18849600.000000004</v>
          </cell>
        </row>
        <row r="13">
          <cell r="N13">
            <v>27720000.000000007</v>
          </cell>
          <cell r="Q13">
            <v>138600000.00000003</v>
          </cell>
          <cell r="T13">
            <v>27720000.000000007</v>
          </cell>
        </row>
        <row r="14">
          <cell r="N14">
            <v>27529920</v>
          </cell>
          <cell r="Q14">
            <v>137649600</v>
          </cell>
          <cell r="T14">
            <v>27529920</v>
          </cell>
        </row>
        <row r="15">
          <cell r="N15">
            <v>9313920.0000000019</v>
          </cell>
          <cell r="Q15">
            <v>46569600.000000007</v>
          </cell>
          <cell r="T15">
            <v>9313920.0000000019</v>
          </cell>
        </row>
        <row r="25">
          <cell r="Q25">
            <v>842957500</v>
          </cell>
          <cell r="T25">
            <v>168591500</v>
          </cell>
        </row>
        <row r="26">
          <cell r="N26">
            <v>38627050</v>
          </cell>
          <cell r="Q26">
            <v>96567625</v>
          </cell>
          <cell r="T26">
            <v>19313525</v>
          </cell>
        </row>
        <row r="27">
          <cell r="N27">
            <v>78017500</v>
          </cell>
          <cell r="Q27">
            <v>195043750</v>
          </cell>
          <cell r="T27">
            <v>39008750</v>
          </cell>
        </row>
        <row r="28">
          <cell r="N28">
            <v>57486550</v>
          </cell>
          <cell r="Q28">
            <v>143716375</v>
          </cell>
          <cell r="T28">
            <v>28743275</v>
          </cell>
        </row>
        <row r="29">
          <cell r="N29">
            <v>301752000</v>
          </cell>
          <cell r="Q29">
            <v>754380000</v>
          </cell>
          <cell r="T29">
            <v>150876000</v>
          </cell>
        </row>
        <row r="30">
          <cell r="N30">
            <v>76486300</v>
          </cell>
          <cell r="Q30">
            <v>191215750</v>
          </cell>
          <cell r="T30">
            <v>38243150</v>
          </cell>
        </row>
        <row r="31">
          <cell r="N31">
            <v>100514150</v>
          </cell>
          <cell r="Q31">
            <v>251285375</v>
          </cell>
          <cell r="T31">
            <v>50257075</v>
          </cell>
        </row>
        <row r="32">
          <cell r="N32">
            <v>59931300</v>
          </cell>
          <cell r="Q32">
            <v>149828250</v>
          </cell>
          <cell r="T32">
            <v>29965650</v>
          </cell>
        </row>
        <row r="43">
          <cell r="Q43">
            <v>39641250</v>
          </cell>
          <cell r="T43">
            <v>7928250</v>
          </cell>
        </row>
        <row r="44">
          <cell r="Q44">
            <v>38068250</v>
          </cell>
          <cell r="T44">
            <v>7613650</v>
          </cell>
        </row>
        <row r="45">
          <cell r="Q45">
            <v>41250000</v>
          </cell>
          <cell r="T45">
            <v>8250000</v>
          </cell>
        </row>
        <row r="56">
          <cell r="T56">
            <v>17556000</v>
          </cell>
        </row>
        <row r="57">
          <cell r="T57">
            <v>30000300</v>
          </cell>
        </row>
        <row r="58">
          <cell r="Q58">
            <v>40862250</v>
          </cell>
          <cell r="T58">
            <v>8172450</v>
          </cell>
        </row>
        <row r="59">
          <cell r="Q59">
            <v>30272000</v>
          </cell>
          <cell r="T59">
            <v>6054400</v>
          </cell>
        </row>
        <row r="60">
          <cell r="Q60">
            <v>43656250</v>
          </cell>
          <cell r="T60">
            <v>8731250</v>
          </cell>
        </row>
        <row r="61">
          <cell r="N61">
            <v>71526400</v>
          </cell>
          <cell r="Q61">
            <v>178816000</v>
          </cell>
          <cell r="T61">
            <v>35763200</v>
          </cell>
        </row>
        <row r="62">
          <cell r="N62">
            <v>23190200</v>
          </cell>
          <cell r="Q62">
            <v>57975500</v>
          </cell>
          <cell r="T62">
            <v>11595100</v>
          </cell>
        </row>
        <row r="63">
          <cell r="N63">
            <v>26822400</v>
          </cell>
          <cell r="Q63">
            <v>67056000</v>
          </cell>
          <cell r="T63">
            <v>13411200</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2HO-Account detail"/>
      <sheetName val="3HO-Account detail"/>
      <sheetName val="6HO-Account detail"/>
      <sheetName val="7HO-Account detail"/>
      <sheetName val="2HO-evidence of collection"/>
      <sheetName val="3HO-evidence of collection"/>
      <sheetName val="6HO-evidence of collection"/>
      <sheetName val="7HO-evidence of collection"/>
      <sheetName val="Liquidity Monthly Schedule"/>
      <sheetName val="Sheet2"/>
      <sheetName val="자금현황"/>
      <sheetName val="SPV Balance by bank_1"/>
      <sheetName val="SPV Balance by bank"/>
      <sheetName val="Current Financial Requirements"/>
      <sheetName val="Amount to be paid in 2025(이전)"/>
      <sheetName val="Amount to be paid in 2025(0826)"/>
      <sheetName val="Bolt Taeyanggwang 2HO"/>
      <sheetName val="Bolt Taeyanggwang 3HO"/>
      <sheetName val="Bolt Taeyanggwang 6HO"/>
      <sheetName val="지급비율"/>
      <sheetName val="Bolt Taeyanggwang 7HO"/>
      <sheetName val="Dropped Project (2)"/>
      <sheetName val="Dropped Proj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
          <cell r="E5" t="str">
            <v>Balance</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PV Balance by bank"/>
      <sheetName val="SPV Balance by bank_1"/>
      <sheetName val="확인자료"/>
      <sheetName val="Bolt1ho"/>
      <sheetName val="Bolt2ho"/>
      <sheetName val="Bolt3ho"/>
      <sheetName val="Bolt4ho"/>
      <sheetName val="Bolt5ho"/>
      <sheetName val="Bolt6ho"/>
      <sheetName val="Bolt7ho"/>
      <sheetName val="Bolt8ho"/>
      <sheetName val="Honam1ho"/>
      <sheetName val="Honam2ho"/>
      <sheetName val="POSN2HO"/>
      <sheetName val="Galsan"/>
      <sheetName val="Mineuri"/>
      <sheetName val="Saegol"/>
      <sheetName val="Jaesan"/>
    </sheetNames>
    <sheetDataSet>
      <sheetData sheetId="0"/>
      <sheetData sheetId="1">
        <row r="8">
          <cell r="L8">
            <v>89723426</v>
          </cell>
        </row>
        <row r="9">
          <cell r="L9">
            <v>299993.87</v>
          </cell>
        </row>
        <row r="11">
          <cell r="L11">
            <v>50567</v>
          </cell>
        </row>
        <row r="12">
          <cell r="L12">
            <v>0</v>
          </cell>
        </row>
        <row r="13">
          <cell r="L13"/>
        </row>
        <row r="14">
          <cell r="L14">
            <v>430382248</v>
          </cell>
        </row>
        <row r="15">
          <cell r="L15">
            <v>256.20999999996275</v>
          </cell>
        </row>
        <row r="16">
          <cell r="L16"/>
        </row>
        <row r="17">
          <cell r="L17">
            <v>609100</v>
          </cell>
        </row>
        <row r="18">
          <cell r="L18">
            <v>0</v>
          </cell>
        </row>
        <row r="19">
          <cell r="L19"/>
        </row>
        <row r="20">
          <cell r="L20">
            <v>546600</v>
          </cell>
        </row>
        <row r="21">
          <cell r="L21">
            <v>0</v>
          </cell>
        </row>
        <row r="22">
          <cell r="L22"/>
        </row>
        <row r="24">
          <cell r="L24">
            <v>0</v>
          </cell>
        </row>
        <row r="25">
          <cell r="L25"/>
        </row>
        <row r="26">
          <cell r="L26">
            <v>383728499</v>
          </cell>
        </row>
        <row r="27">
          <cell r="L27">
            <v>52.049999999988358</v>
          </cell>
        </row>
        <row r="28">
          <cell r="L28"/>
        </row>
        <row r="29">
          <cell r="L29">
            <v>546600</v>
          </cell>
        </row>
        <row r="30">
          <cell r="L30">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2HO-Account detail"/>
      <sheetName val="3HO-Account detail"/>
      <sheetName val="6HO-Account detail"/>
      <sheetName val="7HO-Account detail"/>
      <sheetName val="2HO-evidence of collection"/>
      <sheetName val="3HO-evidence of collection"/>
      <sheetName val="6HO-evidence of collection"/>
      <sheetName val="7HO-evidence of collection"/>
      <sheetName val="Liquidity Monthly Schedule"/>
      <sheetName val="Current Financial Requirements"/>
      <sheetName val="SPV Balance by bank"/>
      <sheetName val="Amount to be paid in 2025"/>
      <sheetName val="Bolt Taeyanggwang 2HO"/>
      <sheetName val="Bolt Taeyanggwang 3HO"/>
      <sheetName val="Bolt Taeyanggwang 6HO"/>
      <sheetName val="Bolt Taeyanggwang 7HO"/>
      <sheetName val="지급비율"/>
    </sheetNames>
    <sheetDataSet>
      <sheetData sheetId="0"/>
      <sheetData sheetId="1"/>
      <sheetData sheetId="2"/>
      <sheetData sheetId="3"/>
      <sheetData sheetId="4"/>
      <sheetData sheetId="5"/>
      <sheetData sheetId="6"/>
      <sheetData sheetId="7"/>
      <sheetData sheetId="8"/>
      <sheetData sheetId="9"/>
      <sheetData sheetId="10"/>
      <sheetData sheetId="11">
        <row r="7">
          <cell r="E7">
            <v>491292036</v>
          </cell>
        </row>
      </sheetData>
      <sheetData sheetId="12">
        <row r="13">
          <cell r="L13">
            <v>223811500</v>
          </cell>
        </row>
        <row r="33">
          <cell r="L33">
            <v>47583800</v>
          </cell>
        </row>
      </sheetData>
      <sheetData sheetId="13"/>
      <sheetData sheetId="14"/>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tch1 calculation"/>
      <sheetName val="Week news"/>
      <sheetName val="ref.Phase 1 (2)"/>
      <sheetName val="관련 현황"/>
      <sheetName val="GM Total"/>
      <sheetName val="GM Payment(1)"/>
      <sheetName val="GM Payment(APA)"/>
      <sheetName val="GM Payment(SPA)"/>
      <sheetName val="DG Total"/>
      <sheetName val="지급비율"/>
      <sheetName val="Bolt Taeyanggwang 2HO"/>
      <sheetName val="Bolt Taeyanggwang 3HO"/>
      <sheetName val="Bolt Taeyanggwang 6HO"/>
      <sheetName val="Bolt Taeyanggwang 7HO"/>
      <sheetName val="DG-PV Organic"/>
      <sheetName val="GM payment(재작성 중)"/>
      <sheetName val="SPVs Status 3"/>
      <sheetName val="ref.지급기준 (2)"/>
      <sheetName val="Solar M&amp;A"/>
      <sheetName val="Sheet1"/>
      <sheetName val="Rationales_Solar M&amp;A"/>
      <sheetName val="Solar Organic"/>
      <sheetName val="DG-PV M&amp;A"/>
      <sheetName val="Rationales_DG-PV Organic"/>
      <sheetName val="DG정리"/>
      <sheetName val="Quarterly BD Projection"/>
      <sheetName val="Wind"/>
      <sheetName val="Rationales_Wind"/>
      <sheetName val="Down PJ"/>
      <sheetName val="Back up"/>
      <sheetName val="Pivo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0">
          <cell r="F20">
            <v>1050000000</v>
          </cell>
          <cell r="AB20"/>
        </row>
        <row r="21">
          <cell r="F21">
            <v>300000000</v>
          </cell>
          <cell r="G21">
            <v>0.2</v>
          </cell>
          <cell r="AB21"/>
        </row>
        <row r="22">
          <cell r="F22">
            <v>200000000</v>
          </cell>
          <cell r="G22">
            <v>0.2</v>
          </cell>
          <cell r="AB22"/>
        </row>
        <row r="23">
          <cell r="F23">
            <v>200000000</v>
          </cell>
          <cell r="AB23"/>
        </row>
        <row r="25">
          <cell r="F25">
            <v>300000000</v>
          </cell>
        </row>
        <row r="26">
          <cell r="F26">
            <v>200000000</v>
          </cell>
        </row>
        <row r="27">
          <cell r="F27">
            <v>280000000</v>
          </cell>
        </row>
        <row r="35">
          <cell r="F35">
            <v>300000000</v>
          </cell>
          <cell r="G35">
            <v>0.3</v>
          </cell>
        </row>
        <row r="36">
          <cell r="F36">
            <v>50000000</v>
          </cell>
          <cell r="G36">
            <v>0.3</v>
          </cell>
        </row>
        <row r="39">
          <cell r="F39">
            <v>300000000</v>
          </cell>
          <cell r="G39">
            <v>0.3</v>
          </cell>
        </row>
        <row r="40">
          <cell r="F40">
            <v>150000000</v>
          </cell>
          <cell r="G40">
            <v>0.3</v>
          </cell>
        </row>
      </sheetData>
      <sheetData sheetId="10" refreshError="1"/>
      <sheetData sheetId="11" refreshError="1"/>
      <sheetData sheetId="12" refreshError="1"/>
      <sheetData sheetId="13" refreshError="1"/>
      <sheetData sheetId="14" refreshError="1">
        <row r="9">
          <cell r="O9">
            <v>1041</v>
          </cell>
        </row>
        <row r="17">
          <cell r="O17">
            <v>150</v>
          </cell>
        </row>
        <row r="29">
          <cell r="O29">
            <v>210</v>
          </cell>
        </row>
      </sheetData>
      <sheetData sheetId="15" refreshError="1"/>
      <sheetData sheetId="16" refreshError="1"/>
      <sheetData sheetId="17" refreshError="1">
        <row r="144">
          <cell r="D144">
            <v>122</v>
          </cell>
        </row>
        <row r="149">
          <cell r="D149">
            <v>172</v>
          </cell>
        </row>
        <row r="169">
          <cell r="D169">
            <v>144.15</v>
          </cell>
        </row>
        <row r="174">
          <cell r="D174">
            <v>138.43</v>
          </cell>
        </row>
        <row r="225">
          <cell r="G225">
            <v>0.2</v>
          </cell>
        </row>
        <row r="232">
          <cell r="G232">
            <v>0.2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ck up"/>
      <sheetName val="Shinan(9 Project) Inputsheet"/>
      <sheetName val="Shinan(9 Project) 7.5816MW"/>
      <sheetName val="민감도분석"/>
      <sheetName val="입력 시트(0124)"/>
      <sheetName val="O&amp;M"/>
      <sheetName val="Sheet1"/>
    </sheetNames>
    <sheetDataSet>
      <sheetData sheetId="0" refreshError="1"/>
      <sheetData sheetId="1" refreshError="1"/>
      <sheetData sheetId="2" refreshError="1"/>
      <sheetData sheetId="3" refreshError="1"/>
      <sheetData sheetId="4" refreshError="1">
        <row r="72">
          <cell r="E72" t="str">
            <v>CPI</v>
          </cell>
          <cell r="F72" t="str">
            <v>CPI</v>
          </cell>
          <cell r="G72" t="str">
            <v>CPI</v>
          </cell>
          <cell r="H72" t="str">
            <v>CPI</v>
          </cell>
          <cell r="I72" t="str">
            <v>CPI</v>
          </cell>
        </row>
        <row r="80">
          <cell r="E80">
            <v>45901</v>
          </cell>
          <cell r="F80">
            <v>45901</v>
          </cell>
          <cell r="G80">
            <v>45901</v>
          </cell>
          <cell r="H80">
            <v>45901</v>
          </cell>
          <cell r="I80">
            <v>45931</v>
          </cell>
        </row>
        <row r="81">
          <cell r="E81" t="str">
            <v>CPI</v>
          </cell>
          <cell r="F81" t="str">
            <v>CPI</v>
          </cell>
          <cell r="G81" t="str">
            <v>CPI</v>
          </cell>
          <cell r="H81" t="str">
            <v>CPI</v>
          </cell>
          <cell r="I81" t="str">
            <v>CPI</v>
          </cell>
        </row>
        <row r="82">
          <cell r="E82">
            <v>45901</v>
          </cell>
          <cell r="F82">
            <v>45901</v>
          </cell>
          <cell r="G82">
            <v>45901</v>
          </cell>
          <cell r="H82">
            <v>45901</v>
          </cell>
          <cell r="I82">
            <v>45931</v>
          </cell>
        </row>
        <row r="90">
          <cell r="E90" t="str">
            <v>CPI</v>
          </cell>
        </row>
        <row r="99">
          <cell r="E99" t="str">
            <v>N/A</v>
          </cell>
          <cell r="F99" t="str">
            <v>N/A</v>
          </cell>
          <cell r="G99" t="str">
            <v>N/A</v>
          </cell>
          <cell r="H99" t="str">
            <v>N/A</v>
          </cell>
          <cell r="I99" t="str">
            <v>N/A</v>
          </cell>
        </row>
        <row r="100">
          <cell r="E100">
            <v>45901</v>
          </cell>
          <cell r="F100">
            <v>45901</v>
          </cell>
          <cell r="G100">
            <v>45901</v>
          </cell>
          <cell r="H100">
            <v>45901</v>
          </cell>
          <cell r="I100">
            <v>45931</v>
          </cell>
        </row>
        <row r="108">
          <cell r="E108" t="str">
            <v>N/A</v>
          </cell>
          <cell r="F108" t="str">
            <v>N/A</v>
          </cell>
          <cell r="G108" t="str">
            <v>N/A</v>
          </cell>
          <cell r="H108" t="str">
            <v>N/A</v>
          </cell>
          <cell r="I108" t="str">
            <v>N/A</v>
          </cell>
        </row>
        <row r="116">
          <cell r="E116">
            <v>45901</v>
          </cell>
          <cell r="F116">
            <v>45901</v>
          </cell>
          <cell r="G116">
            <v>45901</v>
          </cell>
          <cell r="H116">
            <v>45901</v>
          </cell>
          <cell r="I116">
            <v>45931</v>
          </cell>
        </row>
        <row r="117">
          <cell r="E117" t="str">
            <v>N/A</v>
          </cell>
          <cell r="F117" t="str">
            <v>N/A</v>
          </cell>
          <cell r="G117" t="str">
            <v>N/A</v>
          </cell>
          <cell r="H117" t="str">
            <v>N/A</v>
          </cell>
          <cell r="I117" t="str">
            <v>N/A</v>
          </cell>
        </row>
        <row r="118">
          <cell r="E118">
            <v>45901</v>
          </cell>
          <cell r="F118">
            <v>45901</v>
          </cell>
          <cell r="G118">
            <v>45901</v>
          </cell>
          <cell r="H118">
            <v>45901</v>
          </cell>
          <cell r="I118">
            <v>45931</v>
          </cell>
        </row>
        <row r="127">
          <cell r="E127" t="str">
            <v>N/A</v>
          </cell>
        </row>
        <row r="154">
          <cell r="E154" t="str">
            <v>CPI</v>
          </cell>
          <cell r="F154" t="str">
            <v>CPI</v>
          </cell>
          <cell r="G154" t="str">
            <v>CPI</v>
          </cell>
          <cell r="H154" t="str">
            <v>CPI</v>
          </cell>
          <cell r="I154" t="str">
            <v>CPI</v>
          </cell>
        </row>
        <row r="200">
          <cell r="E200"/>
          <cell r="F200"/>
          <cell r="G200"/>
          <cell r="H200"/>
          <cell r="I200"/>
        </row>
        <row r="201">
          <cell r="E201"/>
          <cell r="F201"/>
          <cell r="G201"/>
          <cell r="H201"/>
          <cell r="I201"/>
        </row>
        <row r="202">
          <cell r="E202"/>
          <cell r="F202"/>
          <cell r="G202"/>
          <cell r="H202"/>
          <cell r="I202"/>
        </row>
        <row r="204">
          <cell r="E204"/>
          <cell r="F204"/>
          <cell r="G204"/>
          <cell r="H204"/>
          <cell r="I204"/>
        </row>
        <row r="205">
          <cell r="E205"/>
          <cell r="F205"/>
          <cell r="G205"/>
          <cell r="H205"/>
          <cell r="I205"/>
        </row>
        <row r="206">
          <cell r="E206"/>
          <cell r="F206"/>
          <cell r="G206"/>
          <cell r="H206"/>
          <cell r="I206"/>
        </row>
        <row r="207">
          <cell r="E207"/>
          <cell r="F207"/>
          <cell r="G207"/>
          <cell r="H207"/>
          <cell r="I207"/>
        </row>
        <row r="208">
          <cell r="E208"/>
          <cell r="F208"/>
          <cell r="G208"/>
          <cell r="H208"/>
          <cell r="I208"/>
        </row>
        <row r="209">
          <cell r="E209"/>
          <cell r="F209"/>
          <cell r="G209"/>
          <cell r="H209"/>
          <cell r="I209"/>
        </row>
        <row r="210">
          <cell r="E210"/>
          <cell r="F210"/>
          <cell r="G210"/>
          <cell r="H210"/>
          <cell r="I210"/>
        </row>
        <row r="211">
          <cell r="E211"/>
          <cell r="F211"/>
          <cell r="G211"/>
          <cell r="H211"/>
          <cell r="I211"/>
        </row>
        <row r="212">
          <cell r="E212"/>
          <cell r="F212"/>
          <cell r="G212"/>
          <cell r="H212"/>
          <cell r="I212"/>
        </row>
        <row r="213">
          <cell r="E213"/>
          <cell r="F213"/>
          <cell r="G213"/>
          <cell r="H213"/>
          <cell r="I213"/>
        </row>
        <row r="214">
          <cell r="E214"/>
          <cell r="F214"/>
          <cell r="G214"/>
          <cell r="H214"/>
          <cell r="I214"/>
        </row>
        <row r="215">
          <cell r="E215"/>
          <cell r="F215"/>
          <cell r="G215"/>
          <cell r="H215"/>
          <cell r="I215"/>
        </row>
        <row r="222">
          <cell r="E222"/>
          <cell r="F222"/>
          <cell r="G222"/>
          <cell r="H222"/>
          <cell r="I222"/>
        </row>
        <row r="232">
          <cell r="E232"/>
          <cell r="F232"/>
          <cell r="G232"/>
          <cell r="H232"/>
          <cell r="I232"/>
        </row>
        <row r="233">
          <cell r="E233"/>
          <cell r="F233"/>
          <cell r="G233"/>
          <cell r="H233"/>
          <cell r="I233"/>
        </row>
        <row r="234">
          <cell r="E234"/>
          <cell r="F234"/>
          <cell r="G234"/>
          <cell r="H234"/>
          <cell r="I234"/>
        </row>
        <row r="235">
          <cell r="E235"/>
          <cell r="F235"/>
          <cell r="G235"/>
          <cell r="H235"/>
          <cell r="I235"/>
        </row>
        <row r="236">
          <cell r="E236"/>
          <cell r="F236"/>
          <cell r="G236"/>
          <cell r="H236"/>
          <cell r="I236"/>
        </row>
        <row r="237">
          <cell r="E237"/>
          <cell r="F237"/>
          <cell r="G237"/>
          <cell r="H237"/>
          <cell r="I237"/>
        </row>
        <row r="238">
          <cell r="E238"/>
          <cell r="F238"/>
          <cell r="G238"/>
          <cell r="H238"/>
          <cell r="I238"/>
        </row>
        <row r="239">
          <cell r="E239"/>
          <cell r="F239"/>
          <cell r="G239"/>
          <cell r="H239"/>
          <cell r="I239"/>
        </row>
        <row r="240">
          <cell r="E240"/>
          <cell r="F240"/>
          <cell r="G240"/>
          <cell r="H240"/>
          <cell r="I240"/>
        </row>
        <row r="241">
          <cell r="E241"/>
          <cell r="F241"/>
          <cell r="G241"/>
          <cell r="H241"/>
          <cell r="I241"/>
        </row>
        <row r="242">
          <cell r="E242"/>
          <cell r="F242"/>
          <cell r="G242"/>
          <cell r="H242"/>
          <cell r="I242"/>
        </row>
        <row r="243">
          <cell r="E243"/>
          <cell r="F243"/>
          <cell r="G243"/>
          <cell r="H243"/>
          <cell r="I243"/>
        </row>
        <row r="244">
          <cell r="E244"/>
          <cell r="F244"/>
          <cell r="G244"/>
          <cell r="H244"/>
          <cell r="I244"/>
        </row>
        <row r="245">
          <cell r="E245"/>
          <cell r="F245"/>
          <cell r="G245"/>
          <cell r="H245"/>
          <cell r="I245"/>
        </row>
        <row r="246">
          <cell r="E246"/>
          <cell r="F246"/>
          <cell r="G246"/>
          <cell r="H246"/>
          <cell r="I246"/>
        </row>
        <row r="247">
          <cell r="E247"/>
          <cell r="F247"/>
          <cell r="G247"/>
          <cell r="H247"/>
          <cell r="I247"/>
        </row>
        <row r="248">
          <cell r="E248"/>
          <cell r="F248"/>
          <cell r="G248"/>
          <cell r="H248"/>
          <cell r="I248"/>
        </row>
        <row r="249">
          <cell r="E249"/>
          <cell r="F249"/>
          <cell r="G249"/>
          <cell r="H249"/>
          <cell r="I249"/>
        </row>
        <row r="250">
          <cell r="E250"/>
          <cell r="F250"/>
          <cell r="G250"/>
          <cell r="H250"/>
          <cell r="I250"/>
        </row>
        <row r="251">
          <cell r="E251"/>
          <cell r="F251"/>
          <cell r="G251"/>
          <cell r="H251"/>
          <cell r="I251"/>
        </row>
        <row r="252">
          <cell r="E252"/>
          <cell r="F252"/>
          <cell r="G252"/>
          <cell r="H252"/>
          <cell r="I252"/>
        </row>
        <row r="253">
          <cell r="E253"/>
          <cell r="F253"/>
          <cell r="G253"/>
          <cell r="H253"/>
          <cell r="I253"/>
        </row>
        <row r="254">
          <cell r="E254"/>
          <cell r="F254"/>
          <cell r="G254"/>
          <cell r="H254"/>
          <cell r="I254"/>
        </row>
        <row r="264">
          <cell r="E264"/>
          <cell r="F264"/>
          <cell r="G264"/>
          <cell r="H264"/>
          <cell r="I264"/>
        </row>
        <row r="267">
          <cell r="E267"/>
          <cell r="F267"/>
          <cell r="G267"/>
          <cell r="H267"/>
          <cell r="I267"/>
        </row>
        <row r="269">
          <cell r="E269"/>
          <cell r="F269"/>
          <cell r="G269"/>
          <cell r="H269"/>
          <cell r="I269"/>
        </row>
        <row r="270">
          <cell r="E270"/>
          <cell r="F270"/>
          <cell r="G270"/>
          <cell r="H270"/>
          <cell r="I270"/>
        </row>
        <row r="272">
          <cell r="E272"/>
          <cell r="F272"/>
          <cell r="G272"/>
          <cell r="H272"/>
          <cell r="I272"/>
        </row>
        <row r="273">
          <cell r="E273"/>
          <cell r="F273"/>
          <cell r="G273"/>
          <cell r="H273"/>
          <cell r="I273"/>
        </row>
        <row r="274">
          <cell r="E274"/>
          <cell r="F274"/>
          <cell r="G274"/>
          <cell r="H274"/>
          <cell r="I274"/>
        </row>
        <row r="275">
          <cell r="E275"/>
          <cell r="F275"/>
          <cell r="G275"/>
          <cell r="H275"/>
          <cell r="I275"/>
        </row>
        <row r="276">
          <cell r="E276"/>
          <cell r="F276"/>
          <cell r="G276"/>
          <cell r="H276"/>
          <cell r="I276"/>
        </row>
        <row r="277">
          <cell r="E277"/>
          <cell r="F277"/>
          <cell r="G277"/>
          <cell r="H277"/>
          <cell r="I277"/>
        </row>
        <row r="278">
          <cell r="E278"/>
          <cell r="F278"/>
          <cell r="G278"/>
          <cell r="H278"/>
          <cell r="I278"/>
        </row>
        <row r="279">
          <cell r="E279"/>
          <cell r="F279"/>
          <cell r="G279"/>
          <cell r="H279"/>
          <cell r="I279"/>
        </row>
        <row r="280">
          <cell r="E280"/>
          <cell r="F280"/>
          <cell r="G280"/>
          <cell r="H280"/>
          <cell r="I280"/>
        </row>
        <row r="281">
          <cell r="E281"/>
          <cell r="F281"/>
          <cell r="G281"/>
          <cell r="H281"/>
          <cell r="I281"/>
        </row>
        <row r="282">
          <cell r="E282"/>
          <cell r="F282"/>
          <cell r="G282"/>
          <cell r="H282"/>
          <cell r="I282"/>
        </row>
        <row r="283">
          <cell r="E283"/>
          <cell r="F283"/>
          <cell r="G283"/>
          <cell r="H283"/>
          <cell r="I283"/>
        </row>
        <row r="284">
          <cell r="E284"/>
          <cell r="F284"/>
          <cell r="G284"/>
          <cell r="H284"/>
          <cell r="I284"/>
        </row>
        <row r="285">
          <cell r="E285"/>
          <cell r="F285"/>
          <cell r="G285"/>
          <cell r="H285"/>
          <cell r="I285"/>
        </row>
        <row r="286">
          <cell r="E286"/>
          <cell r="F286"/>
          <cell r="G286"/>
          <cell r="H286"/>
          <cell r="I286"/>
        </row>
        <row r="307">
          <cell r="E307"/>
          <cell r="F307"/>
          <cell r="G307"/>
          <cell r="H307"/>
          <cell r="I307"/>
        </row>
        <row r="308">
          <cell r="E308"/>
          <cell r="F308"/>
          <cell r="G308"/>
          <cell r="H308"/>
          <cell r="I308"/>
        </row>
        <row r="309">
          <cell r="E309"/>
          <cell r="F309"/>
          <cell r="G309"/>
          <cell r="H309"/>
          <cell r="I309"/>
        </row>
        <row r="310">
          <cell r="E310"/>
          <cell r="F310"/>
          <cell r="G310"/>
          <cell r="H310"/>
          <cell r="I310"/>
        </row>
        <row r="311">
          <cell r="E311"/>
          <cell r="F311"/>
          <cell r="G311"/>
          <cell r="H311"/>
          <cell r="I311"/>
        </row>
        <row r="312">
          <cell r="E312"/>
          <cell r="F312"/>
          <cell r="G312"/>
          <cell r="H312"/>
          <cell r="I312"/>
        </row>
        <row r="313">
          <cell r="E313"/>
          <cell r="F313"/>
          <cell r="G313"/>
          <cell r="H313"/>
          <cell r="I313"/>
        </row>
        <row r="314">
          <cell r="E314"/>
          <cell r="F314"/>
          <cell r="G314"/>
          <cell r="H314"/>
          <cell r="I314"/>
        </row>
        <row r="315">
          <cell r="E315"/>
          <cell r="F315"/>
          <cell r="G315"/>
          <cell r="H315"/>
          <cell r="I315"/>
        </row>
        <row r="316">
          <cell r="E316"/>
          <cell r="F316"/>
          <cell r="G316"/>
          <cell r="H316"/>
          <cell r="I316"/>
        </row>
        <row r="317">
          <cell r="E317"/>
          <cell r="F317"/>
          <cell r="G317"/>
          <cell r="H317"/>
          <cell r="I317"/>
        </row>
        <row r="318">
          <cell r="E318"/>
          <cell r="F318"/>
          <cell r="G318"/>
          <cell r="H318"/>
          <cell r="I318"/>
        </row>
        <row r="319">
          <cell r="E319"/>
          <cell r="F319"/>
          <cell r="G319"/>
          <cell r="H319"/>
          <cell r="I319"/>
        </row>
        <row r="320">
          <cell r="E320"/>
          <cell r="F320"/>
          <cell r="G320"/>
          <cell r="H320"/>
          <cell r="I320"/>
        </row>
        <row r="321">
          <cell r="E321"/>
          <cell r="F321"/>
          <cell r="G321"/>
          <cell r="H321"/>
          <cell r="I321"/>
        </row>
        <row r="322">
          <cell r="E322"/>
          <cell r="F322"/>
          <cell r="G322"/>
          <cell r="H322"/>
          <cell r="I322"/>
        </row>
        <row r="323">
          <cell r="E323"/>
          <cell r="F323"/>
          <cell r="G323"/>
          <cell r="H323"/>
          <cell r="I323"/>
        </row>
        <row r="324">
          <cell r="E324"/>
          <cell r="F324"/>
          <cell r="G324"/>
          <cell r="H324"/>
          <cell r="I324"/>
        </row>
        <row r="325">
          <cell r="E325"/>
          <cell r="F325"/>
          <cell r="G325"/>
          <cell r="H325"/>
          <cell r="I325"/>
        </row>
        <row r="326">
          <cell r="E326"/>
          <cell r="F326"/>
          <cell r="G326"/>
          <cell r="H326"/>
          <cell r="I326"/>
        </row>
        <row r="327">
          <cell r="E327"/>
          <cell r="F327"/>
          <cell r="G327"/>
          <cell r="H327"/>
          <cell r="I327"/>
        </row>
        <row r="328">
          <cell r="E328"/>
          <cell r="F328"/>
          <cell r="G328"/>
          <cell r="H328"/>
          <cell r="I328"/>
        </row>
        <row r="329">
          <cell r="E329"/>
          <cell r="F329"/>
          <cell r="G329"/>
          <cell r="H329"/>
          <cell r="I329"/>
        </row>
        <row r="366">
          <cell r="E366">
            <v>0</v>
          </cell>
          <cell r="F366">
            <v>0</v>
          </cell>
          <cell r="G366">
            <v>0</v>
          </cell>
          <cell r="H366">
            <v>0</v>
          </cell>
          <cell r="I366">
            <v>0</v>
          </cell>
        </row>
        <row r="370">
          <cell r="E370">
            <v>1</v>
          </cell>
          <cell r="F370">
            <v>1</v>
          </cell>
          <cell r="G370">
            <v>1</v>
          </cell>
          <cell r="H370">
            <v>1</v>
          </cell>
          <cell r="I370">
            <v>1</v>
          </cell>
        </row>
        <row r="398">
          <cell r="E398">
            <v>0</v>
          </cell>
          <cell r="F398">
            <v>0</v>
          </cell>
          <cell r="G398">
            <v>0</v>
          </cell>
          <cell r="H398">
            <v>0</v>
          </cell>
          <cell r="I398">
            <v>0</v>
          </cell>
        </row>
        <row r="402">
          <cell r="E402"/>
          <cell r="F402"/>
          <cell r="G402"/>
          <cell r="H402"/>
          <cell r="I402"/>
        </row>
        <row r="403">
          <cell r="E403"/>
          <cell r="F403"/>
          <cell r="G403"/>
          <cell r="H403"/>
          <cell r="I403"/>
        </row>
        <row r="404">
          <cell r="E404"/>
          <cell r="F404"/>
          <cell r="G404"/>
          <cell r="H404"/>
          <cell r="I404"/>
        </row>
        <row r="405">
          <cell r="E405"/>
          <cell r="F405"/>
          <cell r="G405"/>
          <cell r="H405"/>
          <cell r="I405"/>
        </row>
        <row r="406">
          <cell r="E406"/>
          <cell r="F406"/>
          <cell r="G406"/>
          <cell r="H406"/>
          <cell r="I406"/>
        </row>
        <row r="407">
          <cell r="E407"/>
          <cell r="F407"/>
          <cell r="G407"/>
          <cell r="H407"/>
          <cell r="I407"/>
        </row>
        <row r="408">
          <cell r="E408"/>
          <cell r="F408"/>
          <cell r="G408"/>
          <cell r="H408"/>
          <cell r="I408"/>
        </row>
        <row r="409">
          <cell r="E409"/>
          <cell r="F409"/>
          <cell r="G409"/>
          <cell r="H409"/>
          <cell r="I409"/>
        </row>
        <row r="410">
          <cell r="E410"/>
          <cell r="F410"/>
          <cell r="G410"/>
          <cell r="H410"/>
          <cell r="I410"/>
        </row>
        <row r="411">
          <cell r="E411"/>
          <cell r="F411"/>
          <cell r="G411"/>
          <cell r="H411"/>
          <cell r="I411"/>
        </row>
        <row r="412">
          <cell r="E412"/>
          <cell r="F412"/>
          <cell r="G412"/>
          <cell r="H412"/>
          <cell r="I412"/>
        </row>
        <row r="413">
          <cell r="E413"/>
          <cell r="F413"/>
          <cell r="G413"/>
          <cell r="H413"/>
          <cell r="I413"/>
        </row>
        <row r="414">
          <cell r="E414"/>
          <cell r="F414"/>
          <cell r="G414"/>
          <cell r="H414"/>
          <cell r="I414"/>
        </row>
        <row r="415">
          <cell r="E415"/>
          <cell r="F415"/>
          <cell r="G415"/>
          <cell r="H415"/>
          <cell r="I415"/>
        </row>
        <row r="416">
          <cell r="E416"/>
          <cell r="F416"/>
          <cell r="G416"/>
          <cell r="H416"/>
          <cell r="I416"/>
        </row>
        <row r="417">
          <cell r="E417"/>
          <cell r="F417"/>
          <cell r="G417"/>
          <cell r="H417"/>
          <cell r="I417"/>
        </row>
        <row r="418">
          <cell r="E418"/>
          <cell r="F418"/>
          <cell r="G418"/>
          <cell r="H418"/>
          <cell r="I418"/>
        </row>
        <row r="419">
          <cell r="E419"/>
          <cell r="F419"/>
          <cell r="G419"/>
          <cell r="H419"/>
          <cell r="I419"/>
        </row>
        <row r="420">
          <cell r="E420"/>
          <cell r="F420"/>
          <cell r="G420"/>
          <cell r="H420"/>
          <cell r="I420"/>
        </row>
        <row r="421">
          <cell r="E421"/>
          <cell r="F421"/>
          <cell r="G421"/>
          <cell r="H421"/>
          <cell r="I421"/>
        </row>
        <row r="422">
          <cell r="E422"/>
          <cell r="F422"/>
          <cell r="G422"/>
          <cell r="H422"/>
          <cell r="I422"/>
        </row>
        <row r="423">
          <cell r="E423"/>
          <cell r="F423"/>
          <cell r="G423"/>
          <cell r="H423"/>
          <cell r="I423"/>
        </row>
        <row r="424">
          <cell r="E424"/>
          <cell r="F424"/>
          <cell r="G424"/>
          <cell r="H424"/>
          <cell r="I424"/>
        </row>
        <row r="425">
          <cell r="E425"/>
          <cell r="F425"/>
          <cell r="G425"/>
          <cell r="H425"/>
          <cell r="I425"/>
        </row>
      </sheetData>
      <sheetData sheetId="5" refreshError="1">
        <row r="14">
          <cell r="E14">
            <v>8640000</v>
          </cell>
        </row>
      </sheetData>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CAPEX_KRW"/>
      <sheetName val="CAPEX_EUR"/>
      <sheetName val="GM,DG CAPEX(Before)"/>
      <sheetName val="GM,DG CAPEX_이전"/>
      <sheetName val="CAPEX_1"/>
      <sheetName val="GM,DG CAPEX_1"/>
      <sheetName val="GM,DG DEVEX"/>
      <sheetName val="GM,DG CAPEX"/>
      <sheetName val="BESS_DEVEX"/>
      <sheetName val="BESS_CAPEX"/>
      <sheetName val="2026Budget"/>
      <sheetName val="Assumptions"/>
      <sheetName val="지급 기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23">
          <cell r="B523">
            <v>3.5750000000000002</v>
          </cell>
        </row>
        <row r="531">
          <cell r="B531">
            <v>4.1780263499999997</v>
          </cell>
        </row>
        <row r="539">
          <cell r="B539">
            <v>5</v>
          </cell>
        </row>
        <row r="547">
          <cell r="B547">
            <v>5</v>
          </cell>
        </row>
        <row r="555">
          <cell r="B555">
            <v>5</v>
          </cell>
        </row>
        <row r="563">
          <cell r="B563">
            <v>5</v>
          </cell>
        </row>
        <row r="571">
          <cell r="B571">
            <v>5</v>
          </cell>
        </row>
        <row r="579">
          <cell r="B579">
            <v>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tch1 calculation"/>
      <sheetName val="Week news"/>
      <sheetName val="ref.Phase 1 (2)"/>
      <sheetName val="관련 현황"/>
      <sheetName val="GM Total"/>
      <sheetName val="GM Batch1"/>
      <sheetName val="GM Batch2 Payment Plan"/>
      <sheetName val="GM Payment(APA)"/>
      <sheetName val="GM Payment(SPA)"/>
      <sheetName val="지급비율"/>
      <sheetName val="지급비율(1)"/>
      <sheetName val="DG-PV Organic"/>
      <sheetName val="GM payment(재작성 중)"/>
      <sheetName val="SPVs Status 3"/>
      <sheetName val="ref.지급기준 (2)"/>
      <sheetName val="Solar M&amp;A"/>
      <sheetName val="Sheet1"/>
      <sheetName val="Rationales_Solar M&amp;A"/>
      <sheetName val="Solar Organic"/>
      <sheetName val="DG-PV M&amp;A"/>
      <sheetName val="Rationales_DG-PV Organic"/>
      <sheetName val="DG정리"/>
      <sheetName val="Quarterly BD Projection"/>
      <sheetName val="Wind"/>
      <sheetName val="Rationales_Wind"/>
      <sheetName val="Down PJ"/>
      <sheetName val="Back up"/>
      <sheetName val="Pivot"/>
    </sheetNames>
    <sheetDataSet>
      <sheetData sheetId="0"/>
      <sheetData sheetId="1"/>
      <sheetData sheetId="2"/>
      <sheetData sheetId="3"/>
      <sheetData sheetId="4"/>
      <sheetData sheetId="5">
        <row r="11">
          <cell r="D11">
            <v>999.58</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2HO-Account detail"/>
      <sheetName val="3HO-Account detail"/>
      <sheetName val="6HO-Account detail"/>
      <sheetName val="7HO-Account detail"/>
      <sheetName val="2HO-evidence of collection"/>
      <sheetName val="3HO-evidence of collection"/>
      <sheetName val="6HO-evidence of collection"/>
      <sheetName val="7HO-evidence of collection"/>
      <sheetName val="Liquidity Monthly Schedule"/>
      <sheetName val="Sheet2"/>
      <sheetName val="자금현황"/>
      <sheetName val="SPV Balance by bank_1"/>
      <sheetName val="SPV Balance by bank"/>
      <sheetName val="Current Financial Requirements"/>
      <sheetName val="Amount to be paid in 2025(이전)"/>
      <sheetName val="Amount to be paid in 2025(0820)"/>
      <sheetName val="Bolt Taeyanggwang 2HO"/>
      <sheetName val="Bolt Taeyanggwang 3HO"/>
      <sheetName val="지급비율"/>
      <sheetName val="Bolt Taeyanggwang 6HO"/>
      <sheetName val="Bolt Taeyanggwang 7HO"/>
      <sheetName val="Dropped Proj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ow r="35">
          <cell r="K35">
            <v>137984000</v>
          </cell>
        </row>
        <row r="40">
          <cell r="K40">
            <v>73920000</v>
          </cell>
        </row>
        <row r="45">
          <cell r="K45">
            <v>305593750</v>
          </cell>
        </row>
        <row r="50">
          <cell r="K50">
            <v>2306823750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2HO-Account detail"/>
      <sheetName val="3HO-Account detail"/>
      <sheetName val="6HO-Account detail"/>
      <sheetName val="7HO-Account detail"/>
      <sheetName val="2HO-evidence of collection"/>
      <sheetName val="3HO-evidence of collection"/>
      <sheetName val="6HO-evidence of collection"/>
      <sheetName val="7HO-evidence of collection"/>
      <sheetName val="Liquidity Monthly Schedule"/>
      <sheetName val="Sheet2"/>
      <sheetName val="자금현황"/>
      <sheetName val="SPV Balance by bank_1"/>
      <sheetName val="SPV Balance by bank"/>
      <sheetName val="Current Financial Requirements"/>
      <sheetName val="Amount to be paid in 2025(이전)"/>
      <sheetName val="Amount to be paid in 2025(0814)"/>
      <sheetName val="Bolt Taeyanggwang 2HO"/>
      <sheetName val="지급비율"/>
      <sheetName val="Bolt Taeyanggwang 3HO"/>
      <sheetName val="Bolt Taeyanggwang 6HO"/>
      <sheetName val="Bolt Taeyanggwang 7HO"/>
      <sheetName val="Dropped Proj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1">
          <cell r="G21">
            <v>158686500</v>
          </cell>
        </row>
        <row r="22">
          <cell r="G22">
            <v>45339000</v>
          </cell>
        </row>
        <row r="23">
          <cell r="G23">
            <v>30226000</v>
          </cell>
        </row>
        <row r="24">
          <cell r="G24">
            <v>30226000</v>
          </cell>
        </row>
        <row r="26">
          <cell r="G26">
            <v>75264000</v>
          </cell>
        </row>
        <row r="27">
          <cell r="G27">
            <v>21504000.000000004</v>
          </cell>
        </row>
        <row r="28">
          <cell r="G28">
            <v>14336000.000000002</v>
          </cell>
        </row>
        <row r="29">
          <cell r="G29">
            <v>14336000.000000002</v>
          </cell>
        </row>
        <row r="31">
          <cell r="G31">
            <v>40320000</v>
          </cell>
        </row>
        <row r="32">
          <cell r="G32">
            <v>11520000</v>
          </cell>
        </row>
        <row r="33">
          <cell r="G33">
            <v>7680000</v>
          </cell>
        </row>
        <row r="34">
          <cell r="G34">
            <v>7680000</v>
          </cell>
        </row>
        <row r="36">
          <cell r="G36">
            <v>166687500</v>
          </cell>
        </row>
        <row r="37">
          <cell r="G37">
            <v>47625000</v>
          </cell>
        </row>
        <row r="38">
          <cell r="G38">
            <v>31750000</v>
          </cell>
        </row>
        <row r="39">
          <cell r="G39">
            <v>31750000</v>
          </cell>
        </row>
      </sheetData>
      <sheetData sheetId="22"/>
    </sheetDataSet>
  </externalBook>
</externalLink>
</file>

<file path=xl/persons/person.xml><?xml version="1.0" encoding="utf-8"?>
<personList xmlns="http://schemas.microsoft.com/office/spreadsheetml/2018/threadedcomments" xmlns:x="http://schemas.openxmlformats.org/spreadsheetml/2006/main">
  <person displayName="distributed generation" id="{675FAB0A-85B0-4E7B-84EA-EF827ED83DBC}" userId="S::dg@originated.co.kr::471da4b1-347d-4037-8281-85ce65981424" providerId="AD"/>
  <person displayName="Shin Seungyeon" id="{BF8CCF23-E8AB-4864-9EBA-5063FFADC34E}" userId="S::sy.shin@originated.co.kr::a7ff9e25-83a8-48f7-ad73-3e825c372aec" providerId="AD"/>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28" dT="2025-10-04T04:42:51.03" personId="{675FAB0A-85B0-4E7B-84EA-EF827ED83DBC}" id="{F2AA6B29-2D9C-4885-AF6E-90F4BE743EFB}">
    <text xml:space="preserve">The amount already paid for the dropped project has been reflected in Daecheon Busan. </text>
  </threadedComment>
</ThreadedComments>
</file>

<file path=xl/threadedComments/threadedComment2.xml><?xml version="1.0" encoding="utf-8"?>
<ThreadedComments xmlns="http://schemas.microsoft.com/office/spreadsheetml/2018/threadedcomments" xmlns:x="http://schemas.openxmlformats.org/spreadsheetml/2006/main">
  <threadedComment ref="C28" dT="2025-10-04T04:42:51.03" personId="{675FAB0A-85B0-4E7B-84EA-EF827ED83DBC}" id="{094FB362-702D-4086-A7C3-923B1E787288}">
    <text xml:space="preserve">The amount already paid for the dropped project has been reflected in Daecheon Busan. </text>
  </threadedComment>
</ThreadedComments>
</file>

<file path=xl/threadedComments/threadedComment3.xml><?xml version="1.0" encoding="utf-8"?>
<ThreadedComments xmlns="http://schemas.microsoft.com/office/spreadsheetml/2018/threadedcomments" xmlns:x="http://schemas.openxmlformats.org/spreadsheetml/2006/main">
  <threadedComment ref="C11" dT="2025-08-21T02:36:45.18" personId="{675FAB0A-85B0-4E7B-84EA-EF827ED83DBC}" id="{7FBF583A-CF02-42FD-8EDA-5AB731065C7E}">
    <text>1site 776.03kW
2site 266.96kW
로 발전사업허가 신청 총 1,042.99kW</text>
  </threadedComment>
  <threadedComment ref="D16" dT="2025-07-18T01:25:05.47" personId="{675FAB0A-85B0-4E7B-84EA-EF827ED83DBC}" id="{B0D92E0F-AF65-4288-AF4F-B825ADC22321}">
    <text>발전용량 변경 406kWp-&gt; 300kWp-&gt; 386kWp</text>
  </threadedComment>
</ThreadedComments>
</file>

<file path=xl/threadedComments/threadedComment4.xml><?xml version="1.0" encoding="utf-8"?>
<ThreadedComments xmlns="http://schemas.microsoft.com/office/spreadsheetml/2018/threadedcomments" xmlns:x="http://schemas.openxmlformats.org/spreadsheetml/2006/main">
  <threadedComment ref="D34" dT="2025-10-13T08:50:03.95" personId="{675FAB0A-85B0-4E7B-84EA-EF827ED83DBC}" id="{80539C37-E0CD-473F-9528-21E6F835AACF}">
    <text>Drop Project</text>
  </threadedComment>
  <threadedComment ref="D34" dT="2025-10-14T01:55:27.35" personId="{675FAB0A-85B0-4E7B-84EA-EF827ED83DBC}" id="{D5F98E65-C785-45C2-8CC7-B4D691692950}" parentId="{80539C37-E0CD-473F-9528-21E6F835AACF}">
    <text xml:space="preserve">Transfer Sep. amount to Daecheon Busan </text>
  </threadedComment>
  <threadedComment ref="D38" dT="2025-10-13T08:50:27.01" personId="{675FAB0A-85B0-4E7B-84EA-EF827ED83DBC}" id="{622D0E82-701D-4970-B6A0-62AD95244445}">
    <text>Drop Project</text>
  </threadedComment>
  <threadedComment ref="D39" dT="2025-10-13T08:50:36.58" personId="{675FAB0A-85B0-4E7B-84EA-EF827ED83DBC}" id="{AE325832-6B12-4F25-84F1-D909A0CB69FD}">
    <text>Drop Project</text>
  </threadedComment>
</ThreadedComments>
</file>

<file path=xl/threadedComments/threadedComment5.xml><?xml version="1.0" encoding="utf-8"?>
<ThreadedComments xmlns="http://schemas.microsoft.com/office/spreadsheetml/2018/threadedcomments" xmlns:x="http://schemas.openxmlformats.org/spreadsheetml/2006/main">
  <threadedComment ref="B22" dT="2025-12-16T08:19:30.56" personId="{675FAB0A-85B0-4E7B-84EA-EF827ED83DBC}" id="{5E146BF6-8E05-4D6C-A239-569C20E0A7D6}">
    <text>1은 190.08kW , 2는 380.80kW로 전체 570.88임</text>
  </threadedComment>
</ThreadedComments>
</file>

<file path=xl/threadedComments/threadedComment6.xml><?xml version="1.0" encoding="utf-8"?>
<ThreadedComments xmlns="http://schemas.microsoft.com/office/spreadsheetml/2018/threadedcomments" xmlns:x="http://schemas.openxmlformats.org/spreadsheetml/2006/main">
  <threadedComment ref="C29" dT="2025-12-11T02:15:42.22" personId="{675FAB0A-85B0-4E7B-84EA-EF827ED83DBC}" id="{27EE2500-840B-414C-B3DC-8CD6D8229C68}">
    <text>동성메탈 임차250612_54,539,100 EBL 250717_54,539,100 지급분 Drop에 따른 Daechon Busan Milestone3에 반영 함</text>
  </threadedComment>
  <threadedComment ref="C49" dT="2025-12-16T08:12:22.88" personId="{675FAB0A-85B0-4E7B-84EA-EF827ED83DBC}" id="{DC3C2E0F-7B8F-49B7-80D7-4055BC828096}">
    <text>계약서는 228kW로 되어 있음</text>
  </threadedComment>
  <threadedComment ref="C50" dT="2025-12-16T08:12:41.28" personId="{675FAB0A-85B0-4E7B-84EA-EF827ED83DBC}" id="{9D7F21EC-526C-4F16-97EB-5E9CE52FE2F2}">
    <text>계약서 금액은 241kW로 되어 있음</text>
  </threadedComment>
</ThreadedComments>
</file>

<file path=xl/threadedComments/threadedComment7.xml><?xml version="1.0" encoding="utf-8"?>
<ThreadedComments xmlns="http://schemas.microsoft.com/office/spreadsheetml/2018/threadedcomments" xmlns:x="http://schemas.openxmlformats.org/spreadsheetml/2006/main">
  <threadedComment ref="C6" dT="2025-12-12T04:12:44.15" personId="{675FAB0A-85B0-4E7B-84EA-EF827ED83DBC}" id="{D0E43E91-8DF6-41EE-AC96-FCD2FC596B27}">
    <text>임대인에게 청구 함.</text>
  </threadedComment>
  <threadedComment ref="C29" dT="2025-12-11T02:15:42.22" personId="{675FAB0A-85B0-4E7B-84EA-EF827ED83DBC}" id="{7898F080-51F7-411E-907F-7196AE2ACE03}">
    <text>동성메탈 임차250612_54,539,100 EBL 250717_54,539,100 지급분 Drop에 따른 Daechon Busan Milestone3에 반영 함</text>
  </threadedComment>
  <threadedComment ref="C46" dT="2025-12-16T08:12:22.88" personId="{675FAB0A-85B0-4E7B-84EA-EF827ED83DBC}" id="{7A5C056F-F58B-4E08-8CFB-7128C6FD6547}">
    <text>계약서는 228kW로 되어 있음 자금은 227로 집행</text>
  </threadedComment>
  <threadedComment ref="C47" dT="2025-12-16T08:12:41.28" personId="{675FAB0A-85B0-4E7B-84EA-EF827ED83DBC}" id="{B4C1827A-044A-461E-8ACF-AA866F0DC48D}">
    <text>계약서 금액은 241kW로 되어 있음 자금은 233으로 집행</text>
  </threadedComment>
</ThreadedComments>
</file>

<file path=xl/threadedComments/threadedComment8.xml><?xml version="1.0" encoding="utf-8"?>
<ThreadedComments xmlns="http://schemas.microsoft.com/office/spreadsheetml/2018/threadedcomments" xmlns:x="http://schemas.openxmlformats.org/spreadsheetml/2006/main">
  <threadedComment ref="D11" dT="2025-11-06T02:10:43.79" personId="{675FAB0A-85B0-4E7B-84EA-EF827ED83DBC}" id="{DD86E0BF-D030-4093-90A6-3C405F431642}">
    <text>기존 791.04 였으나 변경되어 817.21</text>
  </threadedComment>
  <threadedComment ref="D16" dT="2025-11-06T02:11:11.56" personId="{675FAB0A-85B0-4E7B-84EA-EF827ED83DBC}" id="{94341D21-9C54-49A3-ACC0-DDA6601C8C16}">
    <text>기존 266.96에서 변경되어 240.69</text>
  </threadedComment>
  <threadedComment ref="D21" dT="2025-07-18T01:25:05.47" personId="{675FAB0A-85B0-4E7B-84EA-EF827ED83DBC}" id="{FAB427E1-0ADB-4909-A120-7068278E3E73}">
    <text>발전용량 변경 406kWp-&gt; 300kWp-&gt; 386kWp</text>
  </threadedComment>
  <threadedComment ref="D21" dT="2025-11-06T02:15:06.62" personId="{675FAB0A-85B0-4E7B-84EA-EF827ED83DBC}" id="{5DF27251-57EE-4331-962E-8BBE7E2D972E}" parentId="{FAB427E1-0ADB-4909-A120-7068278E3E73}">
    <text>386.24</text>
  </threadedComment>
</ThreadedComments>
</file>

<file path=xl/threadedComments/threadedComment9.xml><?xml version="1.0" encoding="utf-8"?>
<ThreadedComments xmlns="http://schemas.microsoft.com/office/spreadsheetml/2018/threadedcomments" xmlns:x="http://schemas.openxmlformats.org/spreadsheetml/2006/main">
  <threadedComment ref="R12" dT="2025-05-14T02:09:02.72" personId="{675FAB0A-85B0-4E7B-84EA-EF827ED83DBC}" id="{B75D38C5-574F-44D8-947F-7554E12BB82A}">
    <text>2025-05-07 10,000,000원 먼저 지급</text>
  </threadedComment>
  <threadedComment ref="C41" dT="2025-10-14T01:56:23.62" personId="{675FAB0A-85B0-4E7B-84EA-EF827ED83DBC}" id="{4F7B5DFB-3B41-4817-A02C-E5BB6B275B48}">
    <text>동성메탈 계약금, EBL 금액 대천부산 DAP로 이전 됨(25.09)</text>
  </threadedComment>
  <threadedComment ref="C51" dT="2025-10-04T04:38:17.17" personId="{675FAB0A-85B0-4E7B-84EA-EF827ED83DBC}" id="{6A900D4F-8296-463E-826A-54A0B3F283B2}">
    <text xml:space="preserve">기 납부 금액 대천부산에 반영 됨
</text>
  </threadedComment>
</ThreadedComments>
</file>

<file path=xl/threadedComments/threadedComment10.xml><?xml version="1.0" encoding="utf-8"?>
<ThreadedComments xmlns="http://schemas.microsoft.com/office/spreadsheetml/2018/threadedcomments" xmlns:x="http://schemas.openxmlformats.org/spreadsheetml/2006/main">
  <threadedComment ref="C46" dT="2025-10-14T01:57:53.19" personId="{675FAB0A-85B0-4E7B-84EA-EF827ED83DBC}" id="{9FB2A467-EBA4-403C-A18C-7F33418955B8}">
    <text>2호에서 지급 함. 추후 변경 진행 필요</text>
  </threadedComment>
</ThreadedComments>
</file>

<file path=xl/threadedComments/threadedComment11.xml><?xml version="1.0" encoding="utf-8"?>
<ThreadedComments xmlns="http://schemas.microsoft.com/office/spreadsheetml/2018/threadedcomments" xmlns:x="http://schemas.openxmlformats.org/spreadsheetml/2006/main">
  <threadedComment ref="D11" dT="2025-11-20T06:21:21.56" personId="{BF8CCF23-E8AB-4864-9EBA-5063FFADC34E}" id="{14F93935-4A7B-4824-86F1-BC517A0E66C1}">
    <text>Previously 319.20kW</text>
  </threadedComment>
  <threadedComment ref="D16" dT="2025-05-14T02:10:04.19" personId="{675FAB0A-85B0-4E7B-84EA-EF827ED83DBC}" id="{8186DD2A-7608-4AD2-AF6B-C22C7B05CFB8}">
    <text>임대 계약서 상 545.465이나 지급 시 계산은 545.46으로 계산되어 추후 사용전 검사 후에 정산이 필요(4차 지급 시)</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law.go.kr/%EB%B2%95%EB%A0%B9/%EB%B2%95%EC%9D%B8%EC%84%B8%EB%B2%95%EC%8B%9C%ED%96%89%EA%B7%9C%EC%B9%99" TargetMode="External"/><Relationship Id="rId1" Type="http://schemas.openxmlformats.org/officeDocument/2006/relationships/hyperlink" Target="https://www.law.go.kr/lsInfoP.do?lsiSeq=269543&amp;efYd=2025022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5.x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4" Type="http://schemas.microsoft.com/office/2017/10/relationships/threadedComment" Target="../threadedComments/threadedComment8.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0.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 Id="rId4" Type="http://schemas.microsoft.com/office/2017/10/relationships/threadedComment" Target="../threadedComments/threadedComment11.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F5EEE-CF3F-4886-88C2-93EBDEA4D006}">
  <dimension ref="B1:Q129"/>
  <sheetViews>
    <sheetView showGridLines="0" workbookViewId="0">
      <selection activeCell="F35" sqref="F35"/>
    </sheetView>
  </sheetViews>
  <sheetFormatPr defaultColWidth="9.140625" defaultRowHeight="12.75"/>
  <cols>
    <col min="1" max="1" width="1.7109375" style="6" customWidth="1"/>
    <col min="2" max="2" width="15.28515625" style="6" customWidth="1"/>
    <col min="3" max="12" width="16.7109375" style="6" customWidth="1"/>
    <col min="13" max="13" width="9.140625" style="6"/>
    <col min="14" max="14" width="10.7109375" style="6" bestFit="1" customWidth="1"/>
    <col min="15" max="16384" width="9.140625" style="6"/>
  </cols>
  <sheetData>
    <row r="1" spans="2:14">
      <c r="B1" s="168" t="s">
        <v>0</v>
      </c>
    </row>
    <row r="2" spans="2:14" ht="13.5">
      <c r="B2" s="43" t="s">
        <v>1</v>
      </c>
      <c r="C2" s="12"/>
      <c r="G2" s="12"/>
      <c r="H2" s="12"/>
      <c r="I2" s="6" t="s">
        <v>2</v>
      </c>
      <c r="L2" s="39" t="s">
        <v>3</v>
      </c>
    </row>
    <row r="3" spans="2:14" ht="13.5">
      <c r="B3" s="40" t="s">
        <v>4</v>
      </c>
      <c r="C3" s="35" t="s">
        <v>5</v>
      </c>
      <c r="D3" s="35" t="s">
        <v>6</v>
      </c>
      <c r="E3" s="35" t="s">
        <v>7</v>
      </c>
      <c r="F3" s="35" t="s">
        <v>8</v>
      </c>
      <c r="G3" s="35" t="s">
        <v>9</v>
      </c>
      <c r="H3" s="35" t="s">
        <v>6</v>
      </c>
      <c r="I3" s="35" t="s">
        <v>10</v>
      </c>
      <c r="J3" s="35" t="s">
        <v>8</v>
      </c>
      <c r="K3" s="35" t="s">
        <v>11</v>
      </c>
      <c r="L3" s="35" t="s">
        <v>12</v>
      </c>
    </row>
    <row r="4" spans="2:14">
      <c r="B4" s="17" t="s">
        <v>13</v>
      </c>
      <c r="C4" s="18">
        <v>0</v>
      </c>
      <c r="D4" s="44">
        <v>45797</v>
      </c>
      <c r="E4" s="45">
        <v>531274.11</v>
      </c>
      <c r="F4" s="45">
        <v>1570.51</v>
      </c>
      <c r="G4" s="18">
        <f>+E4*F4</f>
        <v>834371302.49609995</v>
      </c>
      <c r="H4" s="44">
        <v>45797</v>
      </c>
      <c r="I4" s="45">
        <v>331274.11</v>
      </c>
      <c r="J4" s="45">
        <v>1552.72</v>
      </c>
      <c r="K4" s="18">
        <f>+I4*J4</f>
        <v>514375936.07919997</v>
      </c>
      <c r="L4" s="46">
        <f>+C4+E4-I4</f>
        <v>200000</v>
      </c>
    </row>
    <row r="5" spans="2:14">
      <c r="B5" s="17" t="s">
        <v>14</v>
      </c>
      <c r="C5" s="20">
        <v>0</v>
      </c>
      <c r="D5" s="44">
        <v>45797</v>
      </c>
      <c r="E5" s="45">
        <v>943660.44</v>
      </c>
      <c r="F5" s="45">
        <v>1570.51</v>
      </c>
      <c r="G5" s="18">
        <f>+E5*F5</f>
        <v>1482028157.6243999</v>
      </c>
      <c r="H5" s="44">
        <v>45797</v>
      </c>
      <c r="I5" s="45">
        <v>443660.44</v>
      </c>
      <c r="J5" s="45">
        <v>1552.78</v>
      </c>
      <c r="K5" s="18">
        <f>+I5*J5</f>
        <v>688907058.02320004</v>
      </c>
      <c r="L5" s="46">
        <f>+C5+E5-I5</f>
        <v>499999.99999999994</v>
      </c>
    </row>
    <row r="6" spans="2:14">
      <c r="B6" s="17" t="s">
        <v>15</v>
      </c>
      <c r="C6" s="20">
        <v>0</v>
      </c>
      <c r="D6" s="44">
        <v>45797</v>
      </c>
      <c r="E6" s="45">
        <v>64739.86</v>
      </c>
      <c r="F6" s="45">
        <v>1570.51</v>
      </c>
      <c r="G6" s="18">
        <f t="shared" ref="G6:G7" si="0">+E6*F6</f>
        <v>101674597.52860001</v>
      </c>
      <c r="H6" s="44">
        <v>45797</v>
      </c>
      <c r="I6" s="45">
        <v>64739.86</v>
      </c>
      <c r="J6" s="45">
        <v>1551.97</v>
      </c>
      <c r="K6" s="18">
        <f>+I6*J6-1</f>
        <v>100474319.52420001</v>
      </c>
      <c r="L6" s="46">
        <f>+C6+E6-I6</f>
        <v>0</v>
      </c>
    </row>
    <row r="7" spans="2:14">
      <c r="B7" s="17" t="s">
        <v>16</v>
      </c>
      <c r="C7" s="18">
        <v>0</v>
      </c>
      <c r="D7" s="44">
        <v>45797</v>
      </c>
      <c r="E7" s="45">
        <v>436311.63</v>
      </c>
      <c r="F7" s="45">
        <v>1570.51</v>
      </c>
      <c r="G7" s="18">
        <f t="shared" si="0"/>
        <v>685231778.03129995</v>
      </c>
      <c r="H7" s="44">
        <v>45797</v>
      </c>
      <c r="I7" s="45">
        <v>236311.63</v>
      </c>
      <c r="J7" s="45">
        <v>1552.39</v>
      </c>
      <c r="K7" s="18">
        <f>+I7*J7-1+1</f>
        <v>366847811.29570001</v>
      </c>
      <c r="L7" s="46">
        <f>+C7+E7-I7</f>
        <v>200000</v>
      </c>
    </row>
    <row r="8" spans="2:14">
      <c r="B8" s="42" t="s">
        <v>17</v>
      </c>
      <c r="C8" s="14">
        <f>+SUM(C4:C7)</f>
        <v>0</v>
      </c>
      <c r="D8" s="47"/>
      <c r="E8" s="48">
        <f>+SUM(E4:E7)</f>
        <v>1975986.04</v>
      </c>
      <c r="F8" s="48"/>
      <c r="G8" s="14">
        <f>+SUM(G4:G7)</f>
        <v>3103305835.6803999</v>
      </c>
      <c r="H8" s="50"/>
      <c r="I8" s="48">
        <f t="shared" ref="I8:L8" si="1">+SUM(I4:I7)</f>
        <v>1075986.04</v>
      </c>
      <c r="J8" s="48"/>
      <c r="K8" s="14">
        <f t="shared" si="1"/>
        <v>1670605124.9223001</v>
      </c>
      <c r="L8" s="49">
        <f t="shared" si="1"/>
        <v>900000</v>
      </c>
    </row>
    <row r="11" spans="2:14">
      <c r="B11" s="168" t="s">
        <v>18</v>
      </c>
    </row>
    <row r="12" spans="2:14">
      <c r="I12" s="39" t="s">
        <v>19</v>
      </c>
    </row>
    <row r="13" spans="2:14" ht="13.5">
      <c r="B13" s="40" t="s">
        <v>4</v>
      </c>
      <c r="C13" s="40" t="s">
        <v>20</v>
      </c>
      <c r="D13" s="40" t="s">
        <v>21</v>
      </c>
      <c r="E13" s="40" t="s">
        <v>22</v>
      </c>
      <c r="F13" s="40" t="s">
        <v>23</v>
      </c>
      <c r="G13" s="40" t="s">
        <v>24</v>
      </c>
      <c r="H13" s="40" t="s">
        <v>25</v>
      </c>
      <c r="I13" s="163" t="s">
        <v>26</v>
      </c>
      <c r="K13" s="11"/>
    </row>
    <row r="14" spans="2:14">
      <c r="B14" s="17" t="s">
        <v>13</v>
      </c>
      <c r="C14" s="18" t="e">
        <f>+CAPEX_Input_2HO!#REF!</f>
        <v>#REF!</v>
      </c>
      <c r="D14" s="18" t="e">
        <f>+CAPEX_Input_2HO!#REF!</f>
        <v>#REF!</v>
      </c>
      <c r="E14" s="18" t="e">
        <f>+C14-D14</f>
        <v>#REF!</v>
      </c>
      <c r="F14" s="41" t="e">
        <f>+CAPEX_Input_2HO!#REF!</f>
        <v>#REF!</v>
      </c>
      <c r="G14" s="18" t="e">
        <f>+CAPEX_Input_2HO!#REF!</f>
        <v>#REF!</v>
      </c>
      <c r="H14" s="18" t="e">
        <f>+E14+G14</f>
        <v>#REF!</v>
      </c>
      <c r="I14" s="20"/>
      <c r="K14" s="12"/>
    </row>
    <row r="15" spans="2:14">
      <c r="B15" s="17" t="s">
        <v>14</v>
      </c>
      <c r="C15" s="18">
        <f>+'3HO-Account detail'!C43</f>
        <v>134816000</v>
      </c>
      <c r="D15" s="20"/>
      <c r="E15" s="18">
        <f>+C15-D15</f>
        <v>134816000</v>
      </c>
      <c r="F15" s="41">
        <f>+'3HO-Account detail'!C23</f>
        <v>4.5999999999999999E-2</v>
      </c>
      <c r="G15" s="18" t="e">
        <f>+'3HO-Account detail'!K43</f>
        <v>#REF!</v>
      </c>
      <c r="H15" s="18" t="e">
        <f>+E15+G15</f>
        <v>#REF!</v>
      </c>
      <c r="I15" s="20"/>
      <c r="K15" s="12"/>
    </row>
    <row r="16" spans="2:14">
      <c r="B16" s="17" t="s">
        <v>15</v>
      </c>
      <c r="C16" s="18">
        <f>+'6HO-Account detail'!C30</f>
        <v>47880800</v>
      </c>
      <c r="D16" s="20"/>
      <c r="E16" s="18">
        <f>+C16-D16</f>
        <v>47880800</v>
      </c>
      <c r="F16" s="41">
        <f>+'6HO-Account detail'!C22</f>
        <v>4.5999999999999999E-2</v>
      </c>
      <c r="G16" s="18" t="e">
        <f>+'6HO-Account detail'!K30</f>
        <v>#REF!</v>
      </c>
      <c r="H16" s="18" t="e">
        <f>+E16+G16</f>
        <v>#REF!</v>
      </c>
      <c r="I16" s="20"/>
      <c r="K16" s="12"/>
      <c r="N16" s="6" t="s">
        <v>27</v>
      </c>
    </row>
    <row r="17" spans="2:14">
      <c r="B17" s="17" t="s">
        <v>16</v>
      </c>
      <c r="C17" s="18" t="e">
        <f>+'EPC Liquidity Plan'!#REF!</f>
        <v>#REF!</v>
      </c>
      <c r="D17" s="18" t="e">
        <f>+'EPC Liquidity Plan'!#REF!</f>
        <v>#REF!</v>
      </c>
      <c r="E17" s="18" t="e">
        <f>+C17-D17</f>
        <v>#REF!</v>
      </c>
      <c r="F17" s="41" t="e">
        <f>+'EPC Liquidity Plan'!#REF!</f>
        <v>#REF!</v>
      </c>
      <c r="G17" s="18" t="e">
        <f>+'EPC Liquidity Plan'!#REF!</f>
        <v>#REF!</v>
      </c>
      <c r="H17" s="18" t="e">
        <f>+E17+G17</f>
        <v>#REF!</v>
      </c>
      <c r="I17" s="20"/>
      <c r="K17" s="12"/>
      <c r="N17" s="6" t="s">
        <v>28</v>
      </c>
    </row>
    <row r="18" spans="2:14">
      <c r="B18" s="42" t="s">
        <v>17</v>
      </c>
      <c r="C18" s="14" t="e">
        <f>+SUM(C14:C17)</f>
        <v>#REF!</v>
      </c>
      <c r="D18" s="14" t="e">
        <f>+SUM(D14:D17)</f>
        <v>#REF!</v>
      </c>
      <c r="E18" s="14" t="e">
        <f>+C18-D18</f>
        <v>#REF!</v>
      </c>
      <c r="F18" s="23"/>
      <c r="G18" s="14" t="e">
        <f>+SUM(G14:G17)</f>
        <v>#REF!</v>
      </c>
      <c r="H18" s="14" t="e">
        <f>+SUM(H14:H17)</f>
        <v>#REF!</v>
      </c>
      <c r="I18" s="23"/>
    </row>
    <row r="20" spans="2:14">
      <c r="B20" s="168" t="s">
        <v>29</v>
      </c>
    </row>
    <row r="21" spans="2:14">
      <c r="J21" s="39" t="s">
        <v>3</v>
      </c>
    </row>
    <row r="22" spans="2:14" ht="13.5">
      <c r="B22" s="40" t="s">
        <v>4</v>
      </c>
      <c r="C22" s="163" t="s">
        <v>30</v>
      </c>
      <c r="D22" s="163" t="s">
        <v>31</v>
      </c>
      <c r="E22" s="163" t="s">
        <v>32</v>
      </c>
      <c r="F22" s="163" t="s">
        <v>33</v>
      </c>
      <c r="G22" s="40" t="s">
        <v>25</v>
      </c>
      <c r="H22" s="163" t="s">
        <v>34</v>
      </c>
      <c r="I22" s="1153" t="s">
        <v>26</v>
      </c>
      <c r="J22" s="1153"/>
    </row>
    <row r="23" spans="2:14" ht="13.5">
      <c r="B23" s="1159" t="s">
        <v>13</v>
      </c>
      <c r="C23" s="17" t="s">
        <v>35</v>
      </c>
      <c r="D23" s="1153" t="s">
        <v>36</v>
      </c>
      <c r="E23" s="17" t="e">
        <f>+CAPEX_Input_2HO!#REF!</f>
        <v>#REF!</v>
      </c>
      <c r="F23" s="164" t="e">
        <f>+CAPEX_Input_2HO!#REF!</f>
        <v>#REF!</v>
      </c>
      <c r="G23" s="164" t="e">
        <f>+H14</f>
        <v>#REF!</v>
      </c>
      <c r="H23" s="164" t="e">
        <f>+F23-G23</f>
        <v>#REF!</v>
      </c>
      <c r="I23" s="1153"/>
      <c r="J23" s="1153"/>
    </row>
    <row r="24" spans="2:14" ht="13.5">
      <c r="B24" s="1159"/>
      <c r="C24" s="17" t="s">
        <v>37</v>
      </c>
      <c r="D24" s="1153"/>
      <c r="E24" s="17" t="e">
        <f>+CAPEX_Input_2HO!#REF!</f>
        <v>#REF!</v>
      </c>
      <c r="F24" s="165">
        <v>200000</v>
      </c>
      <c r="G24" s="165"/>
      <c r="H24" s="165">
        <f t="shared" ref="H24:H30" si="2">+F24-G24</f>
        <v>200000</v>
      </c>
      <c r="I24" s="1153"/>
      <c r="J24" s="1153"/>
    </row>
    <row r="25" spans="2:14" ht="13.5">
      <c r="B25" s="1159" t="s">
        <v>14</v>
      </c>
      <c r="C25" s="17" t="s">
        <v>35</v>
      </c>
      <c r="D25" s="1153" t="s">
        <v>36</v>
      </c>
      <c r="E25" s="17" t="str">
        <f>+'3HO-Account detail'!C1</f>
        <v>096301-04-103330</v>
      </c>
      <c r="F25" s="164">
        <f>+'3HO-Account detail'!F8</f>
        <v>688911158</v>
      </c>
      <c r="G25" s="164" t="e">
        <f>+H15</f>
        <v>#REF!</v>
      </c>
      <c r="H25" s="164" t="e">
        <f t="shared" si="2"/>
        <v>#REF!</v>
      </c>
      <c r="I25" s="1153"/>
      <c r="J25" s="1153"/>
    </row>
    <row r="26" spans="2:14" ht="13.5">
      <c r="B26" s="1159"/>
      <c r="C26" s="17" t="s">
        <v>37</v>
      </c>
      <c r="D26" s="1153"/>
      <c r="E26" s="17" t="str">
        <f>+'3HO-Account detail'!F1</f>
        <v>096368-11-010046</v>
      </c>
      <c r="F26" s="165">
        <f>+Overview!L5</f>
        <v>499999.99999999994</v>
      </c>
      <c r="G26" s="165"/>
      <c r="H26" s="165">
        <f t="shared" si="2"/>
        <v>499999.99999999994</v>
      </c>
      <c r="I26" s="1153"/>
      <c r="J26" s="1153"/>
    </row>
    <row r="27" spans="2:14" ht="13.5">
      <c r="B27" s="1159" t="s">
        <v>15</v>
      </c>
      <c r="C27" s="17" t="s">
        <v>35</v>
      </c>
      <c r="D27" s="1153" t="s">
        <v>36</v>
      </c>
      <c r="E27" s="17" t="str">
        <f>+'6HO-Account detail'!C1</f>
        <v>096337-04-011223</v>
      </c>
      <c r="F27" s="164">
        <f>+'6HO-Account detail'!F8</f>
        <v>101460224</v>
      </c>
      <c r="G27" s="164" t="e">
        <f>+H16</f>
        <v>#REF!</v>
      </c>
      <c r="H27" s="164" t="e">
        <f t="shared" si="2"/>
        <v>#REF!</v>
      </c>
      <c r="I27" s="1153"/>
      <c r="J27" s="1153"/>
    </row>
    <row r="28" spans="2:14" ht="13.5">
      <c r="B28" s="1159"/>
      <c r="C28" s="17" t="s">
        <v>37</v>
      </c>
      <c r="D28" s="1153"/>
      <c r="E28" s="17" t="str">
        <f>+'6HO-Account detail'!F1</f>
        <v>096368-11-010059</v>
      </c>
      <c r="F28" s="165">
        <f>+Overview!L6</f>
        <v>0</v>
      </c>
      <c r="G28" s="165"/>
      <c r="H28" s="165">
        <f t="shared" si="2"/>
        <v>0</v>
      </c>
      <c r="I28" s="1153"/>
      <c r="J28" s="1153"/>
    </row>
    <row r="29" spans="2:14">
      <c r="B29" s="1159" t="s">
        <v>16</v>
      </c>
      <c r="C29" s="17" t="s">
        <v>35</v>
      </c>
      <c r="D29" s="1153" t="s">
        <v>36</v>
      </c>
      <c r="E29" s="17" t="e">
        <f>+'EPC Liquidity Plan'!#REF!</f>
        <v>#REF!</v>
      </c>
      <c r="F29" s="164" t="e">
        <f>+'EPC Liquidity Plan'!#REF!</f>
        <v>#REF!</v>
      </c>
      <c r="G29" s="164" t="e">
        <f>+H17</f>
        <v>#REF!</v>
      </c>
      <c r="H29" s="164" t="e">
        <f t="shared" si="2"/>
        <v>#REF!</v>
      </c>
      <c r="I29" s="1154" t="s">
        <v>38</v>
      </c>
      <c r="J29" s="1155"/>
    </row>
    <row r="30" spans="2:14" ht="13.5">
      <c r="B30" s="1159"/>
      <c r="C30" s="17" t="s">
        <v>37</v>
      </c>
      <c r="D30" s="1153"/>
      <c r="E30" s="17" t="e">
        <f>+'EPC Liquidity Plan'!#REF!</f>
        <v>#REF!</v>
      </c>
      <c r="F30" s="165">
        <f>+L7</f>
        <v>200000</v>
      </c>
      <c r="G30" s="165"/>
      <c r="H30" s="165">
        <f t="shared" si="2"/>
        <v>200000</v>
      </c>
      <c r="I30" s="1153"/>
      <c r="J30" s="1153"/>
    </row>
    <row r="31" spans="2:14" ht="13.5">
      <c r="B31" s="1158" t="s">
        <v>17</v>
      </c>
      <c r="C31" s="1158"/>
      <c r="D31" s="1158"/>
      <c r="E31" s="17" t="s">
        <v>35</v>
      </c>
      <c r="F31" s="164" t="e">
        <f t="shared" ref="F31:H32" si="3">+F23+F25+F27+F29</f>
        <v>#REF!</v>
      </c>
      <c r="G31" s="164" t="e">
        <f t="shared" si="3"/>
        <v>#REF!</v>
      </c>
      <c r="H31" s="164" t="e">
        <f t="shared" si="3"/>
        <v>#REF!</v>
      </c>
      <c r="I31" s="1153"/>
      <c r="J31" s="1153"/>
    </row>
    <row r="32" spans="2:14" ht="13.5">
      <c r="B32" s="1158"/>
      <c r="C32" s="1158"/>
      <c r="D32" s="1158"/>
      <c r="E32" s="17" t="s">
        <v>37</v>
      </c>
      <c r="F32" s="165">
        <f t="shared" si="3"/>
        <v>900000</v>
      </c>
      <c r="G32" s="165">
        <f t="shared" si="3"/>
        <v>0</v>
      </c>
      <c r="H32" s="165">
        <f t="shared" si="3"/>
        <v>900000</v>
      </c>
      <c r="I32" s="1153"/>
      <c r="J32" s="1153"/>
    </row>
    <row r="33" spans="2:17">
      <c r="B33" s="169" t="s">
        <v>39</v>
      </c>
      <c r="C33" s="11"/>
      <c r="D33" s="11"/>
      <c r="E33" s="11"/>
      <c r="I33" s="39"/>
    </row>
    <row r="34" spans="2:17">
      <c r="B34" s="6" t="s">
        <v>40</v>
      </c>
      <c r="I34" s="39"/>
    </row>
    <row r="36" spans="2:17">
      <c r="B36" s="168" t="s">
        <v>41</v>
      </c>
    </row>
    <row r="37" spans="2:17">
      <c r="B37" s="166" t="s">
        <v>42</v>
      </c>
    </row>
    <row r="39" spans="2:17" ht="13.5">
      <c r="B39" s="43" t="s">
        <v>43</v>
      </c>
    </row>
    <row r="40" spans="2:17" ht="13.5">
      <c r="B40" s="43"/>
    </row>
    <row r="41" spans="2:17">
      <c r="B41" s="6" t="s">
        <v>44</v>
      </c>
    </row>
    <row r="42" spans="2:17" ht="56.25" customHeight="1">
      <c r="B42" s="1160" t="s">
        <v>45</v>
      </c>
      <c r="C42" s="1160"/>
      <c r="D42" s="1160"/>
      <c r="E42" s="1160"/>
      <c r="F42" s="1160"/>
      <c r="G42" s="1160"/>
      <c r="H42" s="1160"/>
      <c r="I42" s="1160"/>
      <c r="J42" s="1160"/>
      <c r="K42" s="1160"/>
      <c r="L42" s="1160"/>
      <c r="M42" s="1160"/>
      <c r="N42" s="1160"/>
      <c r="O42" s="1160"/>
      <c r="P42" s="1160"/>
      <c r="Q42" s="1160"/>
    </row>
    <row r="90" spans="2:17" ht="13.5">
      <c r="B90" s="43" t="s">
        <v>46</v>
      </c>
    </row>
    <row r="92" spans="2:17">
      <c r="B92" s="166" t="s">
        <v>47</v>
      </c>
    </row>
    <row r="95" spans="2:17">
      <c r="B95" s="6" t="s">
        <v>48</v>
      </c>
    </row>
    <row r="96" spans="2:17" ht="39.75" customHeight="1">
      <c r="B96" s="1156" t="s">
        <v>49</v>
      </c>
      <c r="C96" s="1156"/>
      <c r="D96" s="1156"/>
      <c r="E96" s="1156"/>
      <c r="F96" s="1156"/>
      <c r="G96" s="1156"/>
      <c r="H96" s="1156"/>
      <c r="I96" s="1156"/>
      <c r="J96" s="1156"/>
      <c r="K96" s="1156"/>
      <c r="L96" s="1156"/>
      <c r="M96" s="1156"/>
      <c r="N96" s="1156"/>
      <c r="O96" s="1156"/>
      <c r="P96" s="1156"/>
      <c r="Q96" s="1156"/>
    </row>
    <row r="126" spans="2:17" ht="13.5">
      <c r="B126" s="167" t="s">
        <v>50</v>
      </c>
      <c r="C126" s="168"/>
      <c r="D126" s="168"/>
      <c r="E126" s="168"/>
      <c r="F126" s="168"/>
      <c r="G126" s="168"/>
      <c r="H126" s="168"/>
      <c r="I126" s="168"/>
      <c r="J126" s="168"/>
      <c r="K126" s="168"/>
      <c r="L126" s="168"/>
      <c r="M126" s="168"/>
      <c r="N126" s="168"/>
      <c r="O126" s="168"/>
      <c r="P126" s="168"/>
      <c r="Q126" s="168"/>
    </row>
    <row r="127" spans="2:17" ht="46.5" customHeight="1">
      <c r="B127" s="1157" t="s">
        <v>51</v>
      </c>
      <c r="C127" s="1157"/>
      <c r="D127" s="1157"/>
      <c r="E127" s="1157"/>
      <c r="F127" s="1157"/>
      <c r="G127" s="1157"/>
      <c r="H127" s="1157"/>
      <c r="I127" s="1157"/>
      <c r="J127" s="1157"/>
      <c r="K127" s="1157"/>
      <c r="L127" s="1157"/>
      <c r="M127" s="1157"/>
      <c r="N127" s="1157"/>
      <c r="O127" s="1157"/>
      <c r="P127" s="1157"/>
      <c r="Q127" s="1157"/>
    </row>
    <row r="129" spans="2:2">
      <c r="B129" s="168" t="s">
        <v>52</v>
      </c>
    </row>
  </sheetData>
  <mergeCells count="23">
    <mergeCell ref="B96:Q96"/>
    <mergeCell ref="B127:Q127"/>
    <mergeCell ref="I22:J22"/>
    <mergeCell ref="I23:J23"/>
    <mergeCell ref="I24:J24"/>
    <mergeCell ref="I25:J25"/>
    <mergeCell ref="I26:J26"/>
    <mergeCell ref="I27:J27"/>
    <mergeCell ref="I28:J28"/>
    <mergeCell ref="B31:D32"/>
    <mergeCell ref="B23:B24"/>
    <mergeCell ref="B25:B26"/>
    <mergeCell ref="B27:B28"/>
    <mergeCell ref="B29:B30"/>
    <mergeCell ref="I32:J32"/>
    <mergeCell ref="B42:Q42"/>
    <mergeCell ref="D23:D24"/>
    <mergeCell ref="D25:D26"/>
    <mergeCell ref="I29:J29"/>
    <mergeCell ref="I30:J30"/>
    <mergeCell ref="I31:J31"/>
    <mergeCell ref="D27:D28"/>
    <mergeCell ref="D29:D30"/>
  </mergeCells>
  <phoneticPr fontId="9" type="noConversion"/>
  <hyperlinks>
    <hyperlink ref="B37" r:id="rId1" location="0000" xr:uid="{9091D3C6-5ABD-4A71-B1CD-9001650C27A0}"/>
    <hyperlink ref="B92" r:id="rId2" xr:uid="{EE8FB8DA-A058-49DB-861A-E60F88F85AEA}"/>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EE4DA-8119-4C80-837F-CF362F21A080}">
  <dimension ref="A1:Q47"/>
  <sheetViews>
    <sheetView showGridLines="0" workbookViewId="0">
      <selection activeCell="F35" sqref="F35"/>
    </sheetView>
  </sheetViews>
  <sheetFormatPr defaultRowHeight="12.75"/>
  <cols>
    <col min="1" max="1" width="10.42578125" customWidth="1"/>
    <col min="2" max="2" width="23.42578125" customWidth="1"/>
    <col min="3" max="11" width="17.7109375" customWidth="1"/>
  </cols>
  <sheetData>
    <row r="1" spans="1:17" ht="16.5">
      <c r="A1" s="1163" t="s">
        <v>53</v>
      </c>
      <c r="B1" s="1163"/>
      <c r="C1" s="1161" t="s">
        <v>54</v>
      </c>
      <c r="D1" s="1161"/>
      <c r="E1" s="37" t="s">
        <v>55</v>
      </c>
      <c r="F1" s="36" t="s">
        <v>56</v>
      </c>
      <c r="G1" s="6"/>
      <c r="H1" s="6"/>
      <c r="I1" s="6"/>
      <c r="J1" s="6"/>
      <c r="L1" s="34"/>
      <c r="Q1" s="34"/>
    </row>
    <row r="2" spans="1:17" ht="16.5">
      <c r="A2" s="1163" t="s">
        <v>57</v>
      </c>
      <c r="B2" s="1163"/>
      <c r="C2" s="1164">
        <f>F8</f>
        <v>688911158</v>
      </c>
      <c r="D2" s="1161"/>
      <c r="E2" s="33" t="s">
        <v>58</v>
      </c>
      <c r="F2" s="38">
        <v>500000</v>
      </c>
      <c r="G2" s="6"/>
      <c r="H2" s="6"/>
      <c r="I2" s="6"/>
      <c r="J2" s="6"/>
      <c r="L2" s="34"/>
      <c r="Q2" s="34"/>
    </row>
    <row r="3" spans="1:17" ht="16.5">
      <c r="A3" s="1163" t="s">
        <v>59</v>
      </c>
      <c r="B3" s="1163"/>
      <c r="C3" s="1161" t="s">
        <v>60</v>
      </c>
      <c r="D3" s="1161"/>
      <c r="E3" s="33"/>
      <c r="F3" s="1161"/>
      <c r="G3" s="1162"/>
      <c r="H3" s="1162"/>
      <c r="I3" s="1162"/>
      <c r="J3" s="1162"/>
      <c r="L3" s="34"/>
      <c r="Q3" s="34"/>
    </row>
    <row r="4" spans="1:17" ht="16.5">
      <c r="A4" s="1163" t="s">
        <v>61</v>
      </c>
      <c r="B4" s="1163"/>
      <c r="C4" s="1164">
        <f>C2</f>
        <v>688911158</v>
      </c>
      <c r="D4" s="1161"/>
      <c r="E4" s="33"/>
      <c r="F4" s="1161"/>
      <c r="G4" s="1162"/>
      <c r="H4" s="1162"/>
      <c r="I4" s="1162"/>
      <c r="J4" s="1162"/>
      <c r="L4" s="34"/>
      <c r="Q4" s="34"/>
    </row>
    <row r="5" spans="1:17" ht="16.5">
      <c r="A5" s="1163" t="s">
        <v>62</v>
      </c>
      <c r="B5" s="1163"/>
      <c r="C5" s="1161" t="s">
        <v>63</v>
      </c>
      <c r="D5" s="1161"/>
      <c r="E5" s="33"/>
      <c r="F5" s="1161" t="s">
        <v>64</v>
      </c>
      <c r="G5" s="1162"/>
      <c r="H5" s="1162"/>
      <c r="I5" s="1162"/>
      <c r="J5" s="1162"/>
      <c r="L5" s="34"/>
      <c r="Q5" s="34"/>
    </row>
    <row r="6" spans="1:17" ht="16.5">
      <c r="A6" s="1163" t="s">
        <v>65</v>
      </c>
      <c r="B6" s="1163"/>
      <c r="C6" s="1165">
        <v>135514900</v>
      </c>
      <c r="D6" s="1161"/>
      <c r="E6" s="33"/>
      <c r="F6" s="1166" t="s">
        <v>66</v>
      </c>
      <c r="G6" s="1166"/>
      <c r="H6" s="1164">
        <v>824426058</v>
      </c>
      <c r="I6" s="1161"/>
      <c r="J6" s="6"/>
      <c r="L6" s="34"/>
    </row>
    <row r="7" spans="1:17" ht="16.5">
      <c r="A7" s="7" t="s">
        <v>67</v>
      </c>
      <c r="B7" s="7" t="s">
        <v>68</v>
      </c>
      <c r="C7" s="7" t="s">
        <v>69</v>
      </c>
      <c r="D7" s="7" t="s">
        <v>70</v>
      </c>
      <c r="E7" s="7" t="s">
        <v>71</v>
      </c>
      <c r="F7" s="7" t="s">
        <v>22</v>
      </c>
      <c r="G7" s="7" t="s">
        <v>72</v>
      </c>
      <c r="H7" s="7" t="s">
        <v>73</v>
      </c>
      <c r="I7" s="7" t="s">
        <v>74</v>
      </c>
      <c r="J7" s="7" t="s">
        <v>75</v>
      </c>
      <c r="K7" s="200"/>
    </row>
    <row r="8" spans="1:17" ht="13.5">
      <c r="A8" s="1">
        <v>1</v>
      </c>
      <c r="B8" s="2" t="s">
        <v>76</v>
      </c>
      <c r="C8" s="2" t="s">
        <v>77</v>
      </c>
      <c r="D8" s="1">
        <v>0</v>
      </c>
      <c r="E8" s="1">
        <v>688907058</v>
      </c>
      <c r="F8" s="1">
        <f>+E8+F9</f>
        <v>688911158</v>
      </c>
      <c r="G8" s="2"/>
      <c r="H8" s="2" t="s">
        <v>78</v>
      </c>
      <c r="I8" s="2" t="s">
        <v>79</v>
      </c>
      <c r="J8" s="2" t="s">
        <v>64</v>
      </c>
    </row>
    <row r="9" spans="1:17" ht="13.5">
      <c r="A9" s="1">
        <f>+A8+1</f>
        <v>2</v>
      </c>
      <c r="B9" s="2" t="s">
        <v>80</v>
      </c>
      <c r="C9" s="2" t="s">
        <v>81</v>
      </c>
      <c r="D9" s="1">
        <v>68022950</v>
      </c>
      <c r="E9" s="1">
        <v>0</v>
      </c>
      <c r="F9" s="1">
        <v>4100</v>
      </c>
      <c r="G9" s="2" t="s">
        <v>82</v>
      </c>
      <c r="H9" s="2" t="s">
        <v>83</v>
      </c>
      <c r="I9" s="2" t="s">
        <v>79</v>
      </c>
      <c r="J9" s="2" t="s">
        <v>64</v>
      </c>
    </row>
    <row r="10" spans="1:17" ht="13.5">
      <c r="A10" s="1">
        <f t="shared" ref="A10:A17" si="0">+A9+1</f>
        <v>3</v>
      </c>
      <c r="B10" s="3" t="s">
        <v>84</v>
      </c>
      <c r="C10" s="3" t="s">
        <v>85</v>
      </c>
      <c r="D10" s="4">
        <v>0</v>
      </c>
      <c r="E10" s="4">
        <v>68022450</v>
      </c>
      <c r="F10" s="4">
        <v>68027050</v>
      </c>
      <c r="G10" s="3" t="s">
        <v>64</v>
      </c>
      <c r="H10" s="3" t="s">
        <v>86</v>
      </c>
      <c r="I10" s="3" t="s">
        <v>87</v>
      </c>
      <c r="J10" s="3" t="s">
        <v>64</v>
      </c>
    </row>
    <row r="11" spans="1:17" ht="13.5">
      <c r="A11" s="1">
        <f t="shared" si="0"/>
        <v>4</v>
      </c>
      <c r="B11" s="2" t="s">
        <v>88</v>
      </c>
      <c r="C11" s="2" t="s">
        <v>81</v>
      </c>
      <c r="D11" s="1">
        <v>10000500</v>
      </c>
      <c r="E11" s="1">
        <v>0</v>
      </c>
      <c r="F11" s="1">
        <v>4600</v>
      </c>
      <c r="G11" s="2" t="s">
        <v>89</v>
      </c>
      <c r="H11" s="2" t="s">
        <v>83</v>
      </c>
      <c r="I11" s="2" t="s">
        <v>79</v>
      </c>
      <c r="J11" s="2" t="s">
        <v>64</v>
      </c>
    </row>
    <row r="12" spans="1:17" ht="13.5">
      <c r="A12" s="1">
        <f t="shared" si="0"/>
        <v>5</v>
      </c>
      <c r="B12" s="3" t="s">
        <v>90</v>
      </c>
      <c r="C12" s="3" t="s">
        <v>85</v>
      </c>
      <c r="D12" s="4">
        <v>0</v>
      </c>
      <c r="E12" s="4">
        <v>10000000</v>
      </c>
      <c r="F12" s="4">
        <v>10005100</v>
      </c>
      <c r="G12" s="3" t="s">
        <v>64</v>
      </c>
      <c r="H12" s="3" t="s">
        <v>86</v>
      </c>
      <c r="I12" s="3" t="s">
        <v>87</v>
      </c>
      <c r="J12" s="3" t="s">
        <v>64</v>
      </c>
    </row>
    <row r="13" spans="1:17" ht="13.5">
      <c r="A13" s="1">
        <f t="shared" si="0"/>
        <v>6</v>
      </c>
      <c r="B13" s="2" t="s">
        <v>91</v>
      </c>
      <c r="C13" s="2" t="s">
        <v>81</v>
      </c>
      <c r="D13" s="1">
        <v>57487050</v>
      </c>
      <c r="E13" s="1">
        <v>0</v>
      </c>
      <c r="F13" s="1">
        <v>5100</v>
      </c>
      <c r="G13" s="2" t="s">
        <v>92</v>
      </c>
      <c r="H13" s="2" t="s">
        <v>83</v>
      </c>
      <c r="I13" s="2" t="s">
        <v>79</v>
      </c>
      <c r="J13" s="2" t="s">
        <v>64</v>
      </c>
    </row>
    <row r="14" spans="1:17" ht="13.5">
      <c r="A14" s="1">
        <f t="shared" si="0"/>
        <v>7</v>
      </c>
      <c r="B14" s="3" t="s">
        <v>93</v>
      </c>
      <c r="C14" s="3" t="s">
        <v>85</v>
      </c>
      <c r="D14" s="4">
        <v>0</v>
      </c>
      <c r="E14" s="4">
        <v>57486550</v>
      </c>
      <c r="F14" s="4">
        <v>57492150</v>
      </c>
      <c r="G14" s="3" t="s">
        <v>64</v>
      </c>
      <c r="H14" s="3" t="s">
        <v>86</v>
      </c>
      <c r="I14" s="3" t="s">
        <v>87</v>
      </c>
      <c r="J14" s="8" t="s">
        <v>94</v>
      </c>
    </row>
    <row r="15" spans="1:17" ht="13.5">
      <c r="A15" s="1">
        <f t="shared" si="0"/>
        <v>8</v>
      </c>
      <c r="B15" s="2" t="s">
        <v>95</v>
      </c>
      <c r="C15" s="2" t="s">
        <v>96</v>
      </c>
      <c r="D15" s="1">
        <v>4400</v>
      </c>
      <c r="E15" s="1">
        <v>0</v>
      </c>
      <c r="F15" s="1">
        <v>5600</v>
      </c>
      <c r="G15" s="2" t="s">
        <v>64</v>
      </c>
      <c r="H15" s="2" t="s">
        <v>83</v>
      </c>
      <c r="I15" s="2" t="s">
        <v>79</v>
      </c>
      <c r="J15" s="2" t="s">
        <v>64</v>
      </c>
    </row>
    <row r="16" spans="1:17" ht="13.5">
      <c r="A16" s="1">
        <f t="shared" si="0"/>
        <v>9</v>
      </c>
      <c r="B16" s="2" t="s">
        <v>97</v>
      </c>
      <c r="C16" s="2" t="s">
        <v>98</v>
      </c>
      <c r="D16" s="1">
        <v>0</v>
      </c>
      <c r="E16" s="1">
        <v>10000</v>
      </c>
      <c r="F16" s="1">
        <v>10000</v>
      </c>
      <c r="G16" s="2" t="s">
        <v>64</v>
      </c>
      <c r="H16" s="2" t="s">
        <v>86</v>
      </c>
      <c r="I16" s="2" t="s">
        <v>99</v>
      </c>
      <c r="J16" s="2" t="s">
        <v>64</v>
      </c>
    </row>
    <row r="17" spans="1:13" ht="13.5">
      <c r="A17" s="1">
        <f t="shared" si="0"/>
        <v>10</v>
      </c>
      <c r="B17" s="2" t="s">
        <v>100</v>
      </c>
      <c r="C17" s="2" t="s">
        <v>64</v>
      </c>
      <c r="D17" s="1">
        <v>0</v>
      </c>
      <c r="E17" s="1">
        <v>0</v>
      </c>
      <c r="F17" s="1">
        <v>0</v>
      </c>
      <c r="G17" s="2" t="s">
        <v>64</v>
      </c>
      <c r="H17" s="2" t="s">
        <v>101</v>
      </c>
      <c r="I17" s="2" t="s">
        <v>79</v>
      </c>
      <c r="J17" s="2" t="s">
        <v>64</v>
      </c>
    </row>
    <row r="19" spans="1:13">
      <c r="A19" s="1167" t="s">
        <v>102</v>
      </c>
      <c r="B19" t="str">
        <f>+B14</f>
        <v>2025.04.07 13:27:47</v>
      </c>
      <c r="C19" t="str">
        <f t="shared" ref="C19:I19" si="1">+C14</f>
        <v>오리지네이티드　유한</v>
      </c>
      <c r="D19" s="5">
        <f t="shared" si="1"/>
        <v>0</v>
      </c>
      <c r="E19" s="5">
        <f>+E14-1000000</f>
        <v>56486550</v>
      </c>
      <c r="F19" s="5">
        <f t="shared" si="1"/>
        <v>57492150</v>
      </c>
      <c r="G19" t="str">
        <f t="shared" si="1"/>
        <v/>
      </c>
      <c r="H19" t="str">
        <f t="shared" si="1"/>
        <v>전자금융</v>
      </c>
      <c r="I19" t="str">
        <f t="shared" si="1"/>
        <v>하나은행</v>
      </c>
    </row>
    <row r="20" spans="1:13">
      <c r="A20" s="1167"/>
      <c r="B20" t="str">
        <f>+B12</f>
        <v>2025.05.07 16:05:33</v>
      </c>
      <c r="C20" t="str">
        <f t="shared" ref="C20:J20" si="2">+C12</f>
        <v>오리지네이티드　유한</v>
      </c>
      <c r="D20" s="5">
        <f t="shared" si="2"/>
        <v>0</v>
      </c>
      <c r="E20" s="5">
        <f t="shared" si="2"/>
        <v>10000000</v>
      </c>
      <c r="F20" s="5">
        <f t="shared" si="2"/>
        <v>10005100</v>
      </c>
      <c r="G20" t="str">
        <f t="shared" si="2"/>
        <v/>
      </c>
      <c r="H20" t="str">
        <f t="shared" si="2"/>
        <v>전자금융</v>
      </c>
      <c r="I20" t="str">
        <f t="shared" si="2"/>
        <v>하나은행</v>
      </c>
      <c r="J20" t="str">
        <f t="shared" si="2"/>
        <v/>
      </c>
    </row>
    <row r="21" spans="1:13">
      <c r="A21" s="1167"/>
      <c r="B21" t="str">
        <f>+B10</f>
        <v>2025.05.14 09:34:31</v>
      </c>
      <c r="C21" t="str">
        <f t="shared" ref="C21:J21" si="3">+C10</f>
        <v>오리지네이티드　유한</v>
      </c>
      <c r="D21" s="5">
        <f t="shared" si="3"/>
        <v>0</v>
      </c>
      <c r="E21" s="5">
        <f t="shared" si="3"/>
        <v>68022450</v>
      </c>
      <c r="F21" s="5">
        <f t="shared" si="3"/>
        <v>68027050</v>
      </c>
      <c r="G21" t="str">
        <f t="shared" si="3"/>
        <v/>
      </c>
      <c r="H21" t="str">
        <f t="shared" si="3"/>
        <v>전자금융</v>
      </c>
      <c r="I21" t="str">
        <f t="shared" si="3"/>
        <v>하나은행</v>
      </c>
      <c r="J21" t="str">
        <f t="shared" si="3"/>
        <v/>
      </c>
    </row>
    <row r="23" spans="1:13" s="6" customFormat="1" ht="13.5">
      <c r="B23" s="29" t="s">
        <v>103</v>
      </c>
      <c r="C23" s="9">
        <v>4.5999999999999999E-2</v>
      </c>
    </row>
    <row r="24" spans="1:13" s="6" customFormat="1" ht="13.5">
      <c r="B24" s="29" t="s">
        <v>104</v>
      </c>
      <c r="C24" s="10" t="e">
        <f>+CAPEX_Input_2HO!#REF!</f>
        <v>#REF!</v>
      </c>
      <c r="F24" s="13"/>
    </row>
    <row r="25" spans="1:13" s="6" customFormat="1"/>
    <row r="26" spans="1:13" s="6" customFormat="1" ht="13.5">
      <c r="B26" s="29" t="s">
        <v>105</v>
      </c>
      <c r="I26" s="13"/>
      <c r="K26" s="26" t="s">
        <v>106</v>
      </c>
    </row>
    <row r="27" spans="1:13" s="11" customFormat="1" ht="13.5">
      <c r="B27" s="35" t="s">
        <v>107</v>
      </c>
      <c r="C27" s="35" t="s">
        <v>108</v>
      </c>
      <c r="D27" s="35" t="s">
        <v>109</v>
      </c>
      <c r="E27" s="16" t="s">
        <v>110</v>
      </c>
      <c r="F27" s="35" t="s">
        <v>111</v>
      </c>
      <c r="G27" s="17" t="s">
        <v>112</v>
      </c>
      <c r="H27" s="35" t="s">
        <v>111</v>
      </c>
      <c r="I27" s="17" t="s">
        <v>113</v>
      </c>
      <c r="J27" s="17" t="s">
        <v>114</v>
      </c>
      <c r="K27" s="35" t="s">
        <v>115</v>
      </c>
      <c r="M27" s="24"/>
    </row>
    <row r="28" spans="1:13" s="11" customFormat="1" ht="13.5">
      <c r="B28" s="31">
        <v>45752</v>
      </c>
      <c r="C28" s="18">
        <v>297000</v>
      </c>
      <c r="D28" s="35"/>
      <c r="E28" s="16"/>
      <c r="F28" s="35"/>
      <c r="G28" s="17"/>
      <c r="H28" s="35"/>
      <c r="I28" s="17"/>
      <c r="J28" s="18">
        <f>+C28-E28-G28-I28</f>
        <v>297000</v>
      </c>
      <c r="K28" s="21" t="e">
        <f>+ROUND(C28*(C24-B28+1)*C23/365,)</f>
        <v>#REF!</v>
      </c>
      <c r="M28" s="24"/>
    </row>
    <row r="29" spans="1:13" s="6" customFormat="1">
      <c r="B29" s="16">
        <v>45754</v>
      </c>
      <c r="C29" s="18">
        <f>+E19</f>
        <v>56486550</v>
      </c>
      <c r="D29" s="20"/>
      <c r="E29" s="19"/>
      <c r="F29" s="19"/>
      <c r="G29" s="20"/>
      <c r="H29" s="20"/>
      <c r="I29" s="20"/>
      <c r="J29" s="18">
        <f>+C29-E29-G29-I29</f>
        <v>56486550</v>
      </c>
      <c r="K29" s="21" t="e">
        <f>+ROUND(C29*(C24-B29+1)*C23/365,)</f>
        <v>#REF!</v>
      </c>
      <c r="L29" s="12"/>
    </row>
    <row r="30" spans="1:13">
      <c r="B30" s="16">
        <v>45784</v>
      </c>
      <c r="C30" s="18">
        <f>+E20</f>
        <v>10000000</v>
      </c>
      <c r="D30" s="25"/>
      <c r="E30" s="19"/>
      <c r="F30" s="19"/>
      <c r="G30" s="20"/>
      <c r="H30" s="25"/>
      <c r="I30" s="20"/>
      <c r="J30" s="18">
        <f>+C30-E30-G30-I30</f>
        <v>10000000</v>
      </c>
      <c r="K30" s="21" t="e">
        <f>+ROUND(C30*(C24-B30+1)*C23/365,)</f>
        <v>#REF!</v>
      </c>
    </row>
    <row r="31" spans="1:13">
      <c r="B31" s="16">
        <v>45791</v>
      </c>
      <c r="C31" s="18">
        <f>+E21</f>
        <v>68022450</v>
      </c>
      <c r="D31" s="19"/>
      <c r="E31" s="19"/>
      <c r="F31" s="19"/>
      <c r="G31" s="19"/>
      <c r="H31" s="20"/>
      <c r="I31" s="20"/>
      <c r="J31" s="18">
        <f>+C31-D31-H31-I31</f>
        <v>68022450</v>
      </c>
      <c r="K31" s="21" t="e">
        <f>+ROUND(C31*(C24-B31+1)*C23/365,)</f>
        <v>#REF!</v>
      </c>
    </row>
    <row r="32" spans="1:13" ht="13.5">
      <c r="B32" s="22" t="s">
        <v>116</v>
      </c>
      <c r="C32" s="14">
        <f>SUM(C28:C31)</f>
        <v>134806000</v>
      </c>
      <c r="D32" s="14"/>
      <c r="E32" s="14">
        <f>SUM(E28:E31)</f>
        <v>0</v>
      </c>
      <c r="F32" s="14"/>
      <c r="G32" s="14">
        <f>SUM(G28:G31)</f>
        <v>0</v>
      </c>
      <c r="H32" s="14"/>
      <c r="I32" s="14">
        <f>SUM(I28:I31)</f>
        <v>0</v>
      </c>
      <c r="J32" s="14">
        <f>SUM(J28:J31)</f>
        <v>134806000</v>
      </c>
      <c r="K32" s="14" t="e">
        <f>SUM(K28:K31)</f>
        <v>#REF!</v>
      </c>
    </row>
    <row r="34" spans="2:12" ht="13.5">
      <c r="B34" s="29" t="s">
        <v>117</v>
      </c>
      <c r="C34" s="6"/>
      <c r="D34" s="6"/>
      <c r="E34" s="6"/>
      <c r="F34" s="6"/>
      <c r="G34" s="6"/>
      <c r="H34" s="6"/>
      <c r="I34" s="13"/>
      <c r="J34" s="6"/>
      <c r="K34" s="26" t="s">
        <v>106</v>
      </c>
      <c r="L34" s="6"/>
    </row>
    <row r="35" spans="2:12" ht="13.5">
      <c r="B35" s="35" t="s">
        <v>107</v>
      </c>
      <c r="C35" s="35" t="s">
        <v>108</v>
      </c>
      <c r="D35" s="35" t="s">
        <v>109</v>
      </c>
      <c r="E35" s="16" t="s">
        <v>110</v>
      </c>
      <c r="F35" s="35" t="s">
        <v>111</v>
      </c>
      <c r="G35" s="17" t="s">
        <v>112</v>
      </c>
      <c r="H35" s="35" t="s">
        <v>111</v>
      </c>
      <c r="I35" s="17" t="s">
        <v>113</v>
      </c>
      <c r="J35" s="17" t="s">
        <v>114</v>
      </c>
      <c r="K35" s="35" t="s">
        <v>115</v>
      </c>
      <c r="L35" s="6"/>
    </row>
    <row r="36" spans="2:12" ht="13.5">
      <c r="B36" s="31">
        <v>45754</v>
      </c>
      <c r="C36" s="18">
        <v>10000</v>
      </c>
      <c r="D36" s="35"/>
      <c r="E36" s="16"/>
      <c r="F36" s="35"/>
      <c r="G36" s="17"/>
      <c r="H36" s="35"/>
      <c r="I36" s="17"/>
      <c r="J36" s="18">
        <f>+C36-E36-G36-I36</f>
        <v>10000</v>
      </c>
      <c r="K36" s="21" t="e">
        <f>+ROUND(C36*(C24-B36+1)*C23/365,)</f>
        <v>#REF!</v>
      </c>
    </row>
    <row r="37" spans="2:12" ht="13.5">
      <c r="B37" s="22" t="s">
        <v>116</v>
      </c>
      <c r="C37" s="14">
        <f>SUM(C36:C36)</f>
        <v>10000</v>
      </c>
      <c r="D37" s="14"/>
      <c r="E37" s="14">
        <f>SUM(E36:E36)</f>
        <v>0</v>
      </c>
      <c r="F37" s="14"/>
      <c r="G37" s="14">
        <f>SUM(G36:G36)</f>
        <v>0</v>
      </c>
      <c r="H37" s="14"/>
      <c r="I37" s="14">
        <f>SUM(I36:I36)</f>
        <v>0</v>
      </c>
      <c r="J37" s="14">
        <f>SUM(J36:J36)</f>
        <v>10000</v>
      </c>
      <c r="K37" s="14" t="e">
        <f>SUM(K36:K36)</f>
        <v>#REF!</v>
      </c>
    </row>
    <row r="39" spans="2:12" ht="13.5">
      <c r="B39" s="29" t="s">
        <v>118</v>
      </c>
      <c r="C39" s="6"/>
      <c r="D39" s="6"/>
      <c r="E39" s="6"/>
      <c r="F39" s="6"/>
      <c r="G39" s="6"/>
      <c r="H39" s="6"/>
      <c r="I39" s="13"/>
      <c r="J39" s="6"/>
      <c r="K39" s="26" t="s">
        <v>106</v>
      </c>
    </row>
    <row r="40" spans="2:12" ht="13.5">
      <c r="B40" s="35" t="s">
        <v>107</v>
      </c>
      <c r="C40" s="35" t="s">
        <v>108</v>
      </c>
      <c r="D40" s="35" t="s">
        <v>109</v>
      </c>
      <c r="E40" s="16" t="s">
        <v>110</v>
      </c>
      <c r="F40" s="35" t="s">
        <v>111</v>
      </c>
      <c r="G40" s="17" t="s">
        <v>112</v>
      </c>
      <c r="H40" s="35" t="s">
        <v>111</v>
      </c>
      <c r="I40" s="17" t="s">
        <v>113</v>
      </c>
      <c r="J40" s="17" t="s">
        <v>114</v>
      </c>
      <c r="K40" s="35" t="s">
        <v>115</v>
      </c>
    </row>
    <row r="41" spans="2:12" ht="13.5">
      <c r="B41" s="31" t="s">
        <v>119</v>
      </c>
      <c r="C41" s="18">
        <f>+J32</f>
        <v>134806000</v>
      </c>
      <c r="D41" s="35"/>
      <c r="E41" s="16"/>
      <c r="F41" s="35"/>
      <c r="G41" s="17"/>
      <c r="H41" s="35"/>
      <c r="I41" s="17"/>
      <c r="J41" s="18">
        <f>+C41-E41-G41-I41</f>
        <v>134806000</v>
      </c>
      <c r="K41" s="21" t="e">
        <f>+K32</f>
        <v>#REF!</v>
      </c>
    </row>
    <row r="42" spans="2:12" ht="13.5">
      <c r="B42" s="31" t="s">
        <v>120</v>
      </c>
      <c r="C42" s="18">
        <f>+J37</f>
        <v>10000</v>
      </c>
      <c r="D42" s="20"/>
      <c r="E42" s="19"/>
      <c r="F42" s="19"/>
      <c r="G42" s="20"/>
      <c r="H42" s="20"/>
      <c r="I42" s="20"/>
      <c r="J42" s="18">
        <f>+C42-E42-G42-I42</f>
        <v>10000</v>
      </c>
      <c r="K42" s="21" t="e">
        <f>+K37</f>
        <v>#REF!</v>
      </c>
    </row>
    <row r="43" spans="2:12" ht="13.5">
      <c r="B43" s="22" t="s">
        <v>121</v>
      </c>
      <c r="C43" s="14">
        <f>SUM(C41:C42)</f>
        <v>134816000</v>
      </c>
      <c r="D43" s="14"/>
      <c r="E43" s="14">
        <f>SUM(E41:E42)</f>
        <v>0</v>
      </c>
      <c r="F43" s="14"/>
      <c r="G43" s="14">
        <f>SUM(G41:G42)</f>
        <v>0</v>
      </c>
      <c r="H43" s="14"/>
      <c r="I43" s="14">
        <f>SUM(I41:I42)</f>
        <v>0</v>
      </c>
      <c r="J43" s="14">
        <f>SUM(J41:J42)</f>
        <v>134816000</v>
      </c>
      <c r="K43" s="32" t="e">
        <f>SUM(K41:K42)</f>
        <v>#REF!</v>
      </c>
    </row>
    <row r="44" spans="2:12" ht="13.5" thickBot="1"/>
    <row r="45" spans="2:12" ht="14.25" thickBot="1">
      <c r="B45" s="30" t="s">
        <v>114</v>
      </c>
      <c r="C45" s="15">
        <f>+J43</f>
        <v>134816000</v>
      </c>
    </row>
    <row r="46" spans="2:12" ht="14.25" thickBot="1">
      <c r="B46" s="30" t="s">
        <v>115</v>
      </c>
      <c r="C46" s="15" t="e">
        <f>+K43</f>
        <v>#REF!</v>
      </c>
    </row>
    <row r="47" spans="2:12" ht="14.25" thickBot="1">
      <c r="B47" s="30" t="s">
        <v>17</v>
      </c>
      <c r="C47" s="15" t="e">
        <f>SUM(C45:C46)</f>
        <v>#REF!</v>
      </c>
    </row>
  </sheetData>
  <mergeCells count="18">
    <mergeCell ref="A19:A21"/>
    <mergeCell ref="A3:B3"/>
    <mergeCell ref="C3:D3"/>
    <mergeCell ref="A4:B4"/>
    <mergeCell ref="C4:D4"/>
    <mergeCell ref="A5:B5"/>
    <mergeCell ref="C5:D5"/>
    <mergeCell ref="F4:J4"/>
    <mergeCell ref="F5:J5"/>
    <mergeCell ref="A6:B6"/>
    <mergeCell ref="C6:D6"/>
    <mergeCell ref="F6:G6"/>
    <mergeCell ref="H6:I6"/>
    <mergeCell ref="F3:J3"/>
    <mergeCell ref="A1:B1"/>
    <mergeCell ref="C1:D1"/>
    <mergeCell ref="A2:B2"/>
    <mergeCell ref="C2:D2"/>
  </mergeCells>
  <phoneticPr fontId="9"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B84F4-9CD4-4E07-9807-E1E5BDF872BD}">
  <dimension ref="A1:V47"/>
  <sheetViews>
    <sheetView showGridLines="0" workbookViewId="0">
      <selection activeCell="F35" sqref="F35"/>
    </sheetView>
  </sheetViews>
  <sheetFormatPr defaultRowHeight="12.75"/>
  <cols>
    <col min="1" max="1" width="10.42578125" customWidth="1"/>
    <col min="2" max="2" width="23.42578125" customWidth="1"/>
    <col min="3" max="11" width="17.7109375" customWidth="1"/>
  </cols>
  <sheetData>
    <row r="1" spans="1:22" ht="16.5">
      <c r="A1" s="1163" t="s">
        <v>53</v>
      </c>
      <c r="B1" s="1163"/>
      <c r="C1" s="1161" t="s">
        <v>122</v>
      </c>
      <c r="D1" s="1161"/>
      <c r="E1" s="37" t="s">
        <v>55</v>
      </c>
      <c r="F1" s="51" t="s">
        <v>123</v>
      </c>
      <c r="G1" s="6"/>
      <c r="H1" s="6"/>
      <c r="I1" s="6"/>
      <c r="J1" s="6"/>
      <c r="M1" s="1168"/>
      <c r="N1" s="1169"/>
      <c r="O1" s="1169"/>
      <c r="P1" s="1169"/>
      <c r="Q1" s="1169"/>
      <c r="R1" s="1168"/>
      <c r="S1" s="1169"/>
      <c r="T1" s="1169"/>
      <c r="U1" s="1169"/>
      <c r="V1" s="1169"/>
    </row>
    <row r="2" spans="1:22" ht="16.5">
      <c r="A2" s="1163" t="s">
        <v>57</v>
      </c>
      <c r="B2" s="1163"/>
      <c r="C2" s="1164">
        <f>F8</f>
        <v>101460224</v>
      </c>
      <c r="D2" s="1161"/>
      <c r="E2" s="33" t="s">
        <v>58</v>
      </c>
      <c r="F2" s="38">
        <v>0</v>
      </c>
      <c r="G2" s="6"/>
      <c r="H2" s="6"/>
      <c r="I2" s="6"/>
      <c r="J2" s="6"/>
      <c r="M2" s="1168"/>
      <c r="N2" s="1169"/>
      <c r="O2" s="1169"/>
      <c r="P2" s="1169"/>
      <c r="Q2" s="1169"/>
      <c r="R2" s="1168"/>
      <c r="S2" s="1169"/>
      <c r="T2" s="1169"/>
      <c r="U2" s="1169"/>
      <c r="V2" s="1169"/>
    </row>
    <row r="3" spans="1:22" ht="16.5">
      <c r="A3" s="1163" t="s">
        <v>59</v>
      </c>
      <c r="B3" s="1163"/>
      <c r="C3" s="1161" t="s">
        <v>124</v>
      </c>
      <c r="D3" s="1161"/>
      <c r="E3" s="33"/>
      <c r="F3" s="1161"/>
      <c r="G3" s="1162"/>
      <c r="H3" s="1162"/>
      <c r="I3" s="1162"/>
      <c r="J3" s="1162"/>
      <c r="M3" s="1168"/>
      <c r="N3" s="1169"/>
      <c r="O3" s="1169"/>
      <c r="P3" s="1169"/>
      <c r="Q3" s="1169"/>
      <c r="R3" s="1168"/>
      <c r="S3" s="1169"/>
      <c r="T3" s="1169"/>
      <c r="U3" s="1169"/>
      <c r="V3" s="1169"/>
    </row>
    <row r="4" spans="1:22" ht="16.5">
      <c r="A4" s="1163" t="s">
        <v>61</v>
      </c>
      <c r="B4" s="1163"/>
      <c r="C4" s="1164">
        <f>C2</f>
        <v>101460224</v>
      </c>
      <c r="D4" s="1161"/>
      <c r="E4" s="33"/>
      <c r="F4" s="1161"/>
      <c r="G4" s="1162"/>
      <c r="H4" s="1162"/>
      <c r="I4" s="1162"/>
      <c r="J4" s="1162"/>
      <c r="M4" s="1168"/>
      <c r="N4" s="1169"/>
      <c r="O4" s="1169"/>
      <c r="P4" s="1169"/>
      <c r="Q4" s="1169"/>
      <c r="R4" s="1168"/>
      <c r="S4" s="1169"/>
      <c r="T4" s="1169"/>
      <c r="U4" s="1169"/>
      <c r="V4" s="1169"/>
    </row>
    <row r="5" spans="1:22" ht="16.5">
      <c r="A5" s="1163" t="s">
        <v>62</v>
      </c>
      <c r="B5" s="1163"/>
      <c r="C5" s="1161" t="s">
        <v>63</v>
      </c>
      <c r="D5" s="1161"/>
      <c r="E5" s="33"/>
      <c r="F5" s="1161" t="s">
        <v>64</v>
      </c>
      <c r="G5" s="1162"/>
      <c r="H5" s="1162"/>
      <c r="I5" s="1162"/>
      <c r="J5" s="1162"/>
      <c r="M5" s="1168"/>
      <c r="N5" s="1169"/>
      <c r="O5" s="1169"/>
      <c r="P5" s="1169"/>
      <c r="Q5" s="1169"/>
      <c r="R5" s="1168"/>
      <c r="S5" s="1169"/>
      <c r="T5" s="1169"/>
      <c r="U5" s="1169"/>
      <c r="V5" s="1169"/>
    </row>
    <row r="6" spans="1:22" ht="16.5">
      <c r="A6" s="1163" t="s">
        <v>65</v>
      </c>
      <c r="B6" s="1163"/>
      <c r="C6" s="1165">
        <v>47598200</v>
      </c>
      <c r="D6" s="1161"/>
      <c r="E6" s="33"/>
      <c r="F6" s="1166" t="s">
        <v>66</v>
      </c>
      <c r="G6" s="1166"/>
      <c r="H6" s="1164">
        <v>149058424</v>
      </c>
      <c r="I6" s="1161"/>
      <c r="J6" s="6"/>
      <c r="M6" s="1168"/>
      <c r="N6" s="1169"/>
      <c r="O6" s="1169"/>
      <c r="P6" s="1169"/>
      <c r="Q6" s="1169"/>
      <c r="R6" s="1168"/>
      <c r="S6" s="1169"/>
      <c r="T6" s="1169"/>
      <c r="U6" s="1169"/>
      <c r="V6" s="1169"/>
    </row>
    <row r="7" spans="1:22" ht="16.5">
      <c r="A7" s="7" t="s">
        <v>67</v>
      </c>
      <c r="B7" s="7" t="s">
        <v>68</v>
      </c>
      <c r="C7" s="7" t="s">
        <v>69</v>
      </c>
      <c r="D7" s="7" t="s">
        <v>70</v>
      </c>
      <c r="E7" s="7" t="s">
        <v>71</v>
      </c>
      <c r="F7" s="7" t="s">
        <v>22</v>
      </c>
      <c r="G7" s="7" t="s">
        <v>72</v>
      </c>
      <c r="H7" s="7" t="s">
        <v>73</v>
      </c>
      <c r="I7" s="7" t="s">
        <v>74</v>
      </c>
      <c r="J7" s="7" t="s">
        <v>75</v>
      </c>
    </row>
    <row r="8" spans="1:22" ht="13.5">
      <c r="A8" s="1">
        <v>1</v>
      </c>
      <c r="B8" s="2" t="s">
        <v>125</v>
      </c>
      <c r="C8" s="2" t="s">
        <v>126</v>
      </c>
      <c r="D8" s="1">
        <v>0</v>
      </c>
      <c r="E8" s="1">
        <v>100474320</v>
      </c>
      <c r="F8" s="1">
        <f>+E8+F9</f>
        <v>101460224</v>
      </c>
      <c r="G8" s="2"/>
      <c r="H8" s="2" t="s">
        <v>78</v>
      </c>
      <c r="I8" s="2" t="s">
        <v>79</v>
      </c>
      <c r="J8" s="2" t="s">
        <v>64</v>
      </c>
    </row>
    <row r="9" spans="1:22" ht="13.5">
      <c r="A9" s="1">
        <f>+A8+1</f>
        <v>2</v>
      </c>
      <c r="B9" s="2" t="s">
        <v>127</v>
      </c>
      <c r="C9" s="2" t="s">
        <v>128</v>
      </c>
      <c r="D9" s="1">
        <v>0</v>
      </c>
      <c r="E9" s="1">
        <v>245</v>
      </c>
      <c r="F9" s="1">
        <v>985904</v>
      </c>
      <c r="G9" s="2" t="s">
        <v>64</v>
      </c>
      <c r="H9" s="2" t="s">
        <v>129</v>
      </c>
      <c r="I9" s="2" t="s">
        <v>79</v>
      </c>
      <c r="J9" s="2" t="s">
        <v>64</v>
      </c>
    </row>
    <row r="10" spans="1:22" ht="13.5">
      <c r="A10" s="1">
        <f t="shared" ref="A10:A17" si="0">+A9+1</f>
        <v>3</v>
      </c>
      <c r="B10" s="2" t="s">
        <v>130</v>
      </c>
      <c r="C10" s="2" t="s">
        <v>128</v>
      </c>
      <c r="D10" s="1">
        <v>0</v>
      </c>
      <c r="E10" s="1">
        <v>59</v>
      </c>
      <c r="F10" s="1">
        <v>985659</v>
      </c>
      <c r="G10" s="2" t="s">
        <v>64</v>
      </c>
      <c r="H10" s="2" t="s">
        <v>129</v>
      </c>
      <c r="I10" s="2" t="s">
        <v>79</v>
      </c>
      <c r="J10" s="2" t="s">
        <v>64</v>
      </c>
    </row>
    <row r="11" spans="1:22" ht="13.5">
      <c r="A11" s="1">
        <f t="shared" si="0"/>
        <v>4</v>
      </c>
      <c r="B11" s="2" t="s">
        <v>131</v>
      </c>
      <c r="C11" s="2" t="s">
        <v>81</v>
      </c>
      <c r="D11" s="1">
        <v>47583800</v>
      </c>
      <c r="E11" s="1">
        <v>0</v>
      </c>
      <c r="F11" s="1">
        <v>985600</v>
      </c>
      <c r="G11" s="2" t="s">
        <v>132</v>
      </c>
      <c r="H11" s="2" t="s">
        <v>83</v>
      </c>
      <c r="I11" s="2" t="s">
        <v>79</v>
      </c>
      <c r="J11" s="2" t="s">
        <v>64</v>
      </c>
    </row>
    <row r="12" spans="1:22" ht="13.5">
      <c r="A12" s="1">
        <f t="shared" si="0"/>
        <v>5</v>
      </c>
      <c r="B12" s="3" t="s">
        <v>133</v>
      </c>
      <c r="C12" s="3" t="s">
        <v>85</v>
      </c>
      <c r="D12" s="4">
        <v>0</v>
      </c>
      <c r="E12" s="4">
        <v>4325800</v>
      </c>
      <c r="F12" s="4">
        <v>48569400</v>
      </c>
      <c r="G12" s="3" t="s">
        <v>64</v>
      </c>
      <c r="H12" s="3" t="s">
        <v>86</v>
      </c>
      <c r="I12" s="3" t="s">
        <v>87</v>
      </c>
      <c r="J12" s="3" t="s">
        <v>64</v>
      </c>
    </row>
    <row r="13" spans="1:22" ht="13.5">
      <c r="A13" s="1">
        <f t="shared" si="0"/>
        <v>6</v>
      </c>
      <c r="B13" s="3" t="s">
        <v>134</v>
      </c>
      <c r="C13" s="3" t="s">
        <v>85</v>
      </c>
      <c r="D13" s="4">
        <v>0</v>
      </c>
      <c r="E13" s="4">
        <v>43258000</v>
      </c>
      <c r="F13" s="4">
        <v>44243600</v>
      </c>
      <c r="G13" s="3" t="s">
        <v>64</v>
      </c>
      <c r="H13" s="3" t="s">
        <v>86</v>
      </c>
      <c r="I13" s="3" t="s">
        <v>87</v>
      </c>
      <c r="J13" s="3" t="s">
        <v>64</v>
      </c>
    </row>
    <row r="14" spans="1:22" ht="13.5">
      <c r="A14" s="1">
        <f t="shared" si="0"/>
        <v>7</v>
      </c>
      <c r="B14" s="2" t="s">
        <v>135</v>
      </c>
      <c r="C14" s="2" t="s">
        <v>96</v>
      </c>
      <c r="D14" s="1">
        <v>4400</v>
      </c>
      <c r="E14" s="1">
        <v>0</v>
      </c>
      <c r="F14" s="1">
        <v>985600</v>
      </c>
      <c r="G14" s="2" t="s">
        <v>64</v>
      </c>
      <c r="H14" s="2" t="s">
        <v>83</v>
      </c>
      <c r="I14" s="2" t="s">
        <v>79</v>
      </c>
      <c r="J14" s="2" t="s">
        <v>64</v>
      </c>
    </row>
    <row r="15" spans="1:22" ht="13.5">
      <c r="A15" s="1">
        <f t="shared" si="0"/>
        <v>8</v>
      </c>
      <c r="B15" s="2" t="s">
        <v>136</v>
      </c>
      <c r="C15" s="2" t="s">
        <v>137</v>
      </c>
      <c r="D15" s="1">
        <v>10000</v>
      </c>
      <c r="E15" s="1">
        <v>0</v>
      </c>
      <c r="F15" s="1">
        <v>990000</v>
      </c>
      <c r="G15" s="2" t="s">
        <v>64</v>
      </c>
      <c r="H15" s="2" t="s">
        <v>138</v>
      </c>
      <c r="I15" s="2" t="s">
        <v>79</v>
      </c>
      <c r="J15" s="2" t="s">
        <v>64</v>
      </c>
    </row>
    <row r="16" spans="1:22" ht="13.5">
      <c r="A16" s="1">
        <f t="shared" si="0"/>
        <v>9</v>
      </c>
      <c r="B16" s="2" t="s">
        <v>139</v>
      </c>
      <c r="C16" s="2" t="s">
        <v>85</v>
      </c>
      <c r="D16" s="1">
        <v>0</v>
      </c>
      <c r="E16" s="1">
        <v>1000000</v>
      </c>
      <c r="F16" s="1">
        <v>1000000</v>
      </c>
      <c r="G16" s="2" t="s">
        <v>64</v>
      </c>
      <c r="H16" s="2" t="s">
        <v>86</v>
      </c>
      <c r="I16" s="2" t="s">
        <v>87</v>
      </c>
      <c r="J16" s="2" t="s">
        <v>140</v>
      </c>
    </row>
    <row r="17" spans="1:11" ht="13.5">
      <c r="A17" s="1">
        <f t="shared" si="0"/>
        <v>10</v>
      </c>
      <c r="B17" s="2" t="s">
        <v>141</v>
      </c>
      <c r="C17" s="2" t="s">
        <v>64</v>
      </c>
      <c r="D17" s="1">
        <v>0</v>
      </c>
      <c r="E17" s="1">
        <v>0</v>
      </c>
      <c r="F17" s="1">
        <v>0</v>
      </c>
      <c r="G17" s="2" t="s">
        <v>64</v>
      </c>
      <c r="H17" s="2" t="s">
        <v>101</v>
      </c>
      <c r="I17" s="2" t="s">
        <v>79</v>
      </c>
      <c r="J17" s="2" t="s">
        <v>64</v>
      </c>
    </row>
    <row r="19" spans="1:11">
      <c r="A19" s="1167" t="s">
        <v>102</v>
      </c>
      <c r="B19" t="str">
        <f t="shared" ref="B19:J19" si="1">+B13</f>
        <v>2024.12.05 13:35:23</v>
      </c>
      <c r="C19" t="str">
        <f t="shared" si="1"/>
        <v>오리지네이티드　유한</v>
      </c>
      <c r="D19" s="5">
        <f t="shared" si="1"/>
        <v>0</v>
      </c>
      <c r="E19" s="5">
        <f t="shared" si="1"/>
        <v>43258000</v>
      </c>
      <c r="F19" s="5">
        <f t="shared" si="1"/>
        <v>44243600</v>
      </c>
      <c r="G19" t="str">
        <f t="shared" si="1"/>
        <v/>
      </c>
      <c r="H19" t="str">
        <f t="shared" si="1"/>
        <v>전자금융</v>
      </c>
      <c r="I19" t="str">
        <f t="shared" si="1"/>
        <v>하나은행</v>
      </c>
      <c r="J19" t="str">
        <f t="shared" si="1"/>
        <v/>
      </c>
    </row>
    <row r="20" spans="1:11">
      <c r="A20" s="1167"/>
      <c r="B20" t="str">
        <f t="shared" ref="B20:J20" si="2">+B12</f>
        <v>2024.12.05 13:41:07</v>
      </c>
      <c r="C20" t="str">
        <f t="shared" si="2"/>
        <v>오리지네이티드　유한</v>
      </c>
      <c r="D20" s="5">
        <f t="shared" si="2"/>
        <v>0</v>
      </c>
      <c r="E20" s="5">
        <f t="shared" si="2"/>
        <v>4325800</v>
      </c>
      <c r="F20" s="5">
        <f t="shared" si="2"/>
        <v>48569400</v>
      </c>
      <c r="G20" t="str">
        <f t="shared" si="2"/>
        <v/>
      </c>
      <c r="H20" t="str">
        <f t="shared" si="2"/>
        <v>전자금융</v>
      </c>
      <c r="I20" t="str">
        <f t="shared" si="2"/>
        <v>하나은행</v>
      </c>
      <c r="J20" t="str">
        <f t="shared" si="2"/>
        <v/>
      </c>
    </row>
    <row r="22" spans="1:11" ht="13.5">
      <c r="B22" s="29" t="s">
        <v>103</v>
      </c>
      <c r="C22" s="9">
        <v>4.5999999999999999E-2</v>
      </c>
      <c r="D22" s="6"/>
      <c r="E22" s="6"/>
      <c r="F22" s="6"/>
      <c r="G22" s="6"/>
      <c r="H22" s="6"/>
    </row>
    <row r="23" spans="1:11" ht="13.5">
      <c r="B23" s="29" t="s">
        <v>104</v>
      </c>
      <c r="C23" s="10" t="e">
        <f>+CAPEX_Input_2HO!#REF!</f>
        <v>#REF!</v>
      </c>
      <c r="D23" s="6"/>
      <c r="E23" s="6"/>
      <c r="F23" s="6"/>
      <c r="G23" s="6"/>
      <c r="H23" s="6"/>
    </row>
    <row r="24" spans="1:11">
      <c r="B24" s="6"/>
      <c r="C24" s="6"/>
      <c r="D24" s="6"/>
      <c r="E24" s="6"/>
      <c r="F24" s="6"/>
      <c r="G24" s="6"/>
      <c r="H24" s="6"/>
    </row>
    <row r="25" spans="1:11" ht="13.5">
      <c r="B25" s="29" t="s">
        <v>105</v>
      </c>
      <c r="C25" s="6"/>
      <c r="D25" s="6"/>
      <c r="E25" s="6"/>
      <c r="F25" s="6"/>
      <c r="G25" s="6"/>
      <c r="H25" s="6"/>
      <c r="I25" s="13"/>
      <c r="J25" s="6"/>
      <c r="K25" s="26" t="s">
        <v>106</v>
      </c>
    </row>
    <row r="26" spans="1:11" ht="13.5">
      <c r="B26" s="35" t="s">
        <v>107</v>
      </c>
      <c r="C26" s="35" t="s">
        <v>108</v>
      </c>
      <c r="D26" s="35" t="s">
        <v>109</v>
      </c>
      <c r="E26" s="16" t="s">
        <v>110</v>
      </c>
      <c r="F26" s="35" t="s">
        <v>111</v>
      </c>
      <c r="G26" s="17" t="s">
        <v>112</v>
      </c>
      <c r="H26" s="35" t="s">
        <v>111</v>
      </c>
      <c r="I26" s="17" t="s">
        <v>113</v>
      </c>
      <c r="J26" s="17" t="s">
        <v>114</v>
      </c>
      <c r="K26" s="35" t="s">
        <v>115</v>
      </c>
    </row>
    <row r="27" spans="1:11">
      <c r="B27" s="16">
        <v>45631</v>
      </c>
      <c r="C27" s="18">
        <f>+E19</f>
        <v>43258000</v>
      </c>
      <c r="D27" s="25"/>
      <c r="E27" s="19"/>
      <c r="F27" s="19"/>
      <c r="G27" s="20"/>
      <c r="H27" s="25"/>
      <c r="I27" s="20"/>
      <c r="J27" s="18">
        <f>+C27-E27-G27-I27</f>
        <v>43258000</v>
      </c>
      <c r="K27" s="21" t="e">
        <f>+ROUND(C27*(C23-B27+1)*C22/365,)</f>
        <v>#REF!</v>
      </c>
    </row>
    <row r="28" spans="1:11">
      <c r="B28" s="16">
        <v>45631</v>
      </c>
      <c r="C28" s="18">
        <f>+E20</f>
        <v>4325800</v>
      </c>
      <c r="D28" s="19"/>
      <c r="E28" s="19"/>
      <c r="F28" s="19"/>
      <c r="G28" s="19"/>
      <c r="H28" s="20"/>
      <c r="I28" s="20"/>
      <c r="J28" s="18">
        <f>+C28-D28-H28-I28</f>
        <v>4325800</v>
      </c>
      <c r="K28" s="21" t="e">
        <f>+ROUND(C28*(C23-B28+1)*C22/365,)</f>
        <v>#REF!</v>
      </c>
    </row>
    <row r="29" spans="1:11">
      <c r="B29" s="16">
        <v>45752</v>
      </c>
      <c r="C29" s="18">
        <v>297000</v>
      </c>
      <c r="D29" s="19"/>
      <c r="E29" s="19"/>
      <c r="F29" s="19"/>
      <c r="G29" s="19"/>
      <c r="H29" s="20"/>
      <c r="I29" s="20"/>
      <c r="J29" s="18">
        <f>+C29-D29-H29-I29</f>
        <v>297000</v>
      </c>
      <c r="K29" s="21" t="e">
        <f>+ROUND(C29*(C23-B29+1)*C22/365,)</f>
        <v>#REF!</v>
      </c>
    </row>
    <row r="30" spans="1:11" ht="13.5">
      <c r="B30" s="22" t="s">
        <v>116</v>
      </c>
      <c r="C30" s="14">
        <f>SUM(C27:C29)</f>
        <v>47880800</v>
      </c>
      <c r="D30" s="28"/>
      <c r="E30" s="14">
        <f>SUM(E27:E29)</f>
        <v>0</v>
      </c>
      <c r="F30" s="28"/>
      <c r="G30" s="14">
        <f>SUM(G27:G29)</f>
        <v>0</v>
      </c>
      <c r="H30" s="23"/>
      <c r="I30" s="14">
        <f>SUM(I27:I29)</f>
        <v>0</v>
      </c>
      <c r="J30" s="14">
        <f>SUM(J27:J29)</f>
        <v>47880800</v>
      </c>
      <c r="K30" s="14" t="e">
        <f>SUM(K27:K29)</f>
        <v>#REF!</v>
      </c>
    </row>
    <row r="32" spans="1:11" ht="13.5">
      <c r="B32" s="29" t="s">
        <v>117</v>
      </c>
      <c r="C32" s="6"/>
      <c r="D32" s="6"/>
      <c r="E32" s="6"/>
      <c r="F32" s="6"/>
      <c r="G32" s="6"/>
      <c r="H32" s="6"/>
      <c r="I32" s="13"/>
      <c r="J32" s="6"/>
      <c r="K32" s="26" t="s">
        <v>106</v>
      </c>
    </row>
    <row r="33" spans="2:11" ht="13.5">
      <c r="B33" s="35" t="s">
        <v>107</v>
      </c>
      <c r="C33" s="35" t="s">
        <v>108</v>
      </c>
      <c r="D33" s="35" t="s">
        <v>109</v>
      </c>
      <c r="E33" s="16" t="s">
        <v>110</v>
      </c>
      <c r="F33" s="35" t="s">
        <v>111</v>
      </c>
      <c r="G33" s="17" t="s">
        <v>112</v>
      </c>
      <c r="H33" s="35" t="s">
        <v>111</v>
      </c>
      <c r="I33" s="17" t="s">
        <v>113</v>
      </c>
      <c r="J33" s="17" t="s">
        <v>114</v>
      </c>
      <c r="K33" s="35" t="s">
        <v>115</v>
      </c>
    </row>
    <row r="34" spans="2:11">
      <c r="B34" s="16"/>
      <c r="C34" s="18"/>
      <c r="D34" s="25"/>
      <c r="E34" s="19"/>
      <c r="F34" s="19"/>
      <c r="G34" s="20"/>
      <c r="H34" s="25"/>
      <c r="I34" s="20"/>
      <c r="J34" s="18">
        <f>+C34-E34-G34-I34</f>
        <v>0</v>
      </c>
      <c r="K34" s="21">
        <f>+ROUND(C34*(C30-B34+1)*C29/365,)</f>
        <v>0</v>
      </c>
    </row>
    <row r="35" spans="2:11">
      <c r="B35" s="16"/>
      <c r="C35" s="18"/>
      <c r="D35" s="19"/>
      <c r="E35" s="19"/>
      <c r="F35" s="19"/>
      <c r="G35" s="19"/>
      <c r="H35" s="20"/>
      <c r="I35" s="20"/>
      <c r="J35" s="18">
        <f>+C35-D35-H35-I35</f>
        <v>0</v>
      </c>
      <c r="K35" s="21">
        <f>+C35*(C30-B35+1)*C29/365</f>
        <v>0</v>
      </c>
    </row>
    <row r="36" spans="2:11">
      <c r="B36" s="16"/>
      <c r="C36" s="18"/>
      <c r="D36" s="19"/>
      <c r="E36" s="19"/>
      <c r="F36" s="19"/>
      <c r="G36" s="19"/>
      <c r="H36" s="20"/>
      <c r="I36" s="20"/>
      <c r="J36" s="18">
        <f>+C36-D36-H36-I36</f>
        <v>0</v>
      </c>
      <c r="K36" s="21">
        <f>+ROUND(C36*(C30-B36+1)*C29/365,)</f>
        <v>0</v>
      </c>
    </row>
    <row r="37" spans="2:11" ht="13.5">
      <c r="B37" s="22" t="s">
        <v>116</v>
      </c>
      <c r="C37" s="14">
        <f>SUM(C34:C36)</f>
        <v>0</v>
      </c>
      <c r="D37" s="28"/>
      <c r="E37" s="14">
        <f>SUM(E34:E36)</f>
        <v>0</v>
      </c>
      <c r="F37" s="28"/>
      <c r="G37" s="14">
        <f>SUM(G34:G36)</f>
        <v>0</v>
      </c>
      <c r="H37" s="23"/>
      <c r="I37" s="14">
        <f>SUM(I34:I36)</f>
        <v>0</v>
      </c>
      <c r="J37" s="14">
        <f>SUM(J34:J36)</f>
        <v>0</v>
      </c>
      <c r="K37" s="14">
        <f>SUM(K34:K36)</f>
        <v>0</v>
      </c>
    </row>
    <row r="39" spans="2:11" ht="13.5">
      <c r="B39" s="29" t="s">
        <v>118</v>
      </c>
      <c r="C39" s="6"/>
      <c r="D39" s="6"/>
      <c r="E39" s="6"/>
      <c r="F39" s="6"/>
      <c r="G39" s="6"/>
      <c r="H39" s="6"/>
      <c r="I39" s="13"/>
      <c r="J39" s="6"/>
      <c r="K39" s="26" t="s">
        <v>106</v>
      </c>
    </row>
    <row r="40" spans="2:11" ht="13.5">
      <c r="B40" s="35" t="s">
        <v>107</v>
      </c>
      <c r="C40" s="35" t="s">
        <v>108</v>
      </c>
      <c r="D40" s="35" t="s">
        <v>109</v>
      </c>
      <c r="E40" s="16" t="s">
        <v>110</v>
      </c>
      <c r="F40" s="35" t="s">
        <v>111</v>
      </c>
      <c r="G40" s="17" t="s">
        <v>112</v>
      </c>
      <c r="H40" s="35" t="s">
        <v>111</v>
      </c>
      <c r="I40" s="17" t="s">
        <v>113</v>
      </c>
      <c r="J40" s="17" t="s">
        <v>114</v>
      </c>
      <c r="K40" s="35" t="s">
        <v>115</v>
      </c>
    </row>
    <row r="41" spans="2:11" ht="13.5">
      <c r="B41" s="31" t="s">
        <v>119</v>
      </c>
      <c r="C41" s="18">
        <f>+C30</f>
        <v>47880800</v>
      </c>
      <c r="D41" s="25"/>
      <c r="E41" s="19"/>
      <c r="F41" s="19"/>
      <c r="G41" s="20"/>
      <c r="H41" s="25"/>
      <c r="I41" s="20"/>
      <c r="J41" s="18">
        <f>+C41-E41-G41-I41</f>
        <v>47880800</v>
      </c>
      <c r="K41" s="21" t="e">
        <f>+K30</f>
        <v>#REF!</v>
      </c>
    </row>
    <row r="42" spans="2:11" ht="13.5">
      <c r="B42" s="31" t="s">
        <v>120</v>
      </c>
      <c r="C42" s="18">
        <f>+C37</f>
        <v>0</v>
      </c>
      <c r="D42" s="19"/>
      <c r="E42" s="19"/>
      <c r="F42" s="19"/>
      <c r="G42" s="19"/>
      <c r="H42" s="20"/>
      <c r="I42" s="20"/>
      <c r="J42" s="18">
        <f>+C42-D42-H42-I42</f>
        <v>0</v>
      </c>
      <c r="K42" s="21">
        <f>+K37</f>
        <v>0</v>
      </c>
    </row>
    <row r="43" spans="2:11" ht="13.5">
      <c r="B43" s="22" t="s">
        <v>121</v>
      </c>
      <c r="C43" s="14">
        <f>SUM(C41:C42)</f>
        <v>47880800</v>
      </c>
      <c r="D43" s="28"/>
      <c r="E43" s="14">
        <f>SUM(E41:E42)</f>
        <v>0</v>
      </c>
      <c r="F43" s="28"/>
      <c r="G43" s="14">
        <f>SUM(G41:G42)</f>
        <v>0</v>
      </c>
      <c r="H43" s="23"/>
      <c r="I43" s="14">
        <f>SUM(I41:I42)</f>
        <v>0</v>
      </c>
      <c r="J43" s="14">
        <f>SUM(J41:J42)</f>
        <v>47880800</v>
      </c>
      <c r="K43" s="14" t="e">
        <f>SUM(K41:K42)</f>
        <v>#REF!</v>
      </c>
    </row>
    <row r="44" spans="2:11" ht="13.5" thickBot="1"/>
    <row r="45" spans="2:11" ht="14.25" thickBot="1">
      <c r="B45" s="30" t="s">
        <v>114</v>
      </c>
      <c r="C45" s="15">
        <f>+J43</f>
        <v>47880800</v>
      </c>
    </row>
    <row r="46" spans="2:11" ht="14.25" thickBot="1">
      <c r="B46" s="30" t="s">
        <v>115</v>
      </c>
      <c r="C46" s="15" t="e">
        <f>+K43</f>
        <v>#REF!</v>
      </c>
    </row>
    <row r="47" spans="2:11" ht="14.25" thickBot="1">
      <c r="B47" s="30" t="s">
        <v>17</v>
      </c>
      <c r="C47" s="15" t="e">
        <f>SUM(C45:C46)</f>
        <v>#REF!</v>
      </c>
    </row>
  </sheetData>
  <mergeCells count="30">
    <mergeCell ref="A19:A20"/>
    <mergeCell ref="A3:B3"/>
    <mergeCell ref="C3:D3"/>
    <mergeCell ref="A4:B4"/>
    <mergeCell ref="C4:D4"/>
    <mergeCell ref="A5:B5"/>
    <mergeCell ref="C5:D5"/>
    <mergeCell ref="M4:Q4"/>
    <mergeCell ref="R4:V4"/>
    <mergeCell ref="M5:Q5"/>
    <mergeCell ref="R5:V5"/>
    <mergeCell ref="M6:Q6"/>
    <mergeCell ref="R6:V6"/>
    <mergeCell ref="M1:Q1"/>
    <mergeCell ref="R1:V1"/>
    <mergeCell ref="M2:Q2"/>
    <mergeCell ref="R2:V2"/>
    <mergeCell ref="M3:Q3"/>
    <mergeCell ref="R3:V3"/>
    <mergeCell ref="F4:J4"/>
    <mergeCell ref="F5:J5"/>
    <mergeCell ref="A6:B6"/>
    <mergeCell ref="C6:D6"/>
    <mergeCell ref="F6:G6"/>
    <mergeCell ref="H6:I6"/>
    <mergeCell ref="F3:J3"/>
    <mergeCell ref="A1:B1"/>
    <mergeCell ref="C1:D1"/>
    <mergeCell ref="A2:B2"/>
    <mergeCell ref="C2:D2"/>
  </mergeCells>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50B29-7DF7-4341-B240-FA6C3F71B860}">
  <dimension ref="A12:N12"/>
  <sheetViews>
    <sheetView workbookViewId="0">
      <selection activeCell="J7" sqref="J7"/>
    </sheetView>
  </sheetViews>
  <sheetFormatPr defaultRowHeight="12.75"/>
  <sheetData>
    <row r="12" spans="1:14">
      <c r="A12" t="s">
        <v>142</v>
      </c>
      <c r="N12" t="s">
        <v>143</v>
      </c>
    </row>
  </sheetData>
  <phoneticPr fontId="9"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FD119-E7FF-4B25-A8B3-D95547056DD1}">
  <dimension ref="A2:Z2"/>
  <sheetViews>
    <sheetView workbookViewId="0">
      <selection activeCell="Z12" sqref="Z12"/>
    </sheetView>
  </sheetViews>
  <sheetFormatPr defaultRowHeight="12.75"/>
  <sheetData>
    <row r="2" spans="1:26">
      <c r="A2" t="s">
        <v>142</v>
      </c>
      <c r="N2" t="s">
        <v>143</v>
      </c>
      <c r="Z2" t="s">
        <v>144</v>
      </c>
    </row>
  </sheetData>
  <phoneticPr fontId="9"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2FE6-769E-4966-8BC3-26A34C6073D1}">
  <dimension ref="A2:Z2"/>
  <sheetViews>
    <sheetView workbookViewId="0">
      <selection activeCell="Z12" sqref="Z12"/>
    </sheetView>
  </sheetViews>
  <sheetFormatPr defaultRowHeight="12.75"/>
  <sheetData>
    <row r="2" spans="1:26">
      <c r="A2" t="s">
        <v>142</v>
      </c>
      <c r="N2" t="s">
        <v>143</v>
      </c>
      <c r="Z2" t="s">
        <v>144</v>
      </c>
    </row>
  </sheetData>
  <phoneticPr fontId="9"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C145-180D-4D59-A4CC-73A86187D200}">
  <dimension ref="A2:Z2"/>
  <sheetViews>
    <sheetView workbookViewId="0">
      <selection activeCell="Z12" sqref="Z12"/>
    </sheetView>
  </sheetViews>
  <sheetFormatPr defaultRowHeight="12.75"/>
  <sheetData>
    <row r="2" spans="1:26">
      <c r="A2" t="s">
        <v>142</v>
      </c>
      <c r="N2" t="s">
        <v>143</v>
      </c>
      <c r="Z2" t="s">
        <v>144</v>
      </c>
    </row>
  </sheetData>
  <phoneticPr fontId="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5AB61-286F-4A79-807D-E7CD986D4AAE}">
  <sheetPr>
    <tabColor rgb="FFFFFF00"/>
  </sheetPr>
  <dimension ref="B1:K79"/>
  <sheetViews>
    <sheetView showGridLines="0" workbookViewId="0">
      <pane xSplit="3" ySplit="6" topLeftCell="D60" activePane="bottomRight" state="frozen"/>
      <selection pane="topRight" activeCell="D1" sqref="D1"/>
      <selection pane="bottomLeft" activeCell="A7" sqref="A7"/>
      <selection pane="bottomRight" activeCell="D7" sqref="D7"/>
    </sheetView>
  </sheetViews>
  <sheetFormatPr defaultColWidth="10.28515625" defaultRowHeight="15"/>
  <cols>
    <col min="1" max="1" width="1.85546875" style="237" customWidth="1"/>
    <col min="2" max="2" width="22.42578125" style="237" customWidth="1"/>
    <col min="3" max="3" width="16.7109375" style="237" customWidth="1"/>
    <col min="4" max="9" width="17.7109375" style="237" customWidth="1"/>
    <col min="10" max="16384" width="10.28515625" style="237"/>
  </cols>
  <sheetData>
    <row r="1" spans="2:11">
      <c r="K1" s="238">
        <v>1470</v>
      </c>
    </row>
    <row r="3" spans="2:11" ht="21">
      <c r="B3" s="239" t="s">
        <v>145</v>
      </c>
    </row>
    <row r="4" spans="2:11" ht="15.75" thickBot="1">
      <c r="I4" s="240" t="s">
        <v>146</v>
      </c>
    </row>
    <row r="5" spans="2:11" ht="22.5" customHeight="1">
      <c r="B5" s="1180" t="s">
        <v>147</v>
      </c>
      <c r="C5" s="1170" t="s">
        <v>148</v>
      </c>
      <c r="D5" s="1172" t="s">
        <v>149</v>
      </c>
      <c r="E5" s="1172"/>
      <c r="F5" s="1172" t="s">
        <v>150</v>
      </c>
      <c r="G5" s="1172"/>
      <c r="H5" s="1173" t="s">
        <v>151</v>
      </c>
      <c r="I5" s="1174"/>
    </row>
    <row r="6" spans="2:11" ht="22.5" customHeight="1" thickBot="1">
      <c r="B6" s="1181"/>
      <c r="C6" s="1171"/>
      <c r="D6" s="241" t="s">
        <v>152</v>
      </c>
      <c r="E6" s="242" t="s">
        <v>153</v>
      </c>
      <c r="F6" s="241" t="s">
        <v>152</v>
      </c>
      <c r="G6" s="242" t="s">
        <v>153</v>
      </c>
      <c r="H6" s="243" t="s">
        <v>152</v>
      </c>
      <c r="I6" s="244" t="s">
        <v>153</v>
      </c>
    </row>
    <row r="7" spans="2:11" ht="22.5" customHeight="1">
      <c r="B7" s="1175" t="s">
        <v>154</v>
      </c>
      <c r="C7" s="245" t="s">
        <v>155</v>
      </c>
      <c r="D7" s="246">
        <v>167128500.00000003</v>
      </c>
      <c r="E7" s="247">
        <f>+D7/$K$1</f>
        <v>113692.85714285716</v>
      </c>
      <c r="F7" s="246"/>
      <c r="G7" s="247"/>
      <c r="H7" s="246">
        <f>+D7+F7</f>
        <v>167128500.00000003</v>
      </c>
      <c r="I7" s="248">
        <f>+E7+G7</f>
        <v>113692.85714285716</v>
      </c>
    </row>
    <row r="8" spans="2:11" ht="22.5" customHeight="1">
      <c r="B8" s="1176"/>
      <c r="C8" s="249">
        <v>45748</v>
      </c>
      <c r="D8" s="250">
        <v>55709500.000000015</v>
      </c>
      <c r="E8" s="251">
        <f>+D8/$K$1</f>
        <v>37897.61904761906</v>
      </c>
      <c r="F8" s="250">
        <v>357742440</v>
      </c>
      <c r="G8" s="251">
        <f>+F8/$K$1</f>
        <v>243362.20408163266</v>
      </c>
      <c r="H8" s="250">
        <f t="shared" ref="H8:I23" si="0">+D8+F8</f>
        <v>413451940</v>
      </c>
      <c r="I8" s="252">
        <f t="shared" si="0"/>
        <v>281259.82312925172</v>
      </c>
    </row>
    <row r="9" spans="2:11" ht="22.5" customHeight="1">
      <c r="B9" s="1176"/>
      <c r="C9" s="253">
        <v>45778</v>
      </c>
      <c r="D9" s="250">
        <v>200392500.00000003</v>
      </c>
      <c r="E9" s="251">
        <f>+D9/$K$1</f>
        <v>136321.42857142858</v>
      </c>
      <c r="F9" s="250"/>
      <c r="G9" s="251"/>
      <c r="H9" s="250">
        <f t="shared" si="0"/>
        <v>200392500.00000003</v>
      </c>
      <c r="I9" s="252">
        <f t="shared" si="0"/>
        <v>136321.42857142858</v>
      </c>
    </row>
    <row r="10" spans="2:11" ht="22.5" customHeight="1">
      <c r="B10" s="1176"/>
      <c r="C10" s="249">
        <v>45809</v>
      </c>
      <c r="D10" s="250">
        <f>+'[1]Liquidity Projection by SPV'!Q8</f>
        <v>78155000.000000015</v>
      </c>
      <c r="E10" s="251">
        <f>+D10/$K$1</f>
        <v>53166.666666666679</v>
      </c>
      <c r="F10" s="250">
        <f>+SUM('[1]Liquidity Projection by SPV'!N9:N15)</f>
        <v>119247480.00000003</v>
      </c>
      <c r="G10" s="251">
        <f>+F10/$K$1</f>
        <v>81120.734693877574</v>
      </c>
      <c r="H10" s="250">
        <f t="shared" si="0"/>
        <v>197402480.00000006</v>
      </c>
      <c r="I10" s="252">
        <f t="shared" si="0"/>
        <v>134287.40136054426</v>
      </c>
    </row>
    <row r="11" spans="2:11" ht="22.5" customHeight="1">
      <c r="B11" s="1176"/>
      <c r="C11" s="253">
        <v>45839</v>
      </c>
      <c r="D11" s="250"/>
      <c r="E11" s="251"/>
      <c r="F11" s="250"/>
      <c r="G11" s="251"/>
      <c r="H11" s="250"/>
      <c r="I11" s="252"/>
    </row>
    <row r="12" spans="2:11" ht="22.5" customHeight="1">
      <c r="B12" s="1176"/>
      <c r="C12" s="249">
        <v>45870</v>
      </c>
      <c r="D12" s="250"/>
      <c r="E12" s="251"/>
      <c r="F12" s="250">
        <f>+SUM('[1]Liquidity Projection by SPV'!Q9:Q15)</f>
        <v>596237400.00000012</v>
      </c>
      <c r="G12" s="251">
        <f>+F12/$K$1</f>
        <v>405603.67346938781</v>
      </c>
      <c r="H12" s="250">
        <f t="shared" si="0"/>
        <v>596237400.00000012</v>
      </c>
      <c r="I12" s="252">
        <f t="shared" si="0"/>
        <v>405603.67346938781</v>
      </c>
    </row>
    <row r="13" spans="2:11" ht="22.5" customHeight="1">
      <c r="B13" s="1176"/>
      <c r="C13" s="253">
        <v>45901</v>
      </c>
      <c r="D13" s="250"/>
      <c r="E13" s="251"/>
      <c r="F13" s="250"/>
      <c r="G13" s="251"/>
      <c r="H13" s="250"/>
      <c r="I13" s="252"/>
    </row>
    <row r="14" spans="2:11" ht="22.5" customHeight="1">
      <c r="B14" s="1176"/>
      <c r="C14" s="249">
        <v>45931</v>
      </c>
      <c r="D14" s="250"/>
      <c r="E14" s="251"/>
      <c r="F14" s="250"/>
      <c r="G14" s="251"/>
      <c r="H14" s="250"/>
      <c r="I14" s="252"/>
    </row>
    <row r="15" spans="2:11" ht="22.5" customHeight="1">
      <c r="B15" s="1176"/>
      <c r="C15" s="253">
        <v>45962</v>
      </c>
      <c r="D15" s="250"/>
      <c r="E15" s="251"/>
      <c r="F15" s="250"/>
      <c r="G15" s="251"/>
      <c r="H15" s="250"/>
      <c r="I15" s="252"/>
    </row>
    <row r="16" spans="2:11" ht="22.5" customHeight="1">
      <c r="B16" s="1176"/>
      <c r="C16" s="249">
        <v>45992</v>
      </c>
      <c r="D16" s="250">
        <f>+'[1]Liquidity Projection by SPV'!T7+'[1]Liquidity Projection by SPV'!T8</f>
        <v>55709500.000000015</v>
      </c>
      <c r="E16" s="251">
        <f>+D16/$K$1</f>
        <v>37897.61904761906</v>
      </c>
      <c r="F16" s="250"/>
      <c r="G16" s="251"/>
      <c r="H16" s="250">
        <f t="shared" si="0"/>
        <v>55709500.000000015</v>
      </c>
      <c r="I16" s="252">
        <f t="shared" si="0"/>
        <v>37897.61904761906</v>
      </c>
    </row>
    <row r="17" spans="2:9" ht="22.5" customHeight="1">
      <c r="B17" s="1176"/>
      <c r="C17" s="249">
        <v>46023</v>
      </c>
      <c r="D17" s="250"/>
      <c r="E17" s="254"/>
      <c r="F17" s="250"/>
      <c r="G17" s="251"/>
      <c r="H17" s="250"/>
      <c r="I17" s="252"/>
    </row>
    <row r="18" spans="2:9" ht="22.5" customHeight="1">
      <c r="B18" s="1176"/>
      <c r="C18" s="249">
        <v>46054</v>
      </c>
      <c r="D18" s="250"/>
      <c r="E18" s="254"/>
      <c r="F18" s="250">
        <f>+'[1]Liquidity Projection by SPV'!T9</f>
        <v>10395000.000000002</v>
      </c>
      <c r="G18" s="251">
        <f>+F18/$K$1</f>
        <v>7071.4285714285725</v>
      </c>
      <c r="H18" s="250">
        <f t="shared" si="0"/>
        <v>10395000.000000002</v>
      </c>
      <c r="I18" s="252">
        <f t="shared" si="0"/>
        <v>7071.4285714285725</v>
      </c>
    </row>
    <row r="19" spans="2:9" ht="22.5" customHeight="1">
      <c r="B19" s="1176"/>
      <c r="C19" s="249">
        <v>46082</v>
      </c>
      <c r="D19" s="250"/>
      <c r="E19" s="254"/>
      <c r="F19" s="250">
        <f>+SUM('[1]Liquidity Projection by SPV'!T10:T15)</f>
        <v>108852480.00000001</v>
      </c>
      <c r="G19" s="251">
        <f>+F19/$K$1</f>
        <v>74049.306122448994</v>
      </c>
      <c r="H19" s="250">
        <f t="shared" si="0"/>
        <v>108852480.00000001</v>
      </c>
      <c r="I19" s="252">
        <f t="shared" si="0"/>
        <v>74049.306122448994</v>
      </c>
    </row>
    <row r="20" spans="2:9" ht="22.5" customHeight="1" thickBot="1">
      <c r="B20" s="1177"/>
      <c r="C20" s="255" t="s">
        <v>156</v>
      </c>
      <c r="D20" s="256">
        <f>+SUM(D7:D19)</f>
        <v>557095000.00000012</v>
      </c>
      <c r="E20" s="257">
        <f>+D20/$K$1</f>
        <v>378976.19047619053</v>
      </c>
      <c r="F20" s="256">
        <f>+SUM(F7:F19)</f>
        <v>1192474800.0000002</v>
      </c>
      <c r="G20" s="257">
        <f>+F20/$K$1</f>
        <v>811207.34693877562</v>
      </c>
      <c r="H20" s="256">
        <f t="shared" si="0"/>
        <v>1749569800.0000005</v>
      </c>
      <c r="I20" s="258">
        <f t="shared" si="0"/>
        <v>1190183.5374149662</v>
      </c>
    </row>
    <row r="21" spans="2:9" ht="22.5" customHeight="1">
      <c r="B21" s="1178" t="s">
        <v>157</v>
      </c>
      <c r="C21" s="259" t="s">
        <v>155</v>
      </c>
      <c r="D21" s="260"/>
      <c r="E21" s="261"/>
      <c r="F21" s="260">
        <v>57486550</v>
      </c>
      <c r="G21" s="261">
        <f>+F21/$K$1</f>
        <v>39106.496598639453</v>
      </c>
      <c r="H21" s="260">
        <f>+D21+F21</f>
        <v>57486550</v>
      </c>
      <c r="I21" s="262">
        <f t="shared" si="0"/>
        <v>39106.496598639453</v>
      </c>
    </row>
    <row r="22" spans="2:9" ht="22.5" customHeight="1">
      <c r="B22" s="1178"/>
      <c r="C22" s="263">
        <v>45748</v>
      </c>
      <c r="D22" s="264">
        <v>337183000</v>
      </c>
      <c r="E22" s="265">
        <f>+D22/$K$1</f>
        <v>229376.19047619047</v>
      </c>
      <c r="F22" s="264">
        <v>655328300</v>
      </c>
      <c r="G22" s="265">
        <f>+F22/$K$1</f>
        <v>445801.56462585035</v>
      </c>
      <c r="H22" s="264">
        <f t="shared" ref="H22:I36" si="1">+D22+F22</f>
        <v>992511300</v>
      </c>
      <c r="I22" s="266">
        <f t="shared" si="0"/>
        <v>675177.75510204083</v>
      </c>
    </row>
    <row r="23" spans="2:9" ht="22.5" customHeight="1">
      <c r="B23" s="1178"/>
      <c r="C23" s="267">
        <v>45778</v>
      </c>
      <c r="D23" s="264">
        <v>337183000</v>
      </c>
      <c r="E23" s="265">
        <f>+D23/$K$1</f>
        <v>229376.19047619047</v>
      </c>
      <c r="F23" s="264"/>
      <c r="G23" s="265"/>
      <c r="H23" s="264">
        <f t="shared" si="1"/>
        <v>337183000</v>
      </c>
      <c r="I23" s="266">
        <f t="shared" si="0"/>
        <v>229376.19047619047</v>
      </c>
    </row>
    <row r="24" spans="2:9" ht="22.5" customHeight="1">
      <c r="B24" s="1178"/>
      <c r="C24" s="263">
        <v>45809</v>
      </c>
      <c r="D24" s="264"/>
      <c r="E24" s="265"/>
      <c r="F24" s="264">
        <f>+'[1]Liquidity Projection by SPV'!N26+'[1]Liquidity Projection by SPV'!N27+'[1]Liquidity Projection by SPV'!N28</f>
        <v>174131100</v>
      </c>
      <c r="G24" s="265">
        <f>+F24/$K$1</f>
        <v>118456.5306122449</v>
      </c>
      <c r="H24" s="264">
        <f t="shared" si="1"/>
        <v>174131100</v>
      </c>
      <c r="I24" s="266">
        <f t="shared" si="1"/>
        <v>118456.5306122449</v>
      </c>
    </row>
    <row r="25" spans="2:9" ht="22.5" customHeight="1">
      <c r="B25" s="1178"/>
      <c r="C25" s="267">
        <v>45839</v>
      </c>
      <c r="D25" s="264">
        <f>+'[1]Liquidity Projection by SPV'!Q25</f>
        <v>842957500</v>
      </c>
      <c r="E25" s="265">
        <f>+D25/$K$1</f>
        <v>573440.47619047621</v>
      </c>
      <c r="F25" s="264">
        <f>+'[1]Liquidity Projection by SPV'!N29+'[1]Liquidity Projection by SPV'!N30+'[1]Liquidity Projection by SPV'!N31+'[1]Liquidity Projection by SPV'!N32</f>
        <v>538683750</v>
      </c>
      <c r="G25" s="265">
        <f>+F25/$K$1</f>
        <v>366451.53061224491</v>
      </c>
      <c r="H25" s="264">
        <f t="shared" si="1"/>
        <v>1381641250</v>
      </c>
      <c r="I25" s="266">
        <f t="shared" si="1"/>
        <v>939892.00680272118</v>
      </c>
    </row>
    <row r="26" spans="2:9" ht="22.5" customHeight="1">
      <c r="B26" s="1178"/>
      <c r="C26" s="263">
        <v>45870</v>
      </c>
      <c r="D26" s="264"/>
      <c r="E26" s="265"/>
      <c r="F26" s="264">
        <f>+'[1]Liquidity Projection by SPV'!Q26+'[1]Liquidity Projection by SPV'!Q27+'[1]Liquidity Projection by SPV'!Q28</f>
        <v>435327750</v>
      </c>
      <c r="G26" s="265">
        <f>+F26/$K$1</f>
        <v>296141.32653061225</v>
      </c>
      <c r="H26" s="264">
        <f t="shared" si="1"/>
        <v>435327750</v>
      </c>
      <c r="I26" s="266">
        <f t="shared" si="1"/>
        <v>296141.32653061225</v>
      </c>
    </row>
    <row r="27" spans="2:9" ht="22.5" customHeight="1">
      <c r="B27" s="1178"/>
      <c r="C27" s="267">
        <v>45901</v>
      </c>
      <c r="D27" s="264"/>
      <c r="E27" s="265"/>
      <c r="F27" s="264">
        <f>+'[1]Liquidity Projection by SPV'!Q29+'[1]Liquidity Projection by SPV'!Q30+'[1]Liquidity Projection by SPV'!Q31+'[1]Liquidity Projection by SPV'!Q32</f>
        <v>1346709375</v>
      </c>
      <c r="G27" s="265">
        <f>+F27/$K$1</f>
        <v>916128.82653061219</v>
      </c>
      <c r="H27" s="264">
        <f t="shared" si="1"/>
        <v>1346709375</v>
      </c>
      <c r="I27" s="266">
        <f t="shared" si="1"/>
        <v>916128.82653061219</v>
      </c>
    </row>
    <row r="28" spans="2:9" ht="22.5" customHeight="1">
      <c r="B28" s="1178"/>
      <c r="C28" s="263">
        <v>45931</v>
      </c>
      <c r="D28" s="264"/>
      <c r="E28" s="265"/>
      <c r="F28" s="264"/>
      <c r="G28" s="265"/>
      <c r="H28" s="264"/>
      <c r="I28" s="266"/>
    </row>
    <row r="29" spans="2:9" ht="22.5" customHeight="1">
      <c r="B29" s="1178"/>
      <c r="C29" s="267">
        <v>45962</v>
      </c>
      <c r="D29" s="264"/>
      <c r="E29" s="265"/>
      <c r="F29" s="264"/>
      <c r="G29" s="265"/>
      <c r="H29" s="264"/>
      <c r="I29" s="266"/>
    </row>
    <row r="30" spans="2:9" ht="22.5" customHeight="1">
      <c r="B30" s="1178"/>
      <c r="C30" s="263">
        <v>45992</v>
      </c>
      <c r="D30" s="264">
        <f>+'[1]Liquidity Projection by SPV'!T25</f>
        <v>168591500</v>
      </c>
      <c r="E30" s="265">
        <f>+D30/$K$1</f>
        <v>114688.09523809524</v>
      </c>
      <c r="F30" s="264"/>
      <c r="G30" s="265"/>
      <c r="H30" s="264">
        <f t="shared" si="1"/>
        <v>168591500</v>
      </c>
      <c r="I30" s="266">
        <f t="shared" si="1"/>
        <v>114688.09523809524</v>
      </c>
    </row>
    <row r="31" spans="2:9" ht="22.5" customHeight="1">
      <c r="B31" s="1178"/>
      <c r="C31" s="267">
        <v>46023</v>
      </c>
      <c r="D31" s="264"/>
      <c r="E31" s="265"/>
      <c r="F31" s="264"/>
      <c r="G31" s="265"/>
      <c r="H31" s="264"/>
      <c r="I31" s="266"/>
    </row>
    <row r="32" spans="2:9" ht="22.5" customHeight="1">
      <c r="B32" s="1178"/>
      <c r="C32" s="263">
        <v>46054</v>
      </c>
      <c r="D32" s="264"/>
      <c r="E32" s="265"/>
      <c r="F32" s="264">
        <f>+'[1]Liquidity Projection by SPV'!T26+'[1]Liquidity Projection by SPV'!T27+'[1]Liquidity Projection by SPV'!T28</f>
        <v>87065550</v>
      </c>
      <c r="G32" s="265">
        <f>+F32/$K$1</f>
        <v>59228.265306122448</v>
      </c>
      <c r="H32" s="264">
        <f t="shared" si="1"/>
        <v>87065550</v>
      </c>
      <c r="I32" s="266">
        <f t="shared" si="1"/>
        <v>59228.265306122448</v>
      </c>
    </row>
    <row r="33" spans="2:9" ht="22.5" customHeight="1">
      <c r="B33" s="1178"/>
      <c r="C33" s="267">
        <v>46082</v>
      </c>
      <c r="D33" s="264"/>
      <c r="E33" s="265"/>
      <c r="F33" s="264">
        <f>+'[1]Liquidity Projection by SPV'!T29+'[1]Liquidity Projection by SPV'!T30+'[1]Liquidity Projection by SPV'!T31+'[1]Liquidity Projection by SPV'!T32</f>
        <v>269341875</v>
      </c>
      <c r="G33" s="265">
        <f>+F33/$K$1</f>
        <v>183225.76530612246</v>
      </c>
      <c r="H33" s="264">
        <f t="shared" si="1"/>
        <v>269341875</v>
      </c>
      <c r="I33" s="266">
        <f t="shared" si="1"/>
        <v>183225.76530612246</v>
      </c>
    </row>
    <row r="34" spans="2:9" ht="22.5" customHeight="1" thickBot="1">
      <c r="B34" s="1179"/>
      <c r="C34" s="268" t="s">
        <v>156</v>
      </c>
      <c r="D34" s="269">
        <f>+SUM(D21:D33)</f>
        <v>1685915000</v>
      </c>
      <c r="E34" s="270">
        <f t="shared" ref="E34" si="2">+D34/$K$1</f>
        <v>1146880.9523809524</v>
      </c>
      <c r="F34" s="269">
        <f>+SUM(F21:F33)</f>
        <v>3564074250</v>
      </c>
      <c r="G34" s="270">
        <f t="shared" ref="G34" si="3">+F34/$K$1</f>
        <v>2424540.3061224488</v>
      </c>
      <c r="H34" s="269">
        <f t="shared" si="1"/>
        <v>5249989250</v>
      </c>
      <c r="I34" s="271">
        <f t="shared" si="1"/>
        <v>3571421.2585034012</v>
      </c>
    </row>
    <row r="35" spans="2:9" ht="22.5" customHeight="1">
      <c r="B35" s="1176" t="s">
        <v>158</v>
      </c>
      <c r="C35" s="272" t="s">
        <v>155</v>
      </c>
      <c r="D35" s="273">
        <v>47583800</v>
      </c>
      <c r="E35" s="274">
        <f>+D35/$K$1</f>
        <v>32369.931972789116</v>
      </c>
      <c r="F35" s="273"/>
      <c r="G35" s="274"/>
      <c r="H35" s="273">
        <f>+D35+F35</f>
        <v>47583800</v>
      </c>
      <c r="I35" s="275">
        <f t="shared" si="1"/>
        <v>32369.931972789116</v>
      </c>
    </row>
    <row r="36" spans="2:9" ht="22.5" customHeight="1">
      <c r="B36" s="1176"/>
      <c r="C36" s="249">
        <v>45748</v>
      </c>
      <c r="D36" s="250">
        <v>47583800</v>
      </c>
      <c r="E36" s="251">
        <f>+D36/$K$1</f>
        <v>32369.931972789116</v>
      </c>
      <c r="F36" s="250"/>
      <c r="G36" s="251"/>
      <c r="H36" s="250">
        <f t="shared" ref="H36:I51" si="4">+D36+F36</f>
        <v>47583800</v>
      </c>
      <c r="I36" s="252">
        <f t="shared" si="1"/>
        <v>32369.931972789116</v>
      </c>
    </row>
    <row r="37" spans="2:9" ht="22.5" customHeight="1">
      <c r="B37" s="1176"/>
      <c r="C37" s="253">
        <v>45778</v>
      </c>
      <c r="D37" s="250"/>
      <c r="E37" s="251"/>
      <c r="F37" s="250"/>
      <c r="G37" s="251"/>
      <c r="H37" s="250"/>
      <c r="I37" s="252"/>
    </row>
    <row r="38" spans="2:9" ht="22.5" customHeight="1">
      <c r="B38" s="1176"/>
      <c r="C38" s="249">
        <v>45809</v>
      </c>
      <c r="D38" s="250">
        <f>+'[1]Liquidity Projection by SPV'!Q43+'[1]Liquidity Projection by SPV'!Q44+'[1]Liquidity Projection by SPV'!Q45</f>
        <v>118959500</v>
      </c>
      <c r="E38" s="251">
        <f>+D38/$K$1</f>
        <v>80924.829931972796</v>
      </c>
      <c r="F38" s="250"/>
      <c r="G38" s="251"/>
      <c r="H38" s="250">
        <f t="shared" si="4"/>
        <v>118959500</v>
      </c>
      <c r="I38" s="252">
        <f t="shared" si="4"/>
        <v>80924.829931972796</v>
      </c>
    </row>
    <row r="39" spans="2:9" ht="22.5" customHeight="1">
      <c r="B39" s="1176"/>
      <c r="C39" s="253">
        <v>45839</v>
      </c>
      <c r="D39" s="250"/>
      <c r="E39" s="251"/>
      <c r="F39" s="250"/>
      <c r="G39" s="251"/>
      <c r="H39" s="250"/>
      <c r="I39" s="252"/>
    </row>
    <row r="40" spans="2:9" ht="22.5" customHeight="1">
      <c r="B40" s="1176"/>
      <c r="C40" s="249">
        <v>45870</v>
      </c>
      <c r="D40" s="250"/>
      <c r="E40" s="251"/>
      <c r="F40" s="250"/>
      <c r="G40" s="251"/>
      <c r="H40" s="250"/>
      <c r="I40" s="252"/>
    </row>
    <row r="41" spans="2:9" ht="22.5" customHeight="1">
      <c r="B41" s="1176"/>
      <c r="C41" s="253">
        <v>45901</v>
      </c>
      <c r="D41" s="250"/>
      <c r="E41" s="251"/>
      <c r="F41" s="250"/>
      <c r="G41" s="251"/>
      <c r="H41" s="250"/>
      <c r="I41" s="252"/>
    </row>
    <row r="42" spans="2:9" ht="22.5" customHeight="1">
      <c r="B42" s="1176"/>
      <c r="C42" s="249">
        <v>45931</v>
      </c>
      <c r="D42" s="250"/>
      <c r="E42" s="251"/>
      <c r="F42" s="250"/>
      <c r="G42" s="251"/>
      <c r="H42" s="250"/>
      <c r="I42" s="252"/>
    </row>
    <row r="43" spans="2:9" ht="22.5" customHeight="1">
      <c r="B43" s="1176"/>
      <c r="C43" s="253">
        <v>45962</v>
      </c>
      <c r="D43" s="250"/>
      <c r="E43" s="251"/>
      <c r="F43" s="250"/>
      <c r="G43" s="251"/>
      <c r="H43" s="250"/>
      <c r="I43" s="252"/>
    </row>
    <row r="44" spans="2:9" ht="22.5" customHeight="1">
      <c r="B44" s="1176"/>
      <c r="C44" s="249">
        <v>45992</v>
      </c>
      <c r="D44" s="250">
        <f>+'[1]Liquidity Projection by SPV'!T43+'[1]Liquidity Projection by SPV'!T44+'[1]Liquidity Projection by SPV'!T45</f>
        <v>23791900</v>
      </c>
      <c r="E44" s="251">
        <f>+D44/$K$1</f>
        <v>16184.965986394558</v>
      </c>
      <c r="F44" s="250"/>
      <c r="G44" s="251"/>
      <c r="H44" s="250">
        <f t="shared" si="4"/>
        <v>23791900</v>
      </c>
      <c r="I44" s="252">
        <f t="shared" si="4"/>
        <v>16184.965986394558</v>
      </c>
    </row>
    <row r="45" spans="2:9" ht="22.5" customHeight="1">
      <c r="B45" s="1176"/>
      <c r="C45" s="253">
        <v>46023</v>
      </c>
      <c r="D45" s="250"/>
      <c r="E45" s="251"/>
      <c r="F45" s="250"/>
      <c r="G45" s="251"/>
      <c r="H45" s="250"/>
      <c r="I45" s="252"/>
    </row>
    <row r="46" spans="2:9" ht="22.5" customHeight="1">
      <c r="B46" s="1176"/>
      <c r="C46" s="249">
        <v>46054</v>
      </c>
      <c r="D46" s="250"/>
      <c r="E46" s="251"/>
      <c r="F46" s="250"/>
      <c r="G46" s="251"/>
      <c r="H46" s="250"/>
      <c r="I46" s="252"/>
    </row>
    <row r="47" spans="2:9" ht="22.5" customHeight="1">
      <c r="B47" s="1176"/>
      <c r="C47" s="253">
        <v>46082</v>
      </c>
      <c r="D47" s="250"/>
      <c r="E47" s="251"/>
      <c r="F47" s="250"/>
      <c r="G47" s="251"/>
      <c r="H47" s="250"/>
      <c r="I47" s="252"/>
    </row>
    <row r="48" spans="2:9" ht="22.5" customHeight="1" thickBot="1">
      <c r="B48" s="1177"/>
      <c r="C48" s="255" t="s">
        <v>156</v>
      </c>
      <c r="D48" s="256">
        <f>+SUM(D35:D47)</f>
        <v>237919000</v>
      </c>
      <c r="E48" s="257">
        <f t="shared" ref="E48" si="5">+D48/$K$1</f>
        <v>161849.65986394559</v>
      </c>
      <c r="F48" s="256"/>
      <c r="G48" s="257"/>
      <c r="H48" s="256">
        <f t="shared" ref="H48:I48" si="6">+D48+F48</f>
        <v>237919000</v>
      </c>
      <c r="I48" s="258">
        <f t="shared" si="6"/>
        <v>161849.65986394559</v>
      </c>
    </row>
    <row r="49" spans="2:9" ht="22.5" customHeight="1">
      <c r="B49" s="1178" t="s">
        <v>159</v>
      </c>
      <c r="C49" s="259" t="s">
        <v>155</v>
      </c>
      <c r="D49" s="260">
        <v>176420200</v>
      </c>
      <c r="E49" s="261">
        <f>+D49/$K$1</f>
        <v>120013.74149659864</v>
      </c>
      <c r="F49" s="260">
        <v>23190200</v>
      </c>
      <c r="G49" s="261">
        <f>+F49/$K$1</f>
        <v>15775.646258503401</v>
      </c>
      <c r="H49" s="260">
        <f>+D49+F49</f>
        <v>199610400</v>
      </c>
      <c r="I49" s="262">
        <f t="shared" si="4"/>
        <v>135789.38775510204</v>
      </c>
    </row>
    <row r="50" spans="2:9" ht="22.5" customHeight="1">
      <c r="B50" s="1178"/>
      <c r="C50" s="263">
        <v>45748</v>
      </c>
      <c r="D50" s="264">
        <v>193417400</v>
      </c>
      <c r="E50" s="265">
        <f>+D50/$K$1</f>
        <v>131576.46258503402</v>
      </c>
      <c r="F50" s="264">
        <v>98348800</v>
      </c>
      <c r="G50" s="265">
        <f>+F50/$K$1</f>
        <v>66903.945578231287</v>
      </c>
      <c r="H50" s="264">
        <f t="shared" ref="H50:I65" si="7">+D50+F50</f>
        <v>291766200</v>
      </c>
      <c r="I50" s="266">
        <f t="shared" si="4"/>
        <v>198480.40816326533</v>
      </c>
    </row>
    <row r="51" spans="2:9" ht="22.5" customHeight="1">
      <c r="B51" s="1178"/>
      <c r="C51" s="267">
        <v>45778</v>
      </c>
      <c r="D51" s="264">
        <v>150001500</v>
      </c>
      <c r="E51" s="265">
        <f>+D51/$K$1</f>
        <v>102041.83673469388</v>
      </c>
      <c r="F51" s="264"/>
      <c r="G51" s="265"/>
      <c r="H51" s="264">
        <f t="shared" si="7"/>
        <v>150001500</v>
      </c>
      <c r="I51" s="266">
        <f t="shared" si="4"/>
        <v>102041.83673469388</v>
      </c>
    </row>
    <row r="52" spans="2:9" ht="22.5" customHeight="1">
      <c r="B52" s="1178"/>
      <c r="C52" s="263">
        <v>45809</v>
      </c>
      <c r="D52" s="264">
        <f>+'[1]Liquidity Projection by SPV'!Q58+'[1]Liquidity Projection by SPV'!Q59+'[1]Liquidity Projection by SPV'!Q60</f>
        <v>114790500</v>
      </c>
      <c r="E52" s="265">
        <f>+D52/$K$1</f>
        <v>78088.775510204083</v>
      </c>
      <c r="F52" s="264">
        <f>+'[1]Liquidity Projection by SPV'!N61+'[1]Liquidity Projection by SPV'!N62</f>
        <v>94716600</v>
      </c>
      <c r="G52" s="265">
        <f>+F52/$K$1</f>
        <v>64433.061224489793</v>
      </c>
      <c r="H52" s="264">
        <f t="shared" si="7"/>
        <v>209507100</v>
      </c>
      <c r="I52" s="266">
        <f t="shared" si="7"/>
        <v>142521.83673469388</v>
      </c>
    </row>
    <row r="53" spans="2:9" ht="22.5" customHeight="1">
      <c r="B53" s="1178"/>
      <c r="C53" s="267">
        <v>45839</v>
      </c>
      <c r="D53" s="264"/>
      <c r="E53" s="265"/>
      <c r="F53" s="264">
        <f>+'[1]Liquidity Projection by SPV'!N63</f>
        <v>26822400</v>
      </c>
      <c r="G53" s="265">
        <f>+F53/$K$1</f>
        <v>18246.530612244896</v>
      </c>
      <c r="H53" s="264">
        <f t="shared" si="7"/>
        <v>26822400</v>
      </c>
      <c r="I53" s="266">
        <f t="shared" si="7"/>
        <v>18246.530612244896</v>
      </c>
    </row>
    <row r="54" spans="2:9" ht="22.5" customHeight="1">
      <c r="B54" s="1178"/>
      <c r="C54" s="263">
        <v>45870</v>
      </c>
      <c r="D54" s="264"/>
      <c r="E54" s="265"/>
      <c r="F54" s="264">
        <f>+'[1]Liquidity Projection by SPV'!Q61+'[1]Liquidity Projection by SPV'!Q62</f>
        <v>236791500</v>
      </c>
      <c r="G54" s="265">
        <f>+F54/$K$1</f>
        <v>161082.6530612245</v>
      </c>
      <c r="H54" s="264">
        <f t="shared" si="7"/>
        <v>236791500</v>
      </c>
      <c r="I54" s="266">
        <f t="shared" si="7"/>
        <v>161082.6530612245</v>
      </c>
    </row>
    <row r="55" spans="2:9" ht="22.5" customHeight="1">
      <c r="B55" s="1178"/>
      <c r="C55" s="267">
        <v>45901</v>
      </c>
      <c r="D55" s="264"/>
      <c r="E55" s="265"/>
      <c r="F55" s="264">
        <f>+'[1]Liquidity Projection by SPV'!Q63</f>
        <v>67056000</v>
      </c>
      <c r="G55" s="265">
        <f>+F55/$K$1</f>
        <v>45616.326530612248</v>
      </c>
      <c r="H55" s="264">
        <f t="shared" si="7"/>
        <v>67056000</v>
      </c>
      <c r="I55" s="266">
        <f t="shared" si="7"/>
        <v>45616.326530612248</v>
      </c>
    </row>
    <row r="56" spans="2:9" ht="22.5" customHeight="1">
      <c r="B56" s="1178"/>
      <c r="C56" s="263">
        <v>45931</v>
      </c>
      <c r="D56" s="264"/>
      <c r="E56" s="265"/>
      <c r="F56" s="264"/>
      <c r="G56" s="265"/>
      <c r="H56" s="264"/>
      <c r="I56" s="266"/>
    </row>
    <row r="57" spans="2:9" ht="22.5" customHeight="1">
      <c r="B57" s="1178"/>
      <c r="C57" s="267">
        <v>45962</v>
      </c>
      <c r="D57" s="264"/>
      <c r="E57" s="265"/>
      <c r="F57" s="264"/>
      <c r="G57" s="265"/>
      <c r="H57" s="264"/>
      <c r="I57" s="266"/>
    </row>
    <row r="58" spans="2:9" ht="22.5" customHeight="1">
      <c r="B58" s="1178"/>
      <c r="C58" s="263">
        <v>45992</v>
      </c>
      <c r="D58" s="264">
        <f>+'[1]Liquidity Projection by SPV'!T60+'[1]Liquidity Projection by SPV'!T59+'[1]Liquidity Projection by SPV'!T58+'[1]Liquidity Projection by SPV'!T57+'[1]Liquidity Projection by SPV'!T56</f>
        <v>70514400</v>
      </c>
      <c r="E58" s="265">
        <f>+D58/$K$1</f>
        <v>47968.979591836738</v>
      </c>
      <c r="F58" s="264"/>
      <c r="G58" s="265"/>
      <c r="H58" s="264">
        <f t="shared" si="7"/>
        <v>70514400</v>
      </c>
      <c r="I58" s="266">
        <f t="shared" si="7"/>
        <v>47968.979591836738</v>
      </c>
    </row>
    <row r="59" spans="2:9" ht="22.5" customHeight="1">
      <c r="B59" s="1178"/>
      <c r="C59" s="267">
        <v>46023</v>
      </c>
      <c r="D59" s="264"/>
      <c r="E59" s="265"/>
      <c r="F59" s="264"/>
      <c r="G59" s="265"/>
      <c r="H59" s="264"/>
      <c r="I59" s="266"/>
    </row>
    <row r="60" spans="2:9" ht="22.5" customHeight="1">
      <c r="B60" s="1178"/>
      <c r="C60" s="263">
        <v>46054</v>
      </c>
      <c r="D60" s="264"/>
      <c r="E60" s="265"/>
      <c r="F60" s="264">
        <f>+'[1]Liquidity Projection by SPV'!T61+'[1]Liquidity Projection by SPV'!T62</f>
        <v>47358300</v>
      </c>
      <c r="G60" s="265">
        <f>+F60/$K$1</f>
        <v>32216.530612244896</v>
      </c>
      <c r="H60" s="264">
        <f t="shared" si="7"/>
        <v>47358300</v>
      </c>
      <c r="I60" s="266">
        <f t="shared" si="7"/>
        <v>32216.530612244896</v>
      </c>
    </row>
    <row r="61" spans="2:9" ht="22.5" customHeight="1">
      <c r="B61" s="1178"/>
      <c r="C61" s="267">
        <v>46082</v>
      </c>
      <c r="D61" s="264"/>
      <c r="E61" s="265"/>
      <c r="F61" s="264">
        <f>+'[1]Liquidity Projection by SPV'!T63</f>
        <v>13411200</v>
      </c>
      <c r="G61" s="265">
        <f>+F61/$K$1</f>
        <v>9123.2653061224482</v>
      </c>
      <c r="H61" s="264">
        <f t="shared" si="7"/>
        <v>13411200</v>
      </c>
      <c r="I61" s="266">
        <f t="shared" si="7"/>
        <v>9123.2653061224482</v>
      </c>
    </row>
    <row r="62" spans="2:9" ht="22.5" customHeight="1" thickBot="1">
      <c r="B62" s="1179"/>
      <c r="C62" s="268" t="s">
        <v>156</v>
      </c>
      <c r="D62" s="269">
        <f>+SUM(D49:D61)</f>
        <v>705144000</v>
      </c>
      <c r="E62" s="270">
        <f t="shared" ref="E62:E67" si="8">+D62/$K$1</f>
        <v>479689.79591836734</v>
      </c>
      <c r="F62" s="269">
        <f>+SUM(F49:F61)</f>
        <v>607695000</v>
      </c>
      <c r="G62" s="270">
        <f>+F62/$K$1</f>
        <v>413397.95918367349</v>
      </c>
      <c r="H62" s="269">
        <f t="shared" si="7"/>
        <v>1312839000</v>
      </c>
      <c r="I62" s="271">
        <f t="shared" si="7"/>
        <v>893087.75510204083</v>
      </c>
    </row>
    <row r="63" spans="2:9" ht="22.5" customHeight="1">
      <c r="B63" s="1176" t="s">
        <v>160</v>
      </c>
      <c r="C63" s="272" t="s">
        <v>155</v>
      </c>
      <c r="D63" s="273">
        <f>+D7+D21+D35+D49</f>
        <v>391132500</v>
      </c>
      <c r="E63" s="274">
        <f t="shared" si="8"/>
        <v>266076.53061224491</v>
      </c>
      <c r="F63" s="273">
        <f>+F7+F21+F35+F49</f>
        <v>80676750</v>
      </c>
      <c r="G63" s="274">
        <f>+F63/$K$1</f>
        <v>54882.142857142855</v>
      </c>
      <c r="H63" s="273">
        <f t="shared" si="7"/>
        <v>471809250</v>
      </c>
      <c r="I63" s="275">
        <f t="shared" si="7"/>
        <v>320958.67346938775</v>
      </c>
    </row>
    <row r="64" spans="2:9" ht="22.5" customHeight="1">
      <c r="B64" s="1176"/>
      <c r="C64" s="249">
        <v>45748</v>
      </c>
      <c r="D64" s="250">
        <f>+D8+D22+D36+D50</f>
        <v>633893700</v>
      </c>
      <c r="E64" s="251">
        <f t="shared" si="8"/>
        <v>431220.20408163266</v>
      </c>
      <c r="F64" s="250">
        <f t="shared" ref="F64:F75" si="9">+F8+F22+F36+F50</f>
        <v>1111419540</v>
      </c>
      <c r="G64" s="251">
        <f>+F64/$K$1</f>
        <v>756067.71428571432</v>
      </c>
      <c r="H64" s="250">
        <f t="shared" si="7"/>
        <v>1745313240</v>
      </c>
      <c r="I64" s="252">
        <f t="shared" si="7"/>
        <v>1187287.918367347</v>
      </c>
    </row>
    <row r="65" spans="2:9" ht="22.5" customHeight="1">
      <c r="B65" s="1176"/>
      <c r="C65" s="253">
        <v>45778</v>
      </c>
      <c r="D65" s="250">
        <f>+D9+D23+D37+D51</f>
        <v>687577000</v>
      </c>
      <c r="E65" s="251">
        <f t="shared" si="8"/>
        <v>467739.4557823129</v>
      </c>
      <c r="F65" s="250"/>
      <c r="G65" s="251"/>
      <c r="H65" s="250">
        <f t="shared" si="7"/>
        <v>687577000</v>
      </c>
      <c r="I65" s="252">
        <f t="shared" si="7"/>
        <v>467739.4557823129</v>
      </c>
    </row>
    <row r="66" spans="2:9" ht="22.5" customHeight="1">
      <c r="B66" s="1176"/>
      <c r="C66" s="249">
        <v>45809</v>
      </c>
      <c r="D66" s="250">
        <f t="shared" ref="D66:D72" si="10">+D10+D24+D38+D52</f>
        <v>311905000</v>
      </c>
      <c r="E66" s="276">
        <f t="shared" si="8"/>
        <v>212180.27210884355</v>
      </c>
      <c r="F66" s="250">
        <f t="shared" si="9"/>
        <v>388095180</v>
      </c>
      <c r="G66" s="276">
        <f>+F66/$K$1</f>
        <v>264010.32653061225</v>
      </c>
      <c r="H66" s="250">
        <f t="shared" ref="H66:I76" si="11">+D66+F66</f>
        <v>700000180</v>
      </c>
      <c r="I66" s="277">
        <f t="shared" si="11"/>
        <v>476190.5986394558</v>
      </c>
    </row>
    <row r="67" spans="2:9" ht="22.5" customHeight="1">
      <c r="B67" s="1176"/>
      <c r="C67" s="253">
        <v>45839</v>
      </c>
      <c r="D67" s="250">
        <f t="shared" si="10"/>
        <v>842957500</v>
      </c>
      <c r="E67" s="276">
        <f t="shared" si="8"/>
        <v>573440.47619047621</v>
      </c>
      <c r="F67" s="250">
        <f t="shared" si="9"/>
        <v>565506150</v>
      </c>
      <c r="G67" s="276">
        <f>+F67/$K$1</f>
        <v>384698.06122448982</v>
      </c>
      <c r="H67" s="250">
        <f t="shared" si="11"/>
        <v>1408463650</v>
      </c>
      <c r="I67" s="277">
        <f t="shared" si="11"/>
        <v>958138.53741496603</v>
      </c>
    </row>
    <row r="68" spans="2:9" ht="22.5" customHeight="1">
      <c r="B68" s="1176"/>
      <c r="C68" s="249">
        <v>45870</v>
      </c>
      <c r="D68" s="250"/>
      <c r="E68" s="276"/>
      <c r="F68" s="250">
        <f t="shared" si="9"/>
        <v>1268356650</v>
      </c>
      <c r="G68" s="276">
        <f>+F68/$K$1</f>
        <v>862827.6530612245</v>
      </c>
      <c r="H68" s="250">
        <f t="shared" si="11"/>
        <v>1268356650</v>
      </c>
      <c r="I68" s="277">
        <f t="shared" si="11"/>
        <v>862827.6530612245</v>
      </c>
    </row>
    <row r="69" spans="2:9" ht="22.5" customHeight="1">
      <c r="B69" s="1176"/>
      <c r="C69" s="253">
        <v>45901</v>
      </c>
      <c r="D69" s="250"/>
      <c r="E69" s="276"/>
      <c r="F69" s="250">
        <f t="shared" si="9"/>
        <v>1413765375</v>
      </c>
      <c r="G69" s="276">
        <f>+F69/$K$1</f>
        <v>961745.1530612245</v>
      </c>
      <c r="H69" s="250">
        <f t="shared" si="11"/>
        <v>1413765375</v>
      </c>
      <c r="I69" s="277">
        <f t="shared" si="11"/>
        <v>961745.1530612245</v>
      </c>
    </row>
    <row r="70" spans="2:9" ht="22.5" customHeight="1">
      <c r="B70" s="1176"/>
      <c r="C70" s="249">
        <v>45931</v>
      </c>
      <c r="D70" s="250"/>
      <c r="E70" s="276"/>
      <c r="F70" s="250"/>
      <c r="G70" s="276"/>
      <c r="H70" s="250"/>
      <c r="I70" s="277"/>
    </row>
    <row r="71" spans="2:9" ht="22.5" customHeight="1">
      <c r="B71" s="1176"/>
      <c r="C71" s="253">
        <v>45962</v>
      </c>
      <c r="D71" s="250"/>
      <c r="E71" s="276"/>
      <c r="F71" s="250"/>
      <c r="G71" s="276"/>
      <c r="H71" s="250"/>
      <c r="I71" s="277"/>
    </row>
    <row r="72" spans="2:9" ht="22.5" customHeight="1">
      <c r="B72" s="1176"/>
      <c r="C72" s="249">
        <v>45992</v>
      </c>
      <c r="D72" s="250">
        <f t="shared" si="10"/>
        <v>318607300</v>
      </c>
      <c r="E72" s="276">
        <f>+D72/$K$1</f>
        <v>216739.65986394559</v>
      </c>
      <c r="F72" s="250"/>
      <c r="G72" s="276"/>
      <c r="H72" s="250">
        <f t="shared" si="11"/>
        <v>318607300</v>
      </c>
      <c r="I72" s="277">
        <f t="shared" si="11"/>
        <v>216739.65986394559</v>
      </c>
    </row>
    <row r="73" spans="2:9" ht="22.5" customHeight="1">
      <c r="B73" s="1176"/>
      <c r="C73" s="253">
        <v>46023</v>
      </c>
      <c r="D73" s="250"/>
      <c r="E73" s="276"/>
      <c r="F73" s="250"/>
      <c r="G73" s="276"/>
      <c r="H73" s="250"/>
      <c r="I73" s="277"/>
    </row>
    <row r="74" spans="2:9" ht="22.5" customHeight="1">
      <c r="B74" s="1176"/>
      <c r="C74" s="249">
        <v>46054</v>
      </c>
      <c r="D74" s="250"/>
      <c r="E74" s="276"/>
      <c r="F74" s="250">
        <f t="shared" si="9"/>
        <v>144818850</v>
      </c>
      <c r="G74" s="276">
        <f>+F74/$K$1</f>
        <v>98516.224489795917</v>
      </c>
      <c r="H74" s="250">
        <f t="shared" si="11"/>
        <v>144818850</v>
      </c>
      <c r="I74" s="277">
        <f t="shared" si="11"/>
        <v>98516.224489795917</v>
      </c>
    </row>
    <row r="75" spans="2:9" ht="22.5" customHeight="1">
      <c r="B75" s="1176"/>
      <c r="C75" s="253">
        <v>46082</v>
      </c>
      <c r="D75" s="250"/>
      <c r="E75" s="276"/>
      <c r="F75" s="250">
        <f t="shared" si="9"/>
        <v>391605555</v>
      </c>
      <c r="G75" s="276">
        <f t="shared" ref="G75" si="12">+F75/$K$1</f>
        <v>266398.3367346939</v>
      </c>
      <c r="H75" s="250">
        <f t="shared" si="11"/>
        <v>391605555</v>
      </c>
      <c r="I75" s="277">
        <f t="shared" si="11"/>
        <v>266398.3367346939</v>
      </c>
    </row>
    <row r="76" spans="2:9" ht="22.5" customHeight="1" thickBot="1">
      <c r="B76" s="1177"/>
      <c r="C76" s="278" t="s">
        <v>161</v>
      </c>
      <c r="D76" s="279">
        <f>+SUM(D63:D75)</f>
        <v>3186073000</v>
      </c>
      <c r="E76" s="280">
        <f>+D76/$K$1</f>
        <v>2167396.5986394556</v>
      </c>
      <c r="F76" s="279">
        <f>+SUM(F63:F75)</f>
        <v>5364244050</v>
      </c>
      <c r="G76" s="280">
        <f>+F76/$K$1</f>
        <v>3649145.612244898</v>
      </c>
      <c r="H76" s="281">
        <f>+SUM(H63:H75)</f>
        <v>8550317050</v>
      </c>
      <c r="I76" s="282">
        <f t="shared" si="11"/>
        <v>5816542.2108843531</v>
      </c>
    </row>
    <row r="77" spans="2:9">
      <c r="B77" s="237" t="s">
        <v>162</v>
      </c>
      <c r="H77" s="283"/>
    </row>
    <row r="79" spans="2:9">
      <c r="I79" s="277">
        <f>+I63+I64+I65</f>
        <v>1975986.0476190476</v>
      </c>
    </row>
  </sheetData>
  <mergeCells count="10">
    <mergeCell ref="B21:B34"/>
    <mergeCell ref="B35:B48"/>
    <mergeCell ref="B49:B62"/>
    <mergeCell ref="B63:B76"/>
    <mergeCell ref="B5:B6"/>
    <mergeCell ref="C5:C6"/>
    <mergeCell ref="D5:E5"/>
    <mergeCell ref="F5:G5"/>
    <mergeCell ref="H5:I5"/>
    <mergeCell ref="B7:B20"/>
  </mergeCells>
  <phoneticPr fontId="9"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1ACC0-C4A0-4205-AF50-22002416F1D3}">
  <dimension ref="B3:M36"/>
  <sheetViews>
    <sheetView showGridLines="0" workbookViewId="0">
      <selection activeCell="C26" sqref="C26"/>
    </sheetView>
  </sheetViews>
  <sheetFormatPr defaultRowHeight="12.75"/>
  <cols>
    <col min="2" max="2" width="24.7109375" bestFit="1" customWidth="1"/>
    <col min="3" max="13" width="17.140625" customWidth="1"/>
  </cols>
  <sheetData>
    <row r="3" spans="2:9">
      <c r="B3" s="201" t="s">
        <v>163</v>
      </c>
      <c r="C3" s="202"/>
      <c r="D3" s="202"/>
      <c r="E3" s="203"/>
      <c r="F3" s="203"/>
    </row>
    <row r="4" spans="2:9">
      <c r="B4" s="203"/>
      <c r="C4" s="202"/>
      <c r="D4" s="202"/>
      <c r="E4" s="203"/>
      <c r="F4" s="205" t="s">
        <v>164</v>
      </c>
    </row>
    <row r="5" spans="2:9">
      <c r="B5" s="206" t="s">
        <v>165</v>
      </c>
      <c r="C5" s="206" t="s">
        <v>30</v>
      </c>
      <c r="D5" s="206" t="s">
        <v>32</v>
      </c>
      <c r="E5" s="206" t="s">
        <v>166</v>
      </c>
      <c r="F5" s="206" t="s">
        <v>167</v>
      </c>
    </row>
    <row r="6" spans="2:9">
      <c r="B6" s="1182" t="s">
        <v>168</v>
      </c>
      <c r="C6" s="209" t="s">
        <v>35</v>
      </c>
      <c r="D6" s="325" t="s">
        <v>169</v>
      </c>
      <c r="E6" s="21">
        <v>5601</v>
      </c>
      <c r="F6" s="21">
        <f>+E6</f>
        <v>5601</v>
      </c>
    </row>
    <row r="7" spans="2:9">
      <c r="B7" s="1182"/>
      <c r="C7" s="209" t="s">
        <v>37</v>
      </c>
      <c r="D7" s="325" t="s">
        <v>170</v>
      </c>
      <c r="E7" s="303">
        <v>0</v>
      </c>
      <c r="F7" s="21">
        <f>+E7*$F$24</f>
        <v>0</v>
      </c>
    </row>
    <row r="8" spans="2:9">
      <c r="B8" s="1182"/>
      <c r="C8" s="1182" t="s">
        <v>171</v>
      </c>
      <c r="D8" s="1182"/>
      <c r="E8" s="1182"/>
      <c r="F8" s="32">
        <f>SUM(F6:F7)</f>
        <v>5601</v>
      </c>
    </row>
    <row r="9" spans="2:9">
      <c r="B9" s="1182" t="s">
        <v>172</v>
      </c>
      <c r="C9" s="209" t="s">
        <v>35</v>
      </c>
      <c r="D9" s="325" t="s">
        <v>173</v>
      </c>
      <c r="E9" s="21">
        <v>327909374</v>
      </c>
      <c r="F9" s="21">
        <f>+E9</f>
        <v>327909374</v>
      </c>
    </row>
    <row r="10" spans="2:9">
      <c r="B10" s="1182"/>
      <c r="C10" s="209" t="s">
        <v>37</v>
      </c>
      <c r="D10" s="325" t="s">
        <v>174</v>
      </c>
      <c r="E10" s="303">
        <v>89.65</v>
      </c>
      <c r="F10" s="21">
        <f>+E10*$F$25</f>
        <v>131785.5</v>
      </c>
      <c r="H10" s="326"/>
      <c r="I10" s="326"/>
    </row>
    <row r="11" spans="2:9">
      <c r="B11" s="1182"/>
      <c r="C11" s="1182" t="s">
        <v>171</v>
      </c>
      <c r="D11" s="1182"/>
      <c r="E11" s="1182"/>
      <c r="F11" s="32">
        <f>SUM(F9:F10)</f>
        <v>328041159.5</v>
      </c>
    </row>
    <row r="12" spans="2:9">
      <c r="B12" s="1182" t="s">
        <v>175</v>
      </c>
      <c r="C12" s="209" t="s">
        <v>35</v>
      </c>
      <c r="D12" s="325" t="s">
        <v>176</v>
      </c>
      <c r="E12" s="21">
        <v>1098137566</v>
      </c>
      <c r="F12" s="21">
        <f>+E12</f>
        <v>1098137566</v>
      </c>
    </row>
    <row r="13" spans="2:9">
      <c r="B13" s="1182"/>
      <c r="C13" s="209" t="s">
        <v>37</v>
      </c>
      <c r="D13" s="325" t="s">
        <v>177</v>
      </c>
      <c r="E13" s="303">
        <v>224.33</v>
      </c>
      <c r="F13" s="21">
        <f>+E13*$F$25</f>
        <v>329765.10000000003</v>
      </c>
    </row>
    <row r="14" spans="2:9">
      <c r="B14" s="1182"/>
      <c r="C14" s="1182" t="s">
        <v>171</v>
      </c>
      <c r="D14" s="1182"/>
      <c r="E14" s="1182"/>
      <c r="F14" s="32">
        <f>SUM(F12:F13)</f>
        <v>1098467331.0999999</v>
      </c>
    </row>
    <row r="15" spans="2:9">
      <c r="B15" s="1182" t="s">
        <v>178</v>
      </c>
      <c r="C15" s="209" t="s">
        <v>35</v>
      </c>
      <c r="D15" s="325" t="s">
        <v>179</v>
      </c>
      <c r="E15" s="21">
        <v>53219824</v>
      </c>
      <c r="F15" s="21">
        <f>+E15</f>
        <v>53219824</v>
      </c>
    </row>
    <row r="16" spans="2:9">
      <c r="B16" s="1182"/>
      <c r="C16" s="209" t="s">
        <v>37</v>
      </c>
      <c r="D16" s="325" t="s">
        <v>180</v>
      </c>
      <c r="E16" s="303">
        <v>0</v>
      </c>
      <c r="F16" s="21">
        <f>+E16*$F$25</f>
        <v>0</v>
      </c>
    </row>
    <row r="17" spans="2:13">
      <c r="B17" s="1182"/>
      <c r="C17" s="1182" t="s">
        <v>171</v>
      </c>
      <c r="D17" s="1182"/>
      <c r="E17" s="1182"/>
      <c r="F17" s="32">
        <f>SUM(F15:F16)</f>
        <v>53219824</v>
      </c>
    </row>
    <row r="18" spans="2:13">
      <c r="B18" s="1182" t="s">
        <v>181</v>
      </c>
      <c r="C18" s="209" t="s">
        <v>35</v>
      </c>
      <c r="D18" s="325" t="s">
        <v>182</v>
      </c>
      <c r="E18" s="21">
        <v>192960925</v>
      </c>
      <c r="F18" s="21">
        <f>+E18</f>
        <v>192960925</v>
      </c>
    </row>
    <row r="19" spans="2:13">
      <c r="B19" s="1182"/>
      <c r="C19" s="209" t="s">
        <v>37</v>
      </c>
      <c r="D19" s="325" t="s">
        <v>183</v>
      </c>
      <c r="E19" s="303">
        <v>45.69</v>
      </c>
      <c r="F19" s="21">
        <f>+E19*$F$25</f>
        <v>67164.3</v>
      </c>
    </row>
    <row r="20" spans="2:13">
      <c r="B20" s="1182"/>
      <c r="C20" s="1182" t="s">
        <v>171</v>
      </c>
      <c r="D20" s="1182"/>
      <c r="E20" s="1182"/>
      <c r="F20" s="32">
        <f>SUM(F18:F19)</f>
        <v>193028089.30000001</v>
      </c>
    </row>
    <row r="21" spans="2:13">
      <c r="B21" s="1186" t="s">
        <v>17</v>
      </c>
      <c r="C21" s="214" t="s">
        <v>35</v>
      </c>
      <c r="D21" s="214"/>
      <c r="E21" s="32">
        <f>+E9+E12+E15+E18+E6</f>
        <v>1672233290</v>
      </c>
      <c r="F21" s="32">
        <f>+F9+F12+F15+F18+F6</f>
        <v>1672233290</v>
      </c>
    </row>
    <row r="22" spans="2:13">
      <c r="B22" s="1186"/>
      <c r="C22" s="214" t="s">
        <v>37</v>
      </c>
      <c r="D22" s="214"/>
      <c r="E22" s="304">
        <f>+E10+E13+E16+E19+E7</f>
        <v>359.67</v>
      </c>
      <c r="F22" s="21">
        <f>+E22*$F$25</f>
        <v>528714.9</v>
      </c>
    </row>
    <row r="23" spans="2:13">
      <c r="B23" s="1186"/>
      <c r="C23" s="1186" t="s">
        <v>171</v>
      </c>
      <c r="D23" s="1186"/>
      <c r="E23" s="1186"/>
      <c r="F23" s="32">
        <f>SUM(F21:F22)</f>
        <v>1672762004.9000001</v>
      </c>
    </row>
    <row r="24" spans="2:13">
      <c r="B24" s="203"/>
      <c r="C24" s="202"/>
      <c r="D24" s="202"/>
      <c r="E24" s="204"/>
      <c r="F24" s="203"/>
    </row>
    <row r="25" spans="2:13" ht="13.5">
      <c r="B25" s="203"/>
      <c r="C25" s="202"/>
      <c r="D25" s="202"/>
      <c r="E25" s="300" t="s">
        <v>184</v>
      </c>
      <c r="F25" s="301">
        <v>1470</v>
      </c>
    </row>
    <row r="28" spans="2:13">
      <c r="B28" s="203" t="s">
        <v>185</v>
      </c>
      <c r="C28" s="203"/>
      <c r="D28" s="203"/>
      <c r="E28" s="203"/>
      <c r="F28" s="203"/>
      <c r="G28" s="203"/>
      <c r="H28" s="203"/>
      <c r="I28" s="203"/>
      <c r="J28" s="203"/>
      <c r="K28" s="203"/>
      <c r="L28" s="203"/>
      <c r="M28" s="205" t="s">
        <v>164</v>
      </c>
    </row>
    <row r="29" spans="2:13" ht="13.5">
      <c r="B29" s="1187" t="s">
        <v>165</v>
      </c>
      <c r="C29" s="1188" t="s">
        <v>71</v>
      </c>
      <c r="D29" s="1188"/>
      <c r="E29" s="1185" t="s">
        <v>70</v>
      </c>
      <c r="F29" s="1185"/>
      <c r="G29" s="1185" t="s">
        <v>70</v>
      </c>
      <c r="H29" s="1185"/>
      <c r="I29" s="1183" t="s">
        <v>186</v>
      </c>
      <c r="J29" s="1184"/>
      <c r="K29" s="1185" t="s">
        <v>70</v>
      </c>
      <c r="L29" s="1185"/>
      <c r="M29" s="1185" t="s">
        <v>187</v>
      </c>
    </row>
    <row r="30" spans="2:13" ht="13.5">
      <c r="B30" s="1187"/>
      <c r="C30" s="208" t="s">
        <v>188</v>
      </c>
      <c r="D30" s="207" t="s">
        <v>187</v>
      </c>
      <c r="E30" s="208" t="s">
        <v>188</v>
      </c>
      <c r="F30" s="207" t="s">
        <v>187</v>
      </c>
      <c r="G30" s="208" t="s">
        <v>188</v>
      </c>
      <c r="H30" s="207" t="s">
        <v>187</v>
      </c>
      <c r="I30" s="208" t="s">
        <v>188</v>
      </c>
      <c r="J30" s="207" t="s">
        <v>187</v>
      </c>
      <c r="K30" s="208" t="s">
        <v>188</v>
      </c>
      <c r="L30" s="207" t="s">
        <v>187</v>
      </c>
      <c r="M30" s="1185"/>
    </row>
    <row r="31" spans="2:13">
      <c r="B31" s="209" t="s">
        <v>168</v>
      </c>
      <c r="C31" s="209"/>
      <c r="D31" s="210"/>
      <c r="E31" s="211"/>
      <c r="F31" s="210"/>
      <c r="G31" s="211"/>
      <c r="H31" s="210"/>
      <c r="I31" s="209"/>
      <c r="J31" s="210"/>
      <c r="K31" s="209"/>
      <c r="L31" s="210"/>
      <c r="M31" s="210">
        <f>+D31-F31-H31</f>
        <v>0</v>
      </c>
    </row>
    <row r="32" spans="2:13">
      <c r="B32" s="209" t="s">
        <v>172</v>
      </c>
      <c r="C32" s="209" t="s">
        <v>189</v>
      </c>
      <c r="D32" s="210">
        <v>531274.11</v>
      </c>
      <c r="E32" s="211" t="s">
        <v>189</v>
      </c>
      <c r="F32" s="210">
        <v>331274.11</v>
      </c>
      <c r="G32" s="211"/>
      <c r="H32" s="210"/>
      <c r="I32" s="209" t="s">
        <v>190</v>
      </c>
      <c r="J32" s="210">
        <v>89.65</v>
      </c>
      <c r="K32" s="209" t="s">
        <v>191</v>
      </c>
      <c r="L32" s="210">
        <v>200000</v>
      </c>
      <c r="M32" s="210">
        <f>+D32-F32-H32+J32-L32</f>
        <v>89.649999999994179</v>
      </c>
    </row>
    <row r="33" spans="2:13">
      <c r="B33" s="209" t="s">
        <v>192</v>
      </c>
      <c r="C33" s="209" t="s">
        <v>189</v>
      </c>
      <c r="D33" s="210">
        <v>943660.44</v>
      </c>
      <c r="E33" s="211" t="s">
        <v>189</v>
      </c>
      <c r="F33" s="210">
        <v>443660.44</v>
      </c>
      <c r="G33" s="211"/>
      <c r="H33" s="210"/>
      <c r="I33" s="209" t="s">
        <v>190</v>
      </c>
      <c r="J33" s="210">
        <v>224.33</v>
      </c>
      <c r="K33" s="209" t="s">
        <v>191</v>
      </c>
      <c r="L33" s="210">
        <v>500000</v>
      </c>
      <c r="M33" s="210">
        <f t="shared" ref="M33:M35" si="0">+D33-F33-H33+J33-L33</f>
        <v>224.32999999995809</v>
      </c>
    </row>
    <row r="34" spans="2:13">
      <c r="B34" s="209" t="s">
        <v>193</v>
      </c>
      <c r="C34" s="209" t="s">
        <v>189</v>
      </c>
      <c r="D34" s="210">
        <v>64739.86</v>
      </c>
      <c r="E34" s="211" t="s">
        <v>189</v>
      </c>
      <c r="F34" s="210">
        <v>64739.86</v>
      </c>
      <c r="G34" s="211"/>
      <c r="H34" s="210"/>
      <c r="I34" s="209"/>
      <c r="J34" s="210"/>
      <c r="K34" s="209"/>
      <c r="L34" s="210"/>
      <c r="M34" s="210">
        <f t="shared" si="0"/>
        <v>0</v>
      </c>
    </row>
    <row r="35" spans="2:13">
      <c r="B35" s="209" t="s">
        <v>194</v>
      </c>
      <c r="C35" s="209" t="s">
        <v>189</v>
      </c>
      <c r="D35" s="210">
        <v>436311.63</v>
      </c>
      <c r="E35" s="211" t="s">
        <v>189</v>
      </c>
      <c r="F35" s="210">
        <v>236311.63</v>
      </c>
      <c r="G35" s="211" t="s">
        <v>195</v>
      </c>
      <c r="H35" s="210">
        <v>100000</v>
      </c>
      <c r="I35" s="209" t="s">
        <v>190</v>
      </c>
      <c r="J35" s="210">
        <v>55.69</v>
      </c>
      <c r="K35" s="209" t="s">
        <v>191</v>
      </c>
      <c r="L35" s="210">
        <f>100000+10</f>
        <v>100010</v>
      </c>
      <c r="M35" s="210">
        <f t="shared" si="0"/>
        <v>45.690000000002328</v>
      </c>
    </row>
    <row r="36" spans="2:13">
      <c r="B36" s="209" t="s">
        <v>17</v>
      </c>
      <c r="C36" s="209"/>
      <c r="D36" s="210">
        <f>SUM(D31:D35)</f>
        <v>1975986.04</v>
      </c>
      <c r="E36" s="211"/>
      <c r="F36" s="210">
        <f>SUM(F31:F35)</f>
        <v>1075986.04</v>
      </c>
      <c r="G36" s="211"/>
      <c r="H36" s="210">
        <f>SUM(H31:H35)</f>
        <v>100000</v>
      </c>
      <c r="I36" s="211"/>
      <c r="J36" s="210">
        <f>SUM(J31:J35)</f>
        <v>369.67</v>
      </c>
      <c r="K36" s="210"/>
      <c r="L36" s="210">
        <f>SUM(L31:L35)</f>
        <v>800010</v>
      </c>
      <c r="M36" s="210">
        <f>SUM(M31:M35)</f>
        <v>359.6699999999546</v>
      </c>
    </row>
  </sheetData>
  <mergeCells count="19">
    <mergeCell ref="I29:J29"/>
    <mergeCell ref="K29:L29"/>
    <mergeCell ref="M29:M30"/>
    <mergeCell ref="B21:B23"/>
    <mergeCell ref="C23:E23"/>
    <mergeCell ref="B29:B30"/>
    <mergeCell ref="C29:D29"/>
    <mergeCell ref="E29:F29"/>
    <mergeCell ref="G29:H29"/>
    <mergeCell ref="B15:B17"/>
    <mergeCell ref="C17:E17"/>
    <mergeCell ref="B18:B20"/>
    <mergeCell ref="C20:E20"/>
    <mergeCell ref="B6:B8"/>
    <mergeCell ref="C8:E8"/>
    <mergeCell ref="B9:B11"/>
    <mergeCell ref="C11:E11"/>
    <mergeCell ref="B12:B14"/>
    <mergeCell ref="C14:E14"/>
  </mergeCells>
  <phoneticPr fontId="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301FF-BEFF-4BA6-AC53-63C064990F38}">
  <dimension ref="B3:I74"/>
  <sheetViews>
    <sheetView showGridLines="0" workbookViewId="0">
      <selection activeCell="P22" sqref="P22"/>
    </sheetView>
  </sheetViews>
  <sheetFormatPr defaultRowHeight="12.75"/>
  <cols>
    <col min="2" max="2" width="23.5703125" bestFit="1" customWidth="1"/>
    <col min="4" max="4" width="20.140625" customWidth="1"/>
    <col min="5" max="5" width="21.5703125" customWidth="1"/>
    <col min="6" max="6" width="22.5703125" bestFit="1" customWidth="1"/>
    <col min="8" max="8" width="10.7109375" bestFit="1" customWidth="1"/>
  </cols>
  <sheetData>
    <row r="3" spans="2:8">
      <c r="B3" s="201" t="s">
        <v>163</v>
      </c>
      <c r="C3" s="202"/>
      <c r="D3" s="202"/>
      <c r="E3" s="203"/>
      <c r="F3" s="203"/>
    </row>
    <row r="4" spans="2:8">
      <c r="B4" s="203"/>
      <c r="C4" s="202"/>
      <c r="D4" s="202"/>
      <c r="E4" s="203"/>
      <c r="F4" s="205" t="s">
        <v>196</v>
      </c>
    </row>
    <row r="5" spans="2:8">
      <c r="B5" s="206" t="s">
        <v>165</v>
      </c>
      <c r="C5" s="206" t="s">
        <v>30</v>
      </c>
      <c r="D5" s="206" t="s">
        <v>32</v>
      </c>
      <c r="E5" s="206" t="s">
        <v>22</v>
      </c>
      <c r="F5" s="206" t="s">
        <v>167</v>
      </c>
    </row>
    <row r="6" spans="2:8">
      <c r="B6" s="1182" t="s">
        <v>168</v>
      </c>
      <c r="C6" s="209" t="s">
        <v>35</v>
      </c>
      <c r="D6" s="372" t="s">
        <v>169</v>
      </c>
      <c r="E6" s="21">
        <v>5601</v>
      </c>
      <c r="F6" s="21">
        <f>+E6</f>
        <v>5601</v>
      </c>
    </row>
    <row r="7" spans="2:8">
      <c r="B7" s="1182"/>
      <c r="C7" s="209" t="s">
        <v>37</v>
      </c>
      <c r="D7" s="372" t="s">
        <v>170</v>
      </c>
      <c r="E7" s="303">
        <v>0</v>
      </c>
      <c r="F7" s="21">
        <f>+E7*$F$40</f>
        <v>0</v>
      </c>
    </row>
    <row r="8" spans="2:8">
      <c r="B8" s="1182"/>
      <c r="C8" s="1182" t="s">
        <v>171</v>
      </c>
      <c r="D8" s="1182"/>
      <c r="F8" s="32">
        <f>SUM(F6:F7)</f>
        <v>5601</v>
      </c>
    </row>
    <row r="9" spans="2:8">
      <c r="B9" s="1182" t="s">
        <v>172</v>
      </c>
      <c r="C9" s="209" t="s">
        <v>35</v>
      </c>
      <c r="D9" s="372" t="s">
        <v>173</v>
      </c>
      <c r="E9" s="21">
        <f>195469374+6039000+10395000+41426000+74250000</f>
        <v>327579374</v>
      </c>
      <c r="F9" s="21">
        <f>+E9</f>
        <v>327579374</v>
      </c>
    </row>
    <row r="10" spans="2:8">
      <c r="B10" s="1182"/>
      <c r="C10" s="209" t="s">
        <v>37</v>
      </c>
      <c r="D10" s="372" t="s">
        <v>174</v>
      </c>
      <c r="E10" s="303">
        <v>89.65</v>
      </c>
      <c r="F10" s="21">
        <f>+E10*$F$40</f>
        <v>131785.5</v>
      </c>
    </row>
    <row r="11" spans="2:8">
      <c r="B11" s="1182"/>
      <c r="C11" s="1182" t="s">
        <v>171</v>
      </c>
      <c r="D11" s="1182"/>
      <c r="F11" s="32">
        <f>SUM(F9:F10)</f>
        <v>327711159.5</v>
      </c>
    </row>
    <row r="12" spans="2:8">
      <c r="B12" s="1182" t="s">
        <v>175</v>
      </c>
      <c r="C12" s="209" t="s">
        <v>35</v>
      </c>
      <c r="D12" s="372" t="s">
        <v>176</v>
      </c>
      <c r="E12" s="21">
        <f>565697691+18300700+54539100+16332800+57486550</f>
        <v>712356841</v>
      </c>
      <c r="F12" s="21">
        <f>+E12</f>
        <v>712356841</v>
      </c>
    </row>
    <row r="13" spans="2:8">
      <c r="B13" s="1182"/>
      <c r="C13" s="209" t="s">
        <v>37</v>
      </c>
      <c r="D13" s="372" t="s">
        <v>177</v>
      </c>
      <c r="E13" s="303">
        <v>224.33</v>
      </c>
      <c r="F13" s="21">
        <f>+E13*$F$40</f>
        <v>329765.10000000003</v>
      </c>
    </row>
    <row r="14" spans="2:8">
      <c r="B14" s="1182"/>
      <c r="C14" s="1182" t="s">
        <v>171</v>
      </c>
      <c r="D14" s="1182"/>
      <c r="F14" s="32">
        <f>SUM(F12:F13)</f>
        <v>712686606.10000002</v>
      </c>
      <c r="H14" s="27"/>
    </row>
    <row r="15" spans="2:8">
      <c r="B15" s="1182" t="s">
        <v>197</v>
      </c>
      <c r="C15" s="209" t="s">
        <v>35</v>
      </c>
      <c r="D15" s="372" t="s">
        <v>198</v>
      </c>
      <c r="E15" s="21">
        <v>5600</v>
      </c>
      <c r="F15" s="21">
        <f>+E15</f>
        <v>5600</v>
      </c>
    </row>
    <row r="16" spans="2:8">
      <c r="B16" s="1182"/>
      <c r="C16" s="209" t="s">
        <v>37</v>
      </c>
      <c r="D16" s="372" t="s">
        <v>199</v>
      </c>
      <c r="E16" s="303">
        <v>0</v>
      </c>
      <c r="F16" s="21">
        <f>+E16*$F$40</f>
        <v>0</v>
      </c>
    </row>
    <row r="17" spans="2:9">
      <c r="B17" s="1182"/>
      <c r="C17" s="1182" t="s">
        <v>171</v>
      </c>
      <c r="D17" s="1182"/>
      <c r="F17" s="32">
        <f>SUM(F15:F16)</f>
        <v>5600</v>
      </c>
      <c r="H17" s="27"/>
    </row>
    <row r="18" spans="2:9">
      <c r="B18" s="1182" t="s">
        <v>200</v>
      </c>
      <c r="C18" s="209" t="s">
        <v>35</v>
      </c>
      <c r="D18" s="372" t="s">
        <v>201</v>
      </c>
      <c r="E18" s="21">
        <v>5600</v>
      </c>
      <c r="F18" s="21">
        <f>+E18</f>
        <v>5600</v>
      </c>
    </row>
    <row r="19" spans="2:9">
      <c r="B19" s="1182"/>
      <c r="C19" s="209" t="s">
        <v>37</v>
      </c>
      <c r="D19" s="372" t="s">
        <v>202</v>
      </c>
      <c r="E19" s="303">
        <v>0</v>
      </c>
      <c r="F19" s="21">
        <f>+E19*$F$40</f>
        <v>0</v>
      </c>
    </row>
    <row r="20" spans="2:9" ht="13.5">
      <c r="B20" s="1182"/>
      <c r="C20" s="1182" t="s">
        <v>171</v>
      </c>
      <c r="D20" s="1182"/>
      <c r="F20" s="32">
        <f>SUM(F18:F19)</f>
        <v>5600</v>
      </c>
      <c r="I20" s="361"/>
    </row>
    <row r="21" spans="2:9">
      <c r="B21" s="1182" t="s">
        <v>178</v>
      </c>
      <c r="C21" s="209" t="s">
        <v>35</v>
      </c>
      <c r="D21" s="372" t="s">
        <v>179</v>
      </c>
      <c r="E21" s="21">
        <f>53218824-330000</f>
        <v>52888824</v>
      </c>
      <c r="F21" s="21">
        <f>+E21</f>
        <v>52888824</v>
      </c>
    </row>
    <row r="22" spans="2:9">
      <c r="B22" s="1182"/>
      <c r="C22" s="209" t="s">
        <v>37</v>
      </c>
      <c r="D22" s="372" t="s">
        <v>180</v>
      </c>
      <c r="E22" s="303">
        <v>0</v>
      </c>
      <c r="F22" s="21">
        <f>+E22*$F$40</f>
        <v>0</v>
      </c>
    </row>
    <row r="23" spans="2:9">
      <c r="B23" s="1182"/>
      <c r="C23" s="1182" t="s">
        <v>171</v>
      </c>
      <c r="D23" s="1182"/>
      <c r="F23" s="32">
        <f>SUM(F21:F22)</f>
        <v>52888824</v>
      </c>
    </row>
    <row r="24" spans="2:9">
      <c r="B24" s="1182" t="s">
        <v>181</v>
      </c>
      <c r="C24" s="209" t="s">
        <v>35</v>
      </c>
      <c r="D24" s="372" t="s">
        <v>182</v>
      </c>
      <c r="E24" s="21">
        <f>165808525+26822400</f>
        <v>192630925</v>
      </c>
      <c r="F24" s="21">
        <f>+E24</f>
        <v>192630925</v>
      </c>
    </row>
    <row r="25" spans="2:9">
      <c r="B25" s="1182"/>
      <c r="C25" s="209" t="s">
        <v>37</v>
      </c>
      <c r="D25" s="372" t="s">
        <v>183</v>
      </c>
      <c r="E25" s="303">
        <v>45.69</v>
      </c>
      <c r="F25" s="21">
        <f>+E25*$F$40</f>
        <v>67164.3</v>
      </c>
      <c r="I25" s="339"/>
    </row>
    <row r="26" spans="2:9">
      <c r="B26" s="1182"/>
      <c r="C26" s="1182" t="s">
        <v>171</v>
      </c>
      <c r="D26" s="1182"/>
      <c r="F26" s="32">
        <f>SUM(F24:F25)</f>
        <v>192698089.30000001</v>
      </c>
    </row>
    <row r="27" spans="2:9">
      <c r="B27" s="1182" t="s">
        <v>203</v>
      </c>
      <c r="C27" s="209" t="s">
        <v>35</v>
      </c>
      <c r="D27" s="372" t="s">
        <v>204</v>
      </c>
      <c r="E27" s="21">
        <v>5600</v>
      </c>
      <c r="F27" s="21">
        <f>+E27</f>
        <v>5600</v>
      </c>
    </row>
    <row r="28" spans="2:9">
      <c r="B28" s="1182"/>
      <c r="C28" s="209" t="s">
        <v>37</v>
      </c>
      <c r="D28" s="372" t="s">
        <v>205</v>
      </c>
      <c r="E28" s="303">
        <v>0</v>
      </c>
      <c r="F28" s="21">
        <f>+E28*$F$40</f>
        <v>0</v>
      </c>
    </row>
    <row r="29" spans="2:9">
      <c r="B29" s="1182"/>
      <c r="C29" s="1182" t="s">
        <v>171</v>
      </c>
      <c r="D29" s="1182"/>
      <c r="F29" s="32">
        <f>SUM(F27:F28)</f>
        <v>5600</v>
      </c>
    </row>
    <row r="30" spans="2:9">
      <c r="B30" s="1182" t="s">
        <v>206</v>
      </c>
      <c r="C30" s="209" t="s">
        <v>35</v>
      </c>
      <c r="D30" s="325" t="s">
        <v>207</v>
      </c>
      <c r="E30" s="21">
        <v>5600</v>
      </c>
      <c r="F30" s="21">
        <f>+E30</f>
        <v>5600</v>
      </c>
    </row>
    <row r="31" spans="2:9">
      <c r="B31" s="1182"/>
      <c r="C31" s="209" t="s">
        <v>37</v>
      </c>
      <c r="D31" s="325" t="s">
        <v>208</v>
      </c>
      <c r="E31" s="303">
        <v>0</v>
      </c>
      <c r="F31" s="21">
        <f>+E31*$F$40</f>
        <v>0</v>
      </c>
    </row>
    <row r="32" spans="2:9">
      <c r="B32" s="1182"/>
      <c r="C32" s="1182" t="s">
        <v>171</v>
      </c>
      <c r="D32" s="1182"/>
      <c r="F32" s="32">
        <f>SUM(F30:F31)</f>
        <v>5600</v>
      </c>
    </row>
    <row r="33" spans="2:6">
      <c r="B33" s="1182" t="s">
        <v>209</v>
      </c>
      <c r="C33" s="209" t="s">
        <v>35</v>
      </c>
      <c r="D33" s="325" t="s">
        <v>210</v>
      </c>
      <c r="E33" s="21">
        <v>5600</v>
      </c>
      <c r="F33" s="21">
        <f>+E33</f>
        <v>5600</v>
      </c>
    </row>
    <row r="34" spans="2:6">
      <c r="B34" s="1182"/>
      <c r="C34" s="209" t="s">
        <v>37</v>
      </c>
      <c r="D34" s="325" t="s">
        <v>211</v>
      </c>
      <c r="E34" s="303">
        <v>0</v>
      </c>
      <c r="F34" s="21">
        <f>+E34*$F$40</f>
        <v>0</v>
      </c>
    </row>
    <row r="35" spans="2:6">
      <c r="B35" s="1182"/>
      <c r="C35" s="1182" t="s">
        <v>171</v>
      </c>
      <c r="D35" s="1182"/>
      <c r="F35" s="32">
        <f>SUM(F33:F34)</f>
        <v>5600</v>
      </c>
    </row>
    <row r="36" spans="2:6">
      <c r="B36" s="1186" t="s">
        <v>17</v>
      </c>
      <c r="C36" s="214" t="s">
        <v>35</v>
      </c>
      <c r="D36" s="214"/>
      <c r="E36" s="32">
        <f t="shared" ref="E36:F37" si="0">+E6+E9+E12+E15+E18+E21+E24+E27+E30+E33</f>
        <v>1285489565</v>
      </c>
      <c r="F36" s="32">
        <f t="shared" si="0"/>
        <v>1285489565</v>
      </c>
    </row>
    <row r="37" spans="2:6">
      <c r="B37" s="1186"/>
      <c r="C37" s="214" t="s">
        <v>37</v>
      </c>
      <c r="D37" s="214"/>
      <c r="E37" s="304">
        <f t="shared" si="0"/>
        <v>359.67</v>
      </c>
      <c r="F37" s="21">
        <f t="shared" si="0"/>
        <v>528714.9</v>
      </c>
    </row>
    <row r="38" spans="2:6">
      <c r="B38" s="1186"/>
      <c r="C38" s="1186" t="s">
        <v>171</v>
      </c>
      <c r="D38" s="1186"/>
      <c r="E38" s="25"/>
      <c r="F38" s="32">
        <f>SUM(F36:F37)</f>
        <v>1286018279.9000001</v>
      </c>
    </row>
    <row r="39" spans="2:6">
      <c r="B39" s="203"/>
      <c r="C39" s="202"/>
      <c r="D39" s="202"/>
      <c r="E39" s="204"/>
      <c r="F39" s="203"/>
    </row>
    <row r="40" spans="2:6" ht="13.5">
      <c r="B40" s="203"/>
      <c r="C40" s="202"/>
      <c r="D40" s="202"/>
      <c r="E40" s="300" t="s">
        <v>184</v>
      </c>
      <c r="F40" s="301">
        <v>1470</v>
      </c>
    </row>
    <row r="42" spans="2:6">
      <c r="F42" s="27"/>
    </row>
    <row r="43" spans="2:6">
      <c r="F43" s="27"/>
    </row>
    <row r="45" spans="2:6">
      <c r="F45" s="27"/>
    </row>
    <row r="57" spans="4:6">
      <c r="D57" s="360"/>
      <c r="E57" s="360"/>
      <c r="F57" s="360"/>
    </row>
    <row r="58" spans="4:6">
      <c r="D58" s="360"/>
      <c r="E58" s="360"/>
      <c r="F58" s="360"/>
    </row>
    <row r="59" spans="4:6">
      <c r="D59" s="360"/>
      <c r="E59" s="360"/>
      <c r="F59" s="360"/>
    </row>
    <row r="60" spans="4:6">
      <c r="D60" s="360"/>
      <c r="E60" s="360"/>
      <c r="F60" s="360"/>
    </row>
    <row r="61" spans="4:6">
      <c r="D61" s="360"/>
      <c r="E61" s="360"/>
      <c r="F61" s="360"/>
    </row>
    <row r="62" spans="4:6">
      <c r="D62" s="360"/>
      <c r="E62" s="360"/>
      <c r="F62" s="360"/>
    </row>
    <row r="63" spans="4:6">
      <c r="D63" s="360"/>
      <c r="E63" s="360"/>
      <c r="F63" s="360"/>
    </row>
    <row r="64" spans="4:6">
      <c r="D64" s="360"/>
      <c r="E64" s="360"/>
      <c r="F64" s="360"/>
    </row>
    <row r="65" spans="4:6">
      <c r="D65" s="360"/>
      <c r="E65" s="360"/>
      <c r="F65" s="360"/>
    </row>
    <row r="66" spans="4:6">
      <c r="D66" s="360"/>
      <c r="E66" s="360"/>
      <c r="F66" s="360"/>
    </row>
    <row r="67" spans="4:6">
      <c r="D67" s="360"/>
      <c r="E67" s="360"/>
      <c r="F67" s="360"/>
    </row>
    <row r="68" spans="4:6">
      <c r="D68" s="360"/>
      <c r="E68" s="360"/>
      <c r="F68" s="360"/>
    </row>
    <row r="69" spans="4:6">
      <c r="D69" s="360"/>
      <c r="E69" s="360"/>
      <c r="F69" s="360"/>
    </row>
    <row r="70" spans="4:6">
      <c r="D70" s="360"/>
      <c r="E70" s="360"/>
      <c r="F70" s="360"/>
    </row>
    <row r="71" spans="4:6">
      <c r="D71" s="360"/>
      <c r="E71" s="360"/>
      <c r="F71" s="360"/>
    </row>
    <row r="72" spans="4:6">
      <c r="D72" s="360"/>
      <c r="E72" s="360"/>
      <c r="F72" s="360"/>
    </row>
    <row r="73" spans="4:6">
      <c r="E73" s="360"/>
      <c r="F73" s="360"/>
    </row>
    <row r="74" spans="4:6">
      <c r="E74" s="360"/>
      <c r="F74" s="360"/>
    </row>
  </sheetData>
  <mergeCells count="22">
    <mergeCell ref="B15:B17"/>
    <mergeCell ref="C17:D17"/>
    <mergeCell ref="B18:B20"/>
    <mergeCell ref="C20:D20"/>
    <mergeCell ref="B27:B29"/>
    <mergeCell ref="C29:D29"/>
    <mergeCell ref="B21:B23"/>
    <mergeCell ref="C23:D23"/>
    <mergeCell ref="B24:B26"/>
    <mergeCell ref="C26:D26"/>
    <mergeCell ref="B36:B38"/>
    <mergeCell ref="C38:D38"/>
    <mergeCell ref="B30:B32"/>
    <mergeCell ref="C32:D32"/>
    <mergeCell ref="B33:B35"/>
    <mergeCell ref="C35:D35"/>
    <mergeCell ref="B6:B8"/>
    <mergeCell ref="C8:D8"/>
    <mergeCell ref="B9:B11"/>
    <mergeCell ref="C11:D11"/>
    <mergeCell ref="B12:B14"/>
    <mergeCell ref="C14:D14"/>
  </mergeCells>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23BCD-6F8F-4BAC-87C0-EC8F692D76FD}">
  <dimension ref="B2:U41"/>
  <sheetViews>
    <sheetView showGridLines="0" zoomScaleNormal="100" workbookViewId="0">
      <selection activeCell="C36" sqref="B22:C54"/>
    </sheetView>
  </sheetViews>
  <sheetFormatPr defaultColWidth="9.140625" defaultRowHeight="12.75"/>
  <cols>
    <col min="1" max="1" width="1.7109375" style="474" customWidth="1"/>
    <col min="2" max="2" width="23.5703125" style="474" bestFit="1" customWidth="1"/>
    <col min="3" max="4" width="18.85546875" style="474" customWidth="1"/>
    <col min="5" max="6" width="16.42578125" style="495" customWidth="1"/>
    <col min="7" max="11" width="16.42578125" style="474" customWidth="1"/>
    <col min="12" max="12" width="69.7109375" style="474" customWidth="1"/>
    <col min="13" max="13" width="15.28515625" style="474" bestFit="1" customWidth="1"/>
    <col min="14" max="14" width="14.140625" style="474" bestFit="1" customWidth="1"/>
    <col min="15" max="16384" width="9.140625" style="474"/>
  </cols>
  <sheetData>
    <row r="2" spans="2:21">
      <c r="B2" s="496" t="s">
        <v>163</v>
      </c>
      <c r="C2" s="496"/>
      <c r="D2" s="496"/>
    </row>
    <row r="3" spans="2:21">
      <c r="H3" s="497"/>
      <c r="I3" s="497"/>
      <c r="J3" s="497"/>
      <c r="K3" s="497"/>
      <c r="L3" s="497" t="s">
        <v>212</v>
      </c>
    </row>
    <row r="4" spans="2:21" s="499" customFormat="1" ht="61.5" customHeight="1">
      <c r="B4" s="498" t="s">
        <v>165</v>
      </c>
      <c r="C4" s="498" t="s">
        <v>213</v>
      </c>
      <c r="D4" s="498" t="s">
        <v>214</v>
      </c>
      <c r="E4" s="498" t="s">
        <v>30</v>
      </c>
      <c r="F4" s="498" t="s">
        <v>32</v>
      </c>
      <c r="G4" s="498" t="str">
        <f>+[2]자금현황!E5</f>
        <v>Balance</v>
      </c>
      <c r="H4" s="498" t="s">
        <v>167</v>
      </c>
      <c r="I4" s="498" t="s">
        <v>215</v>
      </c>
      <c r="J4" s="498" t="s">
        <v>216</v>
      </c>
      <c r="K4" s="498" t="s">
        <v>217</v>
      </c>
      <c r="L4" s="498" t="s">
        <v>26</v>
      </c>
      <c r="N4" s="474"/>
      <c r="O4" s="474"/>
      <c r="P4" s="474"/>
      <c r="Q4" s="474"/>
      <c r="R4" s="474"/>
      <c r="S4" s="474"/>
      <c r="T4" s="474"/>
      <c r="U4" s="474"/>
    </row>
    <row r="5" spans="2:21">
      <c r="B5" s="1206" t="s">
        <v>168</v>
      </c>
      <c r="C5" s="1192" t="s">
        <v>218</v>
      </c>
      <c r="D5" s="1192" t="s">
        <v>219</v>
      </c>
      <c r="E5" s="501" t="s">
        <v>35</v>
      </c>
      <c r="F5" s="502" t="s">
        <v>169</v>
      </c>
      <c r="G5" s="503">
        <f>+'SPV Balance by bank_1'!D5</f>
        <v>89723426</v>
      </c>
      <c r="H5" s="503">
        <f>+G5</f>
        <v>89723426</v>
      </c>
      <c r="I5" s="503"/>
      <c r="J5" s="503"/>
      <c r="K5" s="503"/>
      <c r="L5" s="1189" t="s">
        <v>220</v>
      </c>
      <c r="M5" s="504"/>
    </row>
    <row r="6" spans="2:21">
      <c r="B6" s="1207"/>
      <c r="C6" s="1193"/>
      <c r="D6" s="1193"/>
      <c r="E6" s="501" t="s">
        <v>37</v>
      </c>
      <c r="F6" s="502" t="s">
        <v>221</v>
      </c>
      <c r="G6" s="506">
        <f>+'SPV Balance by bank_1'!D6</f>
        <v>299993.87</v>
      </c>
      <c r="H6" s="503">
        <f>+G6*$H$36</f>
        <v>440990988.89999998</v>
      </c>
      <c r="I6" s="503"/>
      <c r="J6" s="503"/>
      <c r="K6" s="503"/>
      <c r="L6" s="1190"/>
    </row>
    <row r="7" spans="2:21" ht="13.5" customHeight="1">
      <c r="B7" s="1208"/>
      <c r="C7" s="1193"/>
      <c r="D7" s="1193"/>
      <c r="E7" s="507" t="s">
        <v>171</v>
      </c>
      <c r="F7" s="507"/>
      <c r="G7" s="508"/>
      <c r="H7" s="509">
        <f>SUM(H5:H6)</f>
        <v>530714414.89999998</v>
      </c>
      <c r="I7" s="509"/>
      <c r="J7" s="509"/>
      <c r="K7" s="509"/>
      <c r="L7" s="1191"/>
    </row>
    <row r="8" spans="2:21">
      <c r="B8" s="1206" t="s">
        <v>172</v>
      </c>
      <c r="C8" s="1193"/>
      <c r="D8" s="1193"/>
      <c r="E8" s="501" t="s">
        <v>35</v>
      </c>
      <c r="F8" s="502" t="s">
        <v>222</v>
      </c>
      <c r="G8" s="503">
        <f>+'SPV Balance by bank_1'!D8</f>
        <v>50567</v>
      </c>
      <c r="H8" s="503">
        <f>+G8</f>
        <v>50567</v>
      </c>
      <c r="I8" s="503">
        <f>+'DEVEX_Amount to be paid in 2025'!Q19</f>
        <v>224031500</v>
      </c>
      <c r="J8" s="503"/>
      <c r="K8" s="503"/>
      <c r="L8" s="1209" t="s">
        <v>223</v>
      </c>
      <c r="M8" s="504"/>
    </row>
    <row r="9" spans="2:21">
      <c r="B9" s="1207"/>
      <c r="C9" s="1193"/>
      <c r="D9" s="1193"/>
      <c r="E9" s="501" t="s">
        <v>37</v>
      </c>
      <c r="F9" s="502" t="s">
        <v>224</v>
      </c>
      <c r="G9" s="506">
        <f>+'SPV Balance by bank_1'!D9</f>
        <v>0</v>
      </c>
      <c r="H9" s="503">
        <f>+G9*$H$36</f>
        <v>0</v>
      </c>
      <c r="I9" s="503"/>
      <c r="J9" s="503"/>
      <c r="K9" s="503"/>
      <c r="L9" s="1210"/>
    </row>
    <row r="10" spans="2:21">
      <c r="B10" s="1208"/>
      <c r="C10" s="1193"/>
      <c r="D10" s="1193"/>
      <c r="E10" s="507" t="s">
        <v>171</v>
      </c>
      <c r="F10" s="507"/>
      <c r="G10" s="508"/>
      <c r="H10" s="509">
        <f>SUM(H8:H9)</f>
        <v>50567</v>
      </c>
      <c r="I10" s="509">
        <f>+I8+I9</f>
        <v>224031500</v>
      </c>
      <c r="J10" s="509">
        <f>+I10-H10</f>
        <v>223980933</v>
      </c>
      <c r="K10" s="510">
        <f>+J10/$H$36</f>
        <v>152367.98163265307</v>
      </c>
      <c r="L10" s="1211"/>
    </row>
    <row r="11" spans="2:21" ht="13.5" customHeight="1">
      <c r="B11" s="1206" t="s">
        <v>192</v>
      </c>
      <c r="C11" s="1193"/>
      <c r="D11" s="1193"/>
      <c r="E11" s="501" t="s">
        <v>35</v>
      </c>
      <c r="F11" s="502" t="s">
        <v>225</v>
      </c>
      <c r="G11" s="503">
        <f>+'SPV Balance by bank_1'!D11</f>
        <v>430382248</v>
      </c>
      <c r="H11" s="503">
        <f>+G11</f>
        <v>430382248</v>
      </c>
      <c r="I11" s="503">
        <f>+'DEVEX_Amount to be paid in 2025'!O30</f>
        <v>211388925</v>
      </c>
      <c r="J11" s="503"/>
      <c r="K11" s="503"/>
      <c r="L11" s="1209" t="s">
        <v>226</v>
      </c>
      <c r="M11" s="504"/>
    </row>
    <row r="12" spans="2:21">
      <c r="B12" s="1207"/>
      <c r="C12" s="1193"/>
      <c r="D12" s="1193"/>
      <c r="E12" s="501" t="s">
        <v>37</v>
      </c>
      <c r="F12" s="502" t="s">
        <v>56</v>
      </c>
      <c r="G12" s="506">
        <f>+'SPV Balance by bank_1'!D12</f>
        <v>256.20999999996275</v>
      </c>
      <c r="H12" s="503">
        <f>+G12*$H$36</f>
        <v>376628.69999994524</v>
      </c>
      <c r="I12" s="511"/>
      <c r="J12" s="511"/>
      <c r="K12" s="511"/>
      <c r="L12" s="1210"/>
    </row>
    <row r="13" spans="2:21">
      <c r="B13" s="1208"/>
      <c r="C13" s="1193"/>
      <c r="D13" s="1193"/>
      <c r="E13" s="507" t="s">
        <v>171</v>
      </c>
      <c r="F13" s="507"/>
      <c r="G13" s="508"/>
      <c r="H13" s="509">
        <f>SUM(H11:H12)</f>
        <v>430758876.69999993</v>
      </c>
      <c r="I13" s="509">
        <f>+I11+I12</f>
        <v>211388925</v>
      </c>
      <c r="J13" s="512"/>
      <c r="K13" s="512"/>
      <c r="L13" s="1211"/>
    </row>
    <row r="14" spans="2:21" ht="12.75" hidden="1" customHeight="1">
      <c r="B14" s="1206" t="s">
        <v>197</v>
      </c>
      <c r="C14" s="1193"/>
      <c r="D14" s="1193"/>
      <c r="E14" s="501" t="s">
        <v>35</v>
      </c>
      <c r="F14" s="501"/>
      <c r="G14" s="503">
        <v>5600</v>
      </c>
      <c r="H14" s="503">
        <f>+G14</f>
        <v>5600</v>
      </c>
      <c r="I14" s="511"/>
      <c r="J14" s="511"/>
      <c r="K14" s="511"/>
      <c r="L14" s="503"/>
    </row>
    <row r="15" spans="2:21" ht="12.75" hidden="1" customHeight="1">
      <c r="B15" s="1207"/>
      <c r="C15" s="1193"/>
      <c r="D15" s="1193"/>
      <c r="E15" s="501" t="s">
        <v>37</v>
      </c>
      <c r="F15" s="501"/>
      <c r="G15" s="506">
        <v>0</v>
      </c>
      <c r="H15" s="503">
        <f>+G15*$H$36</f>
        <v>0</v>
      </c>
      <c r="I15" s="511"/>
      <c r="J15" s="511"/>
      <c r="K15" s="511"/>
      <c r="L15" s="503"/>
    </row>
    <row r="16" spans="2:21" ht="12.75" hidden="1" customHeight="1">
      <c r="B16" s="1208"/>
      <c r="C16" s="1193"/>
      <c r="D16" s="1193"/>
      <c r="E16" s="507" t="s">
        <v>171</v>
      </c>
      <c r="F16" s="507"/>
      <c r="G16" s="508"/>
      <c r="H16" s="509">
        <f>SUM(H14:H15)</f>
        <v>5600</v>
      </c>
      <c r="I16" s="512"/>
      <c r="J16" s="512"/>
      <c r="K16" s="512"/>
      <c r="L16" s="513"/>
    </row>
    <row r="17" spans="2:13" ht="12.75" hidden="1" customHeight="1">
      <c r="B17" s="1206" t="s">
        <v>200</v>
      </c>
      <c r="C17" s="1193"/>
      <c r="D17" s="1193"/>
      <c r="E17" s="501" t="s">
        <v>35</v>
      </c>
      <c r="F17" s="501"/>
      <c r="G17" s="503">
        <v>5600</v>
      </c>
      <c r="H17" s="503">
        <f>+G17</f>
        <v>5600</v>
      </c>
      <c r="I17" s="511"/>
      <c r="J17" s="511"/>
      <c r="K17" s="511"/>
      <c r="L17" s="503"/>
    </row>
    <row r="18" spans="2:13" ht="12.75" hidden="1" customHeight="1">
      <c r="B18" s="1207"/>
      <c r="C18" s="1193"/>
      <c r="D18" s="1193"/>
      <c r="E18" s="501" t="s">
        <v>37</v>
      </c>
      <c r="F18" s="501"/>
      <c r="G18" s="506">
        <v>0</v>
      </c>
      <c r="H18" s="503">
        <f>+G18*$H$36</f>
        <v>0</v>
      </c>
      <c r="I18" s="511"/>
      <c r="J18" s="511"/>
      <c r="K18" s="511"/>
      <c r="L18" s="503"/>
    </row>
    <row r="19" spans="2:13" ht="12.75" hidden="1" customHeight="1">
      <c r="B19" s="1208"/>
      <c r="C19" s="1193"/>
      <c r="D19" s="1193"/>
      <c r="E19" s="507" t="s">
        <v>171</v>
      </c>
      <c r="F19" s="507"/>
      <c r="G19" s="508"/>
      <c r="H19" s="509">
        <f>SUM(H17:H18)</f>
        <v>5600</v>
      </c>
      <c r="I19" s="512"/>
      <c r="J19" s="512"/>
      <c r="K19" s="512"/>
      <c r="L19" s="513"/>
    </row>
    <row r="20" spans="2:13" ht="12.75" customHeight="1">
      <c r="B20" s="1206" t="s">
        <v>227</v>
      </c>
      <c r="C20" s="1193"/>
      <c r="D20" s="1193"/>
      <c r="E20" s="501" t="s">
        <v>35</v>
      </c>
      <c r="F20" s="502" t="s">
        <v>198</v>
      </c>
      <c r="G20" s="503">
        <f>+'SPV Balance by bank_1'!D14</f>
        <v>609100</v>
      </c>
      <c r="H20" s="503">
        <f>+G20</f>
        <v>609100</v>
      </c>
      <c r="I20" s="503">
        <f>+'DEVEX_Amount to be paid in 2025'!O43</f>
        <v>439230000</v>
      </c>
      <c r="J20" s="511"/>
      <c r="K20" s="511"/>
      <c r="L20" s="1209" t="s">
        <v>228</v>
      </c>
    </row>
    <row r="21" spans="2:13" ht="12.75" customHeight="1">
      <c r="B21" s="1207"/>
      <c r="C21" s="1193"/>
      <c r="D21" s="1193"/>
      <c r="E21" s="501" t="s">
        <v>37</v>
      </c>
      <c r="F21" s="502" t="s">
        <v>199</v>
      </c>
      <c r="G21" s="506">
        <f>+'SPV Balance by bank_1'!D15</f>
        <v>0</v>
      </c>
      <c r="H21" s="503">
        <f>+G21*$H$36</f>
        <v>0</v>
      </c>
      <c r="I21" s="503"/>
      <c r="J21" s="511"/>
      <c r="K21" s="511"/>
      <c r="L21" s="1210"/>
    </row>
    <row r="22" spans="2:13" ht="12.75" customHeight="1">
      <c r="B22" s="1208"/>
      <c r="C22" s="1193"/>
      <c r="D22" s="1193"/>
      <c r="E22" s="507" t="s">
        <v>171</v>
      </c>
      <c r="F22" s="507"/>
      <c r="G22" s="508"/>
      <c r="H22" s="509">
        <f>SUM(H20:H21)</f>
        <v>609100</v>
      </c>
      <c r="I22" s="509">
        <f>+I20+I21</f>
        <v>439230000</v>
      </c>
      <c r="J22" s="512"/>
      <c r="K22" s="512"/>
      <c r="L22" s="1211"/>
    </row>
    <row r="23" spans="2:13">
      <c r="B23" s="1206" t="s">
        <v>193</v>
      </c>
      <c r="C23" s="1193"/>
      <c r="D23" s="1193"/>
      <c r="E23" s="501" t="s">
        <v>35</v>
      </c>
      <c r="F23" s="502" t="s">
        <v>229</v>
      </c>
      <c r="G23" s="503">
        <f>+'SPV Balance by bank_1'!D20</f>
        <v>51238411</v>
      </c>
      <c r="H23" s="503">
        <f>+G23</f>
        <v>51238411</v>
      </c>
      <c r="I23" s="503">
        <f>+'DEVEX_Amount to be paid in 2025'!O54</f>
        <v>403392000</v>
      </c>
      <c r="J23" s="511"/>
      <c r="K23" s="511"/>
      <c r="L23" s="1209" t="s">
        <v>230</v>
      </c>
    </row>
    <row r="24" spans="2:13">
      <c r="B24" s="1207"/>
      <c r="C24" s="1193"/>
      <c r="D24" s="1193"/>
      <c r="E24" s="501" t="s">
        <v>37</v>
      </c>
      <c r="F24" s="502" t="s">
        <v>231</v>
      </c>
      <c r="G24" s="506">
        <f>+'SPV Balance by bank_1'!D21</f>
        <v>0</v>
      </c>
      <c r="H24" s="503">
        <f>+G24*$H$36</f>
        <v>0</v>
      </c>
      <c r="I24" s="503"/>
      <c r="J24" s="511"/>
      <c r="K24" s="511"/>
      <c r="L24" s="1210"/>
    </row>
    <row r="25" spans="2:13">
      <c r="B25" s="1208"/>
      <c r="C25" s="1193"/>
      <c r="D25" s="1193"/>
      <c r="E25" s="507" t="s">
        <v>171</v>
      </c>
      <c r="F25" s="507"/>
      <c r="G25" s="508"/>
      <c r="H25" s="509">
        <f>SUM(H23:H24)</f>
        <v>51238411</v>
      </c>
      <c r="I25" s="509">
        <f>SUM(I23:I24)</f>
        <v>403392000</v>
      </c>
      <c r="J25" s="509">
        <f>+I25-H25</f>
        <v>352153589</v>
      </c>
      <c r="K25" s="510">
        <f>+J25/$H$36</f>
        <v>239560.26462585034</v>
      </c>
      <c r="L25" s="1211"/>
    </row>
    <row r="26" spans="2:13" ht="12.75" customHeight="1">
      <c r="B26" s="1206" t="s">
        <v>194</v>
      </c>
      <c r="C26" s="1193"/>
      <c r="D26" s="1193"/>
      <c r="E26" s="501" t="s">
        <v>35</v>
      </c>
      <c r="F26" s="502" t="s">
        <v>232</v>
      </c>
      <c r="G26" s="503">
        <f>+'SPV Balance by bank_1'!D23</f>
        <v>383728499</v>
      </c>
      <c r="H26" s="503">
        <f>+G26</f>
        <v>383728499</v>
      </c>
      <c r="I26" s="503">
        <f>+'DEVEX_Amount to be paid in 2025'!O64</f>
        <v>150001500</v>
      </c>
      <c r="J26" s="511"/>
      <c r="K26" s="511"/>
      <c r="L26" s="1209" t="s">
        <v>226</v>
      </c>
      <c r="M26" s="504"/>
    </row>
    <row r="27" spans="2:13">
      <c r="B27" s="1207"/>
      <c r="C27" s="1193"/>
      <c r="D27" s="1193"/>
      <c r="E27" s="501" t="s">
        <v>37</v>
      </c>
      <c r="F27" s="502" t="s">
        <v>233</v>
      </c>
      <c r="G27" s="506">
        <f>+'SPV Balance by bank_1'!D24</f>
        <v>52.049999999988358</v>
      </c>
      <c r="H27" s="503">
        <f>+G27*$H$36</f>
        <v>76513.499999982887</v>
      </c>
      <c r="I27" s="511"/>
      <c r="J27" s="511"/>
      <c r="K27" s="511"/>
      <c r="L27" s="1210"/>
    </row>
    <row r="28" spans="2:13">
      <c r="B28" s="1208"/>
      <c r="C28" s="1194"/>
      <c r="D28" s="1194"/>
      <c r="E28" s="507" t="s">
        <v>171</v>
      </c>
      <c r="F28" s="507"/>
      <c r="G28" s="508"/>
      <c r="H28" s="509">
        <f>SUM(H26:H27)</f>
        <v>383805012.5</v>
      </c>
      <c r="I28" s="509">
        <f>SUM(I26:I27)</f>
        <v>150001500</v>
      </c>
      <c r="J28" s="509"/>
      <c r="K28" s="509"/>
      <c r="L28" s="1211"/>
    </row>
    <row r="29" spans="2:13" hidden="1">
      <c r="B29" s="1206" t="s">
        <v>203</v>
      </c>
      <c r="C29" s="500"/>
      <c r="D29" s="500"/>
      <c r="E29" s="501" t="s">
        <v>35</v>
      </c>
      <c r="F29" s="501"/>
      <c r="G29" s="503"/>
      <c r="H29" s="503">
        <f>+G29</f>
        <v>0</v>
      </c>
      <c r="I29" s="503"/>
      <c r="J29" s="503"/>
      <c r="K29" s="503"/>
      <c r="L29" s="503"/>
    </row>
    <row r="30" spans="2:13" hidden="1">
      <c r="B30" s="1207"/>
      <c r="C30" s="505"/>
      <c r="D30" s="505"/>
      <c r="E30" s="501" t="s">
        <v>37</v>
      </c>
      <c r="F30" s="501"/>
      <c r="G30" s="506"/>
      <c r="H30" s="503">
        <f>+G30*$H$36</f>
        <v>0</v>
      </c>
      <c r="I30" s="503"/>
      <c r="J30" s="503"/>
      <c r="K30" s="503"/>
      <c r="L30" s="503"/>
    </row>
    <row r="31" spans="2:13" hidden="1">
      <c r="B31" s="1208"/>
      <c r="C31" s="514"/>
      <c r="D31" s="514"/>
      <c r="E31" s="507" t="s">
        <v>171</v>
      </c>
      <c r="F31" s="507"/>
      <c r="G31" s="508"/>
      <c r="H31" s="509">
        <f>SUM(H29:H30)</f>
        <v>0</v>
      </c>
      <c r="I31" s="509"/>
      <c r="J31" s="509"/>
      <c r="K31" s="509"/>
      <c r="L31" s="513"/>
    </row>
    <row r="32" spans="2:13">
      <c r="B32" s="1195" t="s">
        <v>17</v>
      </c>
      <c r="C32" s="1196"/>
      <c r="D32" s="1197"/>
      <c r="E32" s="1204" t="s">
        <v>35</v>
      </c>
      <c r="F32" s="1205"/>
      <c r="G32" s="513">
        <f>+G8+G11+G23+G26+G5</f>
        <v>955123151</v>
      </c>
      <c r="H32" s="513">
        <f>+H8+H11+H23+H26+H5</f>
        <v>955123151</v>
      </c>
      <c r="I32" s="513"/>
      <c r="J32" s="513"/>
      <c r="K32" s="513"/>
      <c r="L32" s="513"/>
    </row>
    <row r="33" spans="2:12">
      <c r="B33" s="1198"/>
      <c r="C33" s="1199"/>
      <c r="D33" s="1200"/>
      <c r="E33" s="1204" t="s">
        <v>37</v>
      </c>
      <c r="F33" s="1205"/>
      <c r="G33" s="515">
        <f>+G9+G12+G24+G27+G6</f>
        <v>300302.12999999995</v>
      </c>
      <c r="H33" s="513">
        <f>+G33*$H$36</f>
        <v>441444131.0999999</v>
      </c>
      <c r="I33" s="513"/>
      <c r="J33" s="515"/>
      <c r="K33" s="515"/>
      <c r="L33" s="513"/>
    </row>
    <row r="34" spans="2:12">
      <c r="B34" s="1201"/>
      <c r="C34" s="1202"/>
      <c r="D34" s="1203"/>
      <c r="E34" s="1204" t="s">
        <v>171</v>
      </c>
      <c r="F34" s="1205"/>
      <c r="G34" s="516"/>
      <c r="H34" s="513">
        <f>SUM(H32:H33)</f>
        <v>1396567282.0999999</v>
      </c>
      <c r="I34" s="513"/>
      <c r="J34" s="513"/>
      <c r="K34" s="513"/>
      <c r="L34" s="513"/>
    </row>
    <row r="35" spans="2:12">
      <c r="G35" s="517"/>
    </row>
    <row r="36" spans="2:12">
      <c r="G36" s="516" t="s">
        <v>184</v>
      </c>
      <c r="H36" s="518">
        <v>1470</v>
      </c>
      <c r="I36" s="519"/>
      <c r="J36" s="519"/>
      <c r="K36" s="519"/>
      <c r="L36" s="519"/>
    </row>
    <row r="37" spans="2:12">
      <c r="G37" s="517"/>
      <c r="J37" s="517"/>
    </row>
    <row r="38" spans="2:12">
      <c r="J38" s="517"/>
    </row>
    <row r="39" spans="2:12">
      <c r="G39" s="517"/>
    </row>
    <row r="40" spans="2:12">
      <c r="G40" s="517"/>
    </row>
    <row r="41" spans="2:12" ht="13.5">
      <c r="B41" s="520" t="s">
        <v>234</v>
      </c>
    </row>
  </sheetData>
  <mergeCells count="21">
    <mergeCell ref="L8:L10"/>
    <mergeCell ref="B20:B22"/>
    <mergeCell ref="L20:L22"/>
    <mergeCell ref="L26:L28"/>
    <mergeCell ref="L23:L25"/>
    <mergeCell ref="L5:L7"/>
    <mergeCell ref="C5:C28"/>
    <mergeCell ref="D5:D28"/>
    <mergeCell ref="B32:D34"/>
    <mergeCell ref="E32:F32"/>
    <mergeCell ref="E33:F33"/>
    <mergeCell ref="E34:F34"/>
    <mergeCell ref="B26:B28"/>
    <mergeCell ref="B29:B31"/>
    <mergeCell ref="B5:B7"/>
    <mergeCell ref="B8:B10"/>
    <mergeCell ref="B11:B13"/>
    <mergeCell ref="B14:B16"/>
    <mergeCell ref="B17:B19"/>
    <mergeCell ref="B23:B25"/>
    <mergeCell ref="L11:L13"/>
  </mergeCells>
  <phoneticPr fontId="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AADB-A86A-4ED4-A578-77A231D02383}">
  <dimension ref="B1:G57"/>
  <sheetViews>
    <sheetView showGridLines="0" zoomScale="130" zoomScaleNormal="130" workbookViewId="0">
      <selection activeCell="C36" sqref="B22:C54"/>
    </sheetView>
  </sheetViews>
  <sheetFormatPr defaultColWidth="9.140625" defaultRowHeight="12.75"/>
  <cols>
    <col min="1" max="1" width="1.7109375" style="203" customWidth="1"/>
    <col min="2" max="2" width="23.5703125" style="203" bestFit="1" customWidth="1"/>
    <col min="3" max="3" width="16.42578125" style="202" customWidth="1"/>
    <col min="4" max="5" width="16.42578125" style="203" customWidth="1"/>
    <col min="6" max="6" width="7.28515625" style="203" customWidth="1"/>
    <col min="7" max="16384" width="9.140625" style="203"/>
  </cols>
  <sheetData>
    <row r="1" spans="2:7" ht="13.5">
      <c r="F1" s="400"/>
    </row>
    <row r="2" spans="2:7">
      <c r="B2" s="392" t="s">
        <v>163</v>
      </c>
    </row>
    <row r="3" spans="2:7">
      <c r="E3" s="205" t="s">
        <v>235</v>
      </c>
    </row>
    <row r="4" spans="2:7" s="376" customFormat="1" ht="33" customHeight="1">
      <c r="B4" s="298" t="s">
        <v>165</v>
      </c>
      <c r="C4" s="298" t="s">
        <v>30</v>
      </c>
      <c r="D4" s="298" t="str">
        <f>+[2]자금현황!E5</f>
        <v>Balance</v>
      </c>
      <c r="E4" s="298" t="s">
        <v>167</v>
      </c>
      <c r="G4" s="203"/>
    </row>
    <row r="5" spans="2:7">
      <c r="B5" s="1218" t="s">
        <v>168</v>
      </c>
      <c r="C5" s="464" t="s">
        <v>35</v>
      </c>
      <c r="D5" s="465">
        <f>+'[3]SPV Balance by bank_1'!L8</f>
        <v>89723426</v>
      </c>
      <c r="E5" s="465">
        <f>+D5</f>
        <v>89723426</v>
      </c>
      <c r="F5" s="455"/>
    </row>
    <row r="6" spans="2:7">
      <c r="B6" s="1219"/>
      <c r="C6" s="464" t="s">
        <v>37</v>
      </c>
      <c r="D6" s="466">
        <f>+'[3]SPV Balance by bank_1'!L9</f>
        <v>299993.87</v>
      </c>
      <c r="E6" s="465">
        <f>+D6*$E$33</f>
        <v>440990988.89999998</v>
      </c>
    </row>
    <row r="7" spans="2:7" ht="13.5" customHeight="1">
      <c r="B7" s="1220"/>
      <c r="C7" s="467" t="s">
        <v>171</v>
      </c>
      <c r="D7" s="464"/>
      <c r="E7" s="468">
        <f>SUM(E5:E6)</f>
        <v>530714414.89999998</v>
      </c>
    </row>
    <row r="8" spans="2:7">
      <c r="B8" s="1218" t="s">
        <v>172</v>
      </c>
      <c r="C8" s="464" t="s">
        <v>35</v>
      </c>
      <c r="D8" s="465">
        <f>+'[3]SPV Balance by bank_1'!L11</f>
        <v>50567</v>
      </c>
      <c r="E8" s="465">
        <f>+D8</f>
        <v>50567</v>
      </c>
      <c r="F8" s="455"/>
    </row>
    <row r="9" spans="2:7">
      <c r="B9" s="1219"/>
      <c r="C9" s="464" t="s">
        <v>37</v>
      </c>
      <c r="D9" s="466">
        <f>+'[3]SPV Balance by bank_1'!L12</f>
        <v>0</v>
      </c>
      <c r="E9" s="465">
        <f>+D9*$E$33</f>
        <v>0</v>
      </c>
    </row>
    <row r="10" spans="2:7">
      <c r="B10" s="1220"/>
      <c r="C10" s="467" t="s">
        <v>171</v>
      </c>
      <c r="D10" s="464">
        <f>+'[3]SPV Balance by bank_1'!L13</f>
        <v>0</v>
      </c>
      <c r="E10" s="468">
        <f>SUM(E8:E9)</f>
        <v>50567</v>
      </c>
    </row>
    <row r="11" spans="2:7">
      <c r="B11" s="1218" t="s">
        <v>192</v>
      </c>
      <c r="C11" s="464" t="s">
        <v>35</v>
      </c>
      <c r="D11" s="465">
        <f>+'[3]SPV Balance by bank_1'!L14</f>
        <v>430382248</v>
      </c>
      <c r="E11" s="465">
        <f>+D11</f>
        <v>430382248</v>
      </c>
      <c r="F11" s="455"/>
    </row>
    <row r="12" spans="2:7">
      <c r="B12" s="1219"/>
      <c r="C12" s="464" t="s">
        <v>37</v>
      </c>
      <c r="D12" s="466">
        <f>+'[3]SPV Balance by bank_1'!L15</f>
        <v>256.20999999996275</v>
      </c>
      <c r="E12" s="465">
        <f>+D12*$E$33</f>
        <v>376628.69999994524</v>
      </c>
    </row>
    <row r="13" spans="2:7">
      <c r="B13" s="1220"/>
      <c r="C13" s="467" t="s">
        <v>171</v>
      </c>
      <c r="D13" s="464">
        <f>+'[3]SPV Balance by bank_1'!L16</f>
        <v>0</v>
      </c>
      <c r="E13" s="468">
        <f>SUM(E11:E12)</f>
        <v>430758876.69999993</v>
      </c>
    </row>
    <row r="14" spans="2:7">
      <c r="B14" s="1215" t="s">
        <v>197</v>
      </c>
      <c r="C14" s="209" t="s">
        <v>35</v>
      </c>
      <c r="D14" s="21">
        <f>+'[3]SPV Balance by bank_1'!L17</f>
        <v>609100</v>
      </c>
      <c r="E14" s="21">
        <f>+D14</f>
        <v>609100</v>
      </c>
    </row>
    <row r="15" spans="2:7">
      <c r="B15" s="1216"/>
      <c r="C15" s="209" t="s">
        <v>37</v>
      </c>
      <c r="D15" s="303">
        <f>+'[3]SPV Balance by bank_1'!L18</f>
        <v>0</v>
      </c>
      <c r="E15" s="21">
        <f>+D15*$E$33</f>
        <v>0</v>
      </c>
    </row>
    <row r="16" spans="2:7">
      <c r="B16" s="1217"/>
      <c r="C16" s="452" t="s">
        <v>171</v>
      </c>
      <c r="D16" s="453">
        <f>+'[3]SPV Balance by bank_1'!L19</f>
        <v>0</v>
      </c>
      <c r="E16" s="454">
        <f>SUM(E14:E15)</f>
        <v>609100</v>
      </c>
    </row>
    <row r="17" spans="2:6">
      <c r="B17" s="1215" t="s">
        <v>200</v>
      </c>
      <c r="C17" s="209" t="s">
        <v>35</v>
      </c>
      <c r="D17" s="21">
        <f>+'[3]SPV Balance by bank_1'!L20</f>
        <v>546600</v>
      </c>
      <c r="E17" s="21">
        <f>+D17</f>
        <v>546600</v>
      </c>
    </row>
    <row r="18" spans="2:6">
      <c r="B18" s="1216"/>
      <c r="C18" s="209" t="s">
        <v>37</v>
      </c>
      <c r="D18" s="303">
        <f>+'[3]SPV Balance by bank_1'!L21</f>
        <v>0</v>
      </c>
      <c r="E18" s="21">
        <f>+D18*$E$33</f>
        <v>0</v>
      </c>
    </row>
    <row r="19" spans="2:6">
      <c r="B19" s="1217"/>
      <c r="C19" s="452" t="s">
        <v>171</v>
      </c>
      <c r="D19" s="453">
        <f>+'[3]SPV Balance by bank_1'!L22</f>
        <v>0</v>
      </c>
      <c r="E19" s="454">
        <f>SUM(E17:E18)</f>
        <v>546600</v>
      </c>
    </row>
    <row r="20" spans="2:6">
      <c r="B20" s="1218" t="s">
        <v>193</v>
      </c>
      <c r="C20" s="464" t="s">
        <v>35</v>
      </c>
      <c r="D20" s="465">
        <v>51238411</v>
      </c>
      <c r="E20" s="465">
        <f>+D20</f>
        <v>51238411</v>
      </c>
    </row>
    <row r="21" spans="2:6">
      <c r="B21" s="1219"/>
      <c r="C21" s="464" t="s">
        <v>37</v>
      </c>
      <c r="D21" s="466">
        <f>+'[3]SPV Balance by bank_1'!L24</f>
        <v>0</v>
      </c>
      <c r="E21" s="465">
        <f>+D21*$E$33</f>
        <v>0</v>
      </c>
    </row>
    <row r="22" spans="2:6">
      <c r="B22" s="1220"/>
      <c r="C22" s="467" t="s">
        <v>171</v>
      </c>
      <c r="D22" s="464">
        <f>+'[3]SPV Balance by bank_1'!L25</f>
        <v>0</v>
      </c>
      <c r="E22" s="468">
        <f>SUM(E20:E21)</f>
        <v>51238411</v>
      </c>
    </row>
    <row r="23" spans="2:6">
      <c r="B23" s="1218" t="s">
        <v>194</v>
      </c>
      <c r="C23" s="464" t="s">
        <v>35</v>
      </c>
      <c r="D23" s="465">
        <f>+'[3]SPV Balance by bank_1'!L26</f>
        <v>383728499</v>
      </c>
      <c r="E23" s="465">
        <f>+D23</f>
        <v>383728499</v>
      </c>
      <c r="F23" s="455"/>
    </row>
    <row r="24" spans="2:6">
      <c r="B24" s="1219"/>
      <c r="C24" s="464" t="s">
        <v>37</v>
      </c>
      <c r="D24" s="466">
        <f>+'[3]SPV Balance by bank_1'!L27</f>
        <v>52.049999999988358</v>
      </c>
      <c r="E24" s="465">
        <f>+D24*$E$33</f>
        <v>76513.499999982887</v>
      </c>
    </row>
    <row r="25" spans="2:6">
      <c r="B25" s="1220"/>
      <c r="C25" s="467" t="s">
        <v>171</v>
      </c>
      <c r="D25" s="464">
        <f>+'[3]SPV Balance by bank_1'!L28</f>
        <v>0</v>
      </c>
      <c r="E25" s="468">
        <f>SUM(E23:E24)</f>
        <v>383805012.5</v>
      </c>
    </row>
    <row r="26" spans="2:6">
      <c r="B26" s="1215" t="s">
        <v>203</v>
      </c>
      <c r="C26" s="209" t="s">
        <v>35</v>
      </c>
      <c r="D26" s="21">
        <f>+'[3]SPV Balance by bank_1'!L29</f>
        <v>546600</v>
      </c>
      <c r="E26" s="21">
        <f>+D26</f>
        <v>546600</v>
      </c>
    </row>
    <row r="27" spans="2:6">
      <c r="B27" s="1216"/>
      <c r="C27" s="209" t="s">
        <v>37</v>
      </c>
      <c r="D27" s="303">
        <f>+'[3]SPV Balance by bank_1'!L30</f>
        <v>0</v>
      </c>
      <c r="E27" s="21">
        <f>+D27*$E$33</f>
        <v>0</v>
      </c>
    </row>
    <row r="28" spans="2:6">
      <c r="B28" s="1217"/>
      <c r="C28" s="452" t="s">
        <v>171</v>
      </c>
      <c r="D28" s="453"/>
      <c r="E28" s="454">
        <f>SUM(E26:E27)</f>
        <v>546600</v>
      </c>
    </row>
    <row r="29" spans="2:6">
      <c r="B29" s="1221" t="s">
        <v>236</v>
      </c>
      <c r="C29" s="469" t="s">
        <v>35</v>
      </c>
      <c r="D29" s="470">
        <f>+D8+D11+D20+D23+D5</f>
        <v>955123151</v>
      </c>
      <c r="E29" s="470">
        <f>+E8+E11+E20+E23+E5</f>
        <v>955123151</v>
      </c>
    </row>
    <row r="30" spans="2:6">
      <c r="B30" s="1222"/>
      <c r="C30" s="469" t="s">
        <v>37</v>
      </c>
      <c r="D30" s="471">
        <f>+D9+D12+D21+D24+D6</f>
        <v>300302.12999999995</v>
      </c>
      <c r="E30" s="470">
        <f>+D30*$E$33</f>
        <v>441444131.0999999</v>
      </c>
    </row>
    <row r="31" spans="2:6">
      <c r="B31" s="1223"/>
      <c r="C31" s="472" t="s">
        <v>171</v>
      </c>
      <c r="D31" s="469"/>
      <c r="E31" s="470">
        <f>SUM(E29:E30)</f>
        <v>1396567282.0999999</v>
      </c>
    </row>
    <row r="32" spans="2:6">
      <c r="D32" s="204"/>
    </row>
    <row r="33" spans="2:5" ht="13.5">
      <c r="D33" s="379" t="s">
        <v>184</v>
      </c>
      <c r="E33" s="301">
        <v>1470</v>
      </c>
    </row>
    <row r="34" spans="2:5" hidden="1"/>
    <row r="35" spans="2:5" hidden="1">
      <c r="B35" s="201" t="s">
        <v>163</v>
      </c>
    </row>
    <row r="36" spans="2:5" hidden="1">
      <c r="E36" s="205" t="s">
        <v>237</v>
      </c>
    </row>
    <row r="37" spans="2:5" hidden="1">
      <c r="B37" s="298" t="s">
        <v>165</v>
      </c>
      <c r="C37" s="298" t="s">
        <v>30</v>
      </c>
      <c r="D37" s="298" t="s">
        <v>238</v>
      </c>
      <c r="E37" s="298" t="s">
        <v>167</v>
      </c>
    </row>
    <row r="38" spans="2:5" hidden="1">
      <c r="B38" s="1215" t="s">
        <v>168</v>
      </c>
      <c r="C38" s="209" t="s">
        <v>35</v>
      </c>
      <c r="D38" s="21">
        <v>5601</v>
      </c>
      <c r="E38" s="21">
        <f>+D38</f>
        <v>5601</v>
      </c>
    </row>
    <row r="39" spans="2:5" hidden="1">
      <c r="B39" s="1216"/>
      <c r="C39" s="209" t="s">
        <v>37</v>
      </c>
      <c r="D39" s="303">
        <v>0</v>
      </c>
      <c r="E39" s="21">
        <f>+D39*$E$33</f>
        <v>0</v>
      </c>
    </row>
    <row r="40" spans="2:5" hidden="1">
      <c r="B40" s="1217"/>
      <c r="C40" s="377" t="s">
        <v>171</v>
      </c>
      <c r="D40" s="209"/>
      <c r="E40" s="32">
        <f>SUM(E38:E39)</f>
        <v>5601</v>
      </c>
    </row>
    <row r="41" spans="2:5" hidden="1">
      <c r="B41" s="1215" t="s">
        <v>172</v>
      </c>
      <c r="C41" s="209" t="s">
        <v>35</v>
      </c>
      <c r="D41" s="21" t="e">
        <f>9962374+#REF!</f>
        <v>#REF!</v>
      </c>
      <c r="E41" s="21" t="e">
        <f>+D41</f>
        <v>#REF!</v>
      </c>
    </row>
    <row r="42" spans="2:5" hidden="1">
      <c r="B42" s="1216"/>
      <c r="C42" s="209" t="s">
        <v>37</v>
      </c>
      <c r="D42" s="303">
        <v>89.65</v>
      </c>
      <c r="E42" s="21">
        <f>+D42*$E$33</f>
        <v>131785.5</v>
      </c>
    </row>
    <row r="43" spans="2:5" hidden="1">
      <c r="B43" s="1217"/>
      <c r="C43" s="377" t="s">
        <v>171</v>
      </c>
      <c r="D43" s="209"/>
      <c r="E43" s="32" t="e">
        <f>SUM(E41:E42)</f>
        <v>#REF!</v>
      </c>
    </row>
    <row r="44" spans="2:5" hidden="1">
      <c r="B44" s="1215" t="s">
        <v>192</v>
      </c>
      <c r="C44" s="209" t="s">
        <v>35</v>
      </c>
      <c r="D44" s="21" t="e">
        <f>328296791+#REF!+#REF!</f>
        <v>#REF!</v>
      </c>
      <c r="E44" s="21" t="e">
        <f>+D44</f>
        <v>#REF!</v>
      </c>
    </row>
    <row r="45" spans="2:5" hidden="1">
      <c r="B45" s="1216"/>
      <c r="C45" s="209" t="s">
        <v>37</v>
      </c>
      <c r="D45" s="303">
        <v>224.33</v>
      </c>
      <c r="E45" s="21">
        <f>+D45*$E$33</f>
        <v>329765.10000000003</v>
      </c>
    </row>
    <row r="46" spans="2:5" hidden="1">
      <c r="B46" s="1217"/>
      <c r="C46" s="377" t="s">
        <v>171</v>
      </c>
      <c r="D46" s="209"/>
      <c r="E46" s="32" t="e">
        <f>SUM(E44:E45)</f>
        <v>#REF!</v>
      </c>
    </row>
    <row r="47" spans="2:5" hidden="1">
      <c r="B47" s="1215" t="s">
        <v>193</v>
      </c>
      <c r="C47" s="209" t="s">
        <v>35</v>
      </c>
      <c r="D47" s="21">
        <v>52558824</v>
      </c>
      <c r="E47" s="21">
        <f>+D47</f>
        <v>52558824</v>
      </c>
    </row>
    <row r="48" spans="2:5" hidden="1">
      <c r="B48" s="1216"/>
      <c r="C48" s="209" t="s">
        <v>37</v>
      </c>
      <c r="D48" s="303">
        <v>0</v>
      </c>
      <c r="E48" s="21">
        <f>+D48*$E$33</f>
        <v>0</v>
      </c>
    </row>
    <row r="49" spans="2:5" hidden="1">
      <c r="B49" s="1217"/>
      <c r="C49" s="377" t="s">
        <v>171</v>
      </c>
      <c r="D49" s="209"/>
      <c r="E49" s="32">
        <f>SUM(E47:E48)</f>
        <v>52558824</v>
      </c>
    </row>
    <row r="50" spans="2:5" hidden="1">
      <c r="B50" s="1215" t="s">
        <v>194</v>
      </c>
      <c r="C50" s="209" t="s">
        <v>35</v>
      </c>
      <c r="D50" s="21" t="e">
        <f>107503025+#REF!</f>
        <v>#REF!</v>
      </c>
      <c r="E50" s="21" t="e">
        <f>+D50</f>
        <v>#REF!</v>
      </c>
    </row>
    <row r="51" spans="2:5" hidden="1">
      <c r="B51" s="1216"/>
      <c r="C51" s="209" t="s">
        <v>37</v>
      </c>
      <c r="D51" s="303">
        <v>45.69</v>
      </c>
      <c r="E51" s="21">
        <f>+D51*$E$33</f>
        <v>67164.3</v>
      </c>
    </row>
    <row r="52" spans="2:5" hidden="1">
      <c r="B52" s="1217"/>
      <c r="C52" s="377" t="s">
        <v>171</v>
      </c>
      <c r="D52" s="209"/>
      <c r="E52" s="32" t="e">
        <f>SUM(E50:E51)</f>
        <v>#REF!</v>
      </c>
    </row>
    <row r="53" spans="2:5" hidden="1">
      <c r="B53" s="1212" t="s">
        <v>17</v>
      </c>
      <c r="C53" s="214" t="s">
        <v>35</v>
      </c>
      <c r="D53" s="32" t="e">
        <f>+D41+D44+D47+D50+D38</f>
        <v>#REF!</v>
      </c>
      <c r="E53" s="32" t="e">
        <f>+E41+E44+E47+E50+E38</f>
        <v>#REF!</v>
      </c>
    </row>
    <row r="54" spans="2:5" hidden="1">
      <c r="B54" s="1213"/>
      <c r="C54" s="214" t="s">
        <v>37</v>
      </c>
      <c r="D54" s="304">
        <f>+D42+D45+D48+D51+D39</f>
        <v>359.67</v>
      </c>
      <c r="E54" s="32">
        <f>+D54*$E$33</f>
        <v>528714.9</v>
      </c>
    </row>
    <row r="55" spans="2:5" hidden="1">
      <c r="B55" s="1214"/>
      <c r="C55" s="378" t="s">
        <v>171</v>
      </c>
      <c r="D55" s="214"/>
      <c r="E55" s="32" t="e">
        <f>SUM(E53:E54)</f>
        <v>#REF!</v>
      </c>
    </row>
    <row r="56" spans="2:5" hidden="1">
      <c r="D56" s="204"/>
    </row>
    <row r="57" spans="2:5" ht="13.5" hidden="1">
      <c r="D57" s="379" t="s">
        <v>184</v>
      </c>
      <c r="E57" s="301">
        <v>1470</v>
      </c>
    </row>
  </sheetData>
  <mergeCells count="15">
    <mergeCell ref="B5:B7"/>
    <mergeCell ref="B8:B10"/>
    <mergeCell ref="B11:B13"/>
    <mergeCell ref="B23:B25"/>
    <mergeCell ref="B29:B31"/>
    <mergeCell ref="B20:B22"/>
    <mergeCell ref="B14:B16"/>
    <mergeCell ref="B17:B19"/>
    <mergeCell ref="B26:B28"/>
    <mergeCell ref="B53:B55"/>
    <mergeCell ref="B38:B40"/>
    <mergeCell ref="B41:B43"/>
    <mergeCell ref="B44:B46"/>
    <mergeCell ref="B47:B49"/>
    <mergeCell ref="B50:B52"/>
  </mergeCells>
  <phoneticPr fontId="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0433B-C713-429C-956D-5C8EC02089F5}">
  <dimension ref="B2:R30"/>
  <sheetViews>
    <sheetView showGridLines="0" workbookViewId="0">
      <selection activeCell="D29" sqref="D29"/>
    </sheetView>
  </sheetViews>
  <sheetFormatPr defaultColWidth="9.140625" defaultRowHeight="12.75"/>
  <cols>
    <col min="1" max="1" width="1.7109375" style="203" customWidth="1"/>
    <col min="2" max="2" width="23.5703125" style="203" bestFit="1" customWidth="1"/>
    <col min="3" max="3" width="16.42578125" style="202" customWidth="1"/>
    <col min="4" max="5" width="16.42578125" style="203" customWidth="1"/>
    <col min="6" max="6" width="1.7109375" style="203" customWidth="1"/>
    <col min="7" max="7" width="23.5703125" style="203" bestFit="1" customWidth="1"/>
    <col min="8" max="18" width="13.28515625" style="203" customWidth="1"/>
    <col min="19" max="16384" width="9.140625" style="203"/>
  </cols>
  <sheetData>
    <row r="2" spans="2:18">
      <c r="B2" s="201" t="s">
        <v>163</v>
      </c>
    </row>
    <row r="3" spans="2:18">
      <c r="E3" s="205" t="s">
        <v>239</v>
      </c>
      <c r="G3" s="203" t="s">
        <v>185</v>
      </c>
      <c r="R3" s="205" t="s">
        <v>239</v>
      </c>
    </row>
    <row r="4" spans="2:18" ht="13.5">
      <c r="B4" s="206" t="s">
        <v>165</v>
      </c>
      <c r="C4" s="206" t="s">
        <v>30</v>
      </c>
      <c r="D4" s="206" t="e">
        <f>+자금현황!#REF!</f>
        <v>#REF!</v>
      </c>
      <c r="E4" s="206" t="s">
        <v>167</v>
      </c>
      <c r="G4" s="1226" t="s">
        <v>165</v>
      </c>
      <c r="H4" s="1228" t="s">
        <v>71</v>
      </c>
      <c r="I4" s="1229"/>
      <c r="J4" s="1183" t="s">
        <v>70</v>
      </c>
      <c r="K4" s="1184"/>
      <c r="L4" s="1183" t="s">
        <v>70</v>
      </c>
      <c r="M4" s="1184"/>
      <c r="N4" s="1183" t="s">
        <v>186</v>
      </c>
      <c r="O4" s="1184"/>
      <c r="P4" s="1183" t="s">
        <v>70</v>
      </c>
      <c r="Q4" s="1184"/>
      <c r="R4" s="1224" t="s">
        <v>187</v>
      </c>
    </row>
    <row r="5" spans="2:18" ht="13.5">
      <c r="B5" s="1182" t="s">
        <v>168</v>
      </c>
      <c r="C5" s="209" t="s">
        <v>35</v>
      </c>
      <c r="D5" s="21" t="e">
        <f>+자금현황!#REF!</f>
        <v>#REF!</v>
      </c>
      <c r="E5" s="21" t="e">
        <f>+D5</f>
        <v>#REF!</v>
      </c>
      <c r="G5" s="1227"/>
      <c r="H5" s="208" t="s">
        <v>188</v>
      </c>
      <c r="I5" s="207" t="s">
        <v>187</v>
      </c>
      <c r="J5" s="208" t="s">
        <v>188</v>
      </c>
      <c r="K5" s="207" t="s">
        <v>187</v>
      </c>
      <c r="L5" s="208" t="s">
        <v>188</v>
      </c>
      <c r="M5" s="207" t="s">
        <v>187</v>
      </c>
      <c r="N5" s="208" t="s">
        <v>188</v>
      </c>
      <c r="O5" s="207" t="s">
        <v>187</v>
      </c>
      <c r="P5" s="208" t="s">
        <v>188</v>
      </c>
      <c r="Q5" s="207" t="s">
        <v>187</v>
      </c>
      <c r="R5" s="1225"/>
    </row>
    <row r="6" spans="2:18">
      <c r="B6" s="1182"/>
      <c r="C6" s="209" t="s">
        <v>37</v>
      </c>
      <c r="D6" s="303" t="e">
        <f>+자금현황!#REF!</f>
        <v>#REF!</v>
      </c>
      <c r="E6" s="21" t="e">
        <f>+D6*$E$24</f>
        <v>#REF!</v>
      </c>
      <c r="G6" s="209" t="s">
        <v>168</v>
      </c>
      <c r="H6" s="209"/>
      <c r="I6" s="210"/>
      <c r="J6" s="211"/>
      <c r="K6" s="210"/>
      <c r="L6" s="211"/>
      <c r="M6" s="210"/>
      <c r="N6" s="209"/>
      <c r="O6" s="210"/>
      <c r="P6" s="209"/>
      <c r="Q6" s="210"/>
      <c r="R6" s="210">
        <f>+I6-K6-M6</f>
        <v>0</v>
      </c>
    </row>
    <row r="7" spans="2:18" ht="13.5" customHeight="1">
      <c r="B7" s="1182"/>
      <c r="C7" s="1182" t="s">
        <v>171</v>
      </c>
      <c r="D7" s="1182"/>
      <c r="E7" s="21" t="e">
        <f>SUM(E5:E6)</f>
        <v>#REF!</v>
      </c>
      <c r="G7" s="209" t="s">
        <v>172</v>
      </c>
      <c r="H7" s="209" t="s">
        <v>189</v>
      </c>
      <c r="I7" s="210">
        <v>531274.11</v>
      </c>
      <c r="J7" s="211" t="s">
        <v>189</v>
      </c>
      <c r="K7" s="210">
        <v>331274.11</v>
      </c>
      <c r="L7" s="211"/>
      <c r="M7" s="210"/>
      <c r="N7" s="209" t="s">
        <v>190</v>
      </c>
      <c r="O7" s="210">
        <v>89.65</v>
      </c>
      <c r="P7" s="209" t="s">
        <v>191</v>
      </c>
      <c r="Q7" s="210">
        <v>200000</v>
      </c>
      <c r="R7" s="210">
        <f>+I7-K7-M7+O7-Q7</f>
        <v>89.649999999994179</v>
      </c>
    </row>
    <row r="8" spans="2:18">
      <c r="B8" s="1182" t="s">
        <v>172</v>
      </c>
      <c r="C8" s="209" t="s">
        <v>35</v>
      </c>
      <c r="D8" s="21" t="e">
        <f>+자금현황!#REF!</f>
        <v>#REF!</v>
      </c>
      <c r="E8" s="21" t="e">
        <f>+D8</f>
        <v>#REF!</v>
      </c>
      <c r="G8" s="209" t="s">
        <v>192</v>
      </c>
      <c r="H8" s="209" t="s">
        <v>189</v>
      </c>
      <c r="I8" s="210">
        <v>943660.44</v>
      </c>
      <c r="J8" s="211" t="s">
        <v>189</v>
      </c>
      <c r="K8" s="210">
        <v>443660.44</v>
      </c>
      <c r="L8" s="211"/>
      <c r="M8" s="210"/>
      <c r="N8" s="209" t="s">
        <v>190</v>
      </c>
      <c r="O8" s="210">
        <v>224.33</v>
      </c>
      <c r="P8" s="209" t="s">
        <v>191</v>
      </c>
      <c r="Q8" s="210">
        <v>500000</v>
      </c>
      <c r="R8" s="210">
        <f t="shared" ref="R8:R10" si="0">+I8-K8-M8+O8-Q8</f>
        <v>224.32999999995809</v>
      </c>
    </row>
    <row r="9" spans="2:18">
      <c r="B9" s="1182"/>
      <c r="C9" s="209" t="s">
        <v>37</v>
      </c>
      <c r="D9" s="303" t="e">
        <f>+자금현황!#REF!</f>
        <v>#REF!</v>
      </c>
      <c r="E9" s="21" t="e">
        <f>+D9*$E$24</f>
        <v>#REF!</v>
      </c>
      <c r="G9" s="209" t="s">
        <v>193</v>
      </c>
      <c r="H9" s="209" t="s">
        <v>189</v>
      </c>
      <c r="I9" s="210">
        <v>64739.86</v>
      </c>
      <c r="J9" s="211" t="s">
        <v>189</v>
      </c>
      <c r="K9" s="210">
        <v>64739.86</v>
      </c>
      <c r="L9" s="211"/>
      <c r="M9" s="210"/>
      <c r="N9" s="209"/>
      <c r="O9" s="210"/>
      <c r="P9" s="209"/>
      <c r="Q9" s="210"/>
      <c r="R9" s="210">
        <f t="shared" si="0"/>
        <v>0</v>
      </c>
    </row>
    <row r="10" spans="2:18">
      <c r="B10" s="1182"/>
      <c r="C10" s="1182" t="s">
        <v>171</v>
      </c>
      <c r="D10" s="1182"/>
      <c r="E10" s="21" t="e">
        <f>SUM(E8:E9)</f>
        <v>#REF!</v>
      </c>
      <c r="G10" s="209" t="s">
        <v>194</v>
      </c>
      <c r="H10" s="209" t="s">
        <v>189</v>
      </c>
      <c r="I10" s="210">
        <v>436311.63</v>
      </c>
      <c r="J10" s="211" t="s">
        <v>189</v>
      </c>
      <c r="K10" s="210">
        <v>236311.63</v>
      </c>
      <c r="L10" s="211" t="s">
        <v>195</v>
      </c>
      <c r="M10" s="210">
        <v>100000</v>
      </c>
      <c r="N10" s="209" t="s">
        <v>190</v>
      </c>
      <c r="O10" s="210">
        <v>55.69</v>
      </c>
      <c r="P10" s="209" t="s">
        <v>191</v>
      </c>
      <c r="Q10" s="210">
        <f>100000+10</f>
        <v>100010</v>
      </c>
      <c r="R10" s="210">
        <f t="shared" si="0"/>
        <v>45.690000000002328</v>
      </c>
    </row>
    <row r="11" spans="2:18">
      <c r="B11" s="1182" t="s">
        <v>192</v>
      </c>
      <c r="C11" s="209" t="s">
        <v>35</v>
      </c>
      <c r="D11" s="21" t="e">
        <f>+자금현황!#REF!</f>
        <v>#REF!</v>
      </c>
      <c r="E11" s="21" t="e">
        <f>+D11</f>
        <v>#REF!</v>
      </c>
      <c r="G11" s="209" t="s">
        <v>17</v>
      </c>
      <c r="H11" s="209"/>
      <c r="I11" s="210">
        <f>SUM(I6:I10)</f>
        <v>1975986.04</v>
      </c>
      <c r="J11" s="211"/>
      <c r="K11" s="210">
        <f>SUM(K6:K10)</f>
        <v>1075986.04</v>
      </c>
      <c r="L11" s="211"/>
      <c r="M11" s="210">
        <f>SUM(M6:M10)</f>
        <v>100000</v>
      </c>
      <c r="N11" s="211"/>
      <c r="O11" s="210">
        <f>SUM(O6:O10)</f>
        <v>369.67</v>
      </c>
      <c r="P11" s="210"/>
      <c r="Q11" s="210">
        <f>SUM(Q6:Q10)</f>
        <v>800010</v>
      </c>
      <c r="R11" s="210">
        <f>SUM(R6:R10)</f>
        <v>359.6699999999546</v>
      </c>
    </row>
    <row r="12" spans="2:18">
      <c r="B12" s="1182"/>
      <c r="C12" s="209" t="s">
        <v>37</v>
      </c>
      <c r="D12" s="303" t="e">
        <f>+자금현황!#REF!</f>
        <v>#REF!</v>
      </c>
      <c r="E12" s="21" t="e">
        <f>+D12*$E$24</f>
        <v>#REF!</v>
      </c>
      <c r="G12" s="212"/>
      <c r="H12" s="212"/>
      <c r="I12" s="213"/>
      <c r="J12" s="213"/>
      <c r="K12" s="212"/>
    </row>
    <row r="13" spans="2:18">
      <c r="B13" s="1182"/>
      <c r="C13" s="1182" t="s">
        <v>171</v>
      </c>
      <c r="D13" s="1182"/>
      <c r="E13" s="21" t="e">
        <f>SUM(E11:E12)</f>
        <v>#REF!</v>
      </c>
      <c r="G13" s="212" t="s">
        <v>240</v>
      </c>
      <c r="H13" s="212"/>
    </row>
    <row r="14" spans="2:18" ht="13.5">
      <c r="B14" s="1182" t="s">
        <v>193</v>
      </c>
      <c r="C14" s="209" t="s">
        <v>35</v>
      </c>
      <c r="D14" s="21" t="e">
        <f>+자금현황!#REF!</f>
        <v>#REF!</v>
      </c>
      <c r="E14" s="21" t="e">
        <f>+D14</f>
        <v>#REF!</v>
      </c>
      <c r="G14" s="1226" t="s">
        <v>165</v>
      </c>
      <c r="H14" s="1228" t="s">
        <v>241</v>
      </c>
      <c r="I14" s="1229"/>
      <c r="J14" s="1228" t="s">
        <v>242</v>
      </c>
      <c r="K14" s="1229"/>
      <c r="L14" s="1228" t="s">
        <v>243</v>
      </c>
      <c r="M14" s="1229"/>
      <c r="N14" s="1228" t="s">
        <v>244</v>
      </c>
      <c r="O14" s="1229"/>
      <c r="P14" s="1224" t="s">
        <v>245</v>
      </c>
    </row>
    <row r="15" spans="2:18" ht="13.5">
      <c r="B15" s="1182"/>
      <c r="C15" s="209" t="s">
        <v>37</v>
      </c>
      <c r="D15" s="303">
        <v>0</v>
      </c>
      <c r="E15" s="21">
        <f>+D15*$E$24</f>
        <v>0</v>
      </c>
      <c r="G15" s="1227"/>
      <c r="H15" s="208" t="s">
        <v>188</v>
      </c>
      <c r="I15" s="207" t="s">
        <v>187</v>
      </c>
      <c r="J15" s="208" t="s">
        <v>188</v>
      </c>
      <c r="K15" s="207" t="s">
        <v>187</v>
      </c>
      <c r="L15" s="208" t="s">
        <v>188</v>
      </c>
      <c r="M15" s="207" t="s">
        <v>187</v>
      </c>
      <c r="N15" s="208" t="s">
        <v>188</v>
      </c>
      <c r="O15" s="207" t="s">
        <v>187</v>
      </c>
      <c r="P15" s="1225"/>
    </row>
    <row r="16" spans="2:18">
      <c r="B16" s="1182"/>
      <c r="C16" s="1182" t="s">
        <v>171</v>
      </c>
      <c r="D16" s="1182"/>
      <c r="E16" s="21" t="e">
        <f>SUM(E14:E15)</f>
        <v>#REF!</v>
      </c>
      <c r="G16" s="209" t="s">
        <v>168</v>
      </c>
      <c r="H16" s="209"/>
      <c r="I16" s="210"/>
      <c r="J16" s="209"/>
      <c r="K16" s="210"/>
      <c r="L16" s="209"/>
      <c r="M16" s="210"/>
      <c r="N16" s="209"/>
      <c r="O16" s="210"/>
      <c r="P16" s="210">
        <f>I16+K16+M16+O16</f>
        <v>0</v>
      </c>
    </row>
    <row r="17" spans="2:16">
      <c r="B17" s="1182" t="s">
        <v>194</v>
      </c>
      <c r="C17" s="209" t="s">
        <v>35</v>
      </c>
      <c r="D17" s="21" t="e">
        <f>+자금현황!#REF!</f>
        <v>#REF!</v>
      </c>
      <c r="E17" s="21" t="e">
        <f>+D17</f>
        <v>#REF!</v>
      </c>
      <c r="G17" s="209" t="s">
        <v>172</v>
      </c>
      <c r="H17" s="209" t="s">
        <v>189</v>
      </c>
      <c r="I17" s="210">
        <v>531274.11</v>
      </c>
      <c r="J17" s="209" t="s">
        <v>246</v>
      </c>
      <c r="K17" s="210" t="e">
        <f>'Amount to be paid in 2025(이전)'!G13-'Amount to be paid in 2025(이전)'!K13</f>
        <v>#REF!</v>
      </c>
      <c r="L17" s="209" t="s">
        <v>247</v>
      </c>
      <c r="M17" s="210">
        <f>'Amount to be paid in 2025(이전)'!P13</f>
        <v>128127.55102040817</v>
      </c>
      <c r="N17" s="209" t="s">
        <v>248</v>
      </c>
      <c r="O17" s="210" t="e">
        <f>'Amount to be paid in 2025(이전)'!V13</f>
        <v>#REF!</v>
      </c>
      <c r="P17" s="210" t="e">
        <f>I17+K17+M17+O17</f>
        <v>#REF!</v>
      </c>
    </row>
    <row r="18" spans="2:16">
      <c r="B18" s="1182"/>
      <c r="C18" s="209" t="s">
        <v>37</v>
      </c>
      <c r="D18" s="303" t="e">
        <f>+자금현황!#REF!</f>
        <v>#REF!</v>
      </c>
      <c r="E18" s="21" t="e">
        <f>+D18*$E$24</f>
        <v>#REF!</v>
      </c>
      <c r="G18" s="209" t="s">
        <v>192</v>
      </c>
      <c r="H18" s="209" t="s">
        <v>189</v>
      </c>
      <c r="I18" s="210">
        <v>943660.44</v>
      </c>
      <c r="J18" s="209" t="s">
        <v>246</v>
      </c>
      <c r="K18" s="210" t="e">
        <f>'Amount to be paid in 2025(이전)'!G30-'Amount to be paid in 2025(이전)'!K30</f>
        <v>#REF!</v>
      </c>
      <c r="L18" s="209" t="s">
        <v>247</v>
      </c>
      <c r="M18" s="210">
        <f>'Amount to be paid in 2025(이전)'!P30</f>
        <v>2330695.3401360544</v>
      </c>
      <c r="N18" s="209" t="s">
        <v>248</v>
      </c>
      <c r="O18" s="210">
        <f>'Amount to be paid in 2025(이전)'!V30</f>
        <v>458417.32993197278</v>
      </c>
      <c r="P18" s="210" t="e">
        <f>I18+K18+M18+O18</f>
        <v>#REF!</v>
      </c>
    </row>
    <row r="19" spans="2:16">
      <c r="B19" s="1182"/>
      <c r="C19" s="1182" t="s">
        <v>171</v>
      </c>
      <c r="D19" s="1182"/>
      <c r="E19" s="21" t="e">
        <f>SUM(E17:E18)</f>
        <v>#REF!</v>
      </c>
      <c r="G19" s="209" t="s">
        <v>193</v>
      </c>
      <c r="H19" s="209" t="s">
        <v>189</v>
      </c>
      <c r="I19" s="210">
        <v>64739.86</v>
      </c>
      <c r="J19" s="209" t="s">
        <v>246</v>
      </c>
      <c r="K19" s="210" t="e">
        <f>'Amount to be paid in 2025(이전)'!G35-'Amount to be paid in 2025(이전)'!K35</f>
        <v>#REF!</v>
      </c>
      <c r="L19" s="209" t="s">
        <v>247</v>
      </c>
      <c r="M19" s="210"/>
      <c r="N19" s="209" t="s">
        <v>248</v>
      </c>
      <c r="O19" s="210" t="e">
        <f>'Amount to be paid in 2025(이전)'!V35</f>
        <v>#REF!</v>
      </c>
      <c r="P19" s="210" t="e">
        <f>I19+K19+M19+O19</f>
        <v>#REF!</v>
      </c>
    </row>
    <row r="20" spans="2:16">
      <c r="B20" s="1186" t="s">
        <v>17</v>
      </c>
      <c r="C20" s="214" t="s">
        <v>35</v>
      </c>
      <c r="D20" s="32" t="e">
        <f>+D8+D11+D14+D17+D5</f>
        <v>#REF!</v>
      </c>
      <c r="E20" s="32" t="e">
        <f>+E8+E11+E14+E17+E5</f>
        <v>#REF!</v>
      </c>
      <c r="G20" s="209" t="s">
        <v>194</v>
      </c>
      <c r="H20" s="209" t="s">
        <v>189</v>
      </c>
      <c r="I20" s="210">
        <v>436311.63</v>
      </c>
      <c r="J20" s="209" t="s">
        <v>246</v>
      </c>
      <c r="K20" s="210" t="e">
        <f>'Amount to be paid in 2025(이전)'!G44-'Amount to be paid in 2025(이전)'!K44</f>
        <v>#REF!</v>
      </c>
      <c r="L20" s="209" t="s">
        <v>247</v>
      </c>
      <c r="M20" s="210"/>
      <c r="N20" s="209" t="s">
        <v>248</v>
      </c>
      <c r="O20" s="210">
        <f>'Amount to be paid in 2025(이전)'!V44</f>
        <v>60161.020408163262</v>
      </c>
      <c r="P20" s="210" t="e">
        <f>I20+K20+M20+O20</f>
        <v>#REF!</v>
      </c>
    </row>
    <row r="21" spans="2:16">
      <c r="B21" s="1186"/>
      <c r="C21" s="214" t="s">
        <v>37</v>
      </c>
      <c r="D21" s="304" t="e">
        <f>+D9+D12+D15+D18+D6</f>
        <v>#REF!</v>
      </c>
      <c r="E21" s="32" t="e">
        <f>+D21*$E$24</f>
        <v>#REF!</v>
      </c>
      <c r="G21" s="209" t="s">
        <v>17</v>
      </c>
      <c r="H21" s="209"/>
      <c r="I21" s="210">
        <f>SUM(I16:I20)</f>
        <v>1975986.04</v>
      </c>
      <c r="J21" s="209"/>
      <c r="K21" s="210" t="e">
        <f>SUM(K16:K20)</f>
        <v>#REF!</v>
      </c>
      <c r="L21" s="209"/>
      <c r="M21" s="210">
        <f>SUM(M16:M20)</f>
        <v>2458822.8911564625</v>
      </c>
      <c r="N21" s="209"/>
      <c r="O21" s="210" t="e">
        <f>SUM(O16:O20)</f>
        <v>#REF!</v>
      </c>
      <c r="P21" s="210" t="e">
        <f>SUM(P16:P20)</f>
        <v>#REF!</v>
      </c>
    </row>
    <row r="22" spans="2:16">
      <c r="B22" s="1186"/>
      <c r="C22" s="1186" t="s">
        <v>171</v>
      </c>
      <c r="D22" s="1186"/>
      <c r="E22" s="32" t="e">
        <f>SUM(E20:E21)</f>
        <v>#REF!</v>
      </c>
    </row>
    <row r="23" spans="2:16">
      <c r="D23" s="204"/>
    </row>
    <row r="24" spans="2:16" ht="13.5">
      <c r="D24" s="300" t="s">
        <v>184</v>
      </c>
      <c r="E24" s="301">
        <v>1470</v>
      </c>
    </row>
    <row r="25" spans="2:16">
      <c r="D25" s="204"/>
    </row>
    <row r="26" spans="2:16">
      <c r="D26" s="204"/>
      <c r="E26" s="204"/>
    </row>
    <row r="27" spans="2:16">
      <c r="D27" s="204"/>
      <c r="E27" s="204"/>
    </row>
    <row r="28" spans="2:16">
      <c r="D28" s="204"/>
    </row>
    <row r="29" spans="2:16">
      <c r="D29" s="204"/>
    </row>
    <row r="30" spans="2:16">
      <c r="D30" s="204"/>
    </row>
  </sheetData>
  <mergeCells count="25">
    <mergeCell ref="R4:R5"/>
    <mergeCell ref="H4:I4"/>
    <mergeCell ref="L4:M4"/>
    <mergeCell ref="G4:G5"/>
    <mergeCell ref="B5:B7"/>
    <mergeCell ref="C7:D7"/>
    <mergeCell ref="B20:B22"/>
    <mergeCell ref="C22:D22"/>
    <mergeCell ref="B11:B13"/>
    <mergeCell ref="C13:D13"/>
    <mergeCell ref="B14:B16"/>
    <mergeCell ref="C16:D16"/>
    <mergeCell ref="B17:B19"/>
    <mergeCell ref="C19:D19"/>
    <mergeCell ref="B8:B10"/>
    <mergeCell ref="C10:D10"/>
    <mergeCell ref="P14:P15"/>
    <mergeCell ref="J4:K4"/>
    <mergeCell ref="G14:G15"/>
    <mergeCell ref="H14:I14"/>
    <mergeCell ref="J14:K14"/>
    <mergeCell ref="L14:M14"/>
    <mergeCell ref="N4:O4"/>
    <mergeCell ref="P4:Q4"/>
    <mergeCell ref="N14:O14"/>
  </mergeCells>
  <phoneticPr fontId="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40932-AE0A-4CF2-A280-5AEB7B8CBA6F}">
  <sheetPr>
    <tabColor rgb="FFFFFF00"/>
  </sheetPr>
  <dimension ref="B1:AH22"/>
  <sheetViews>
    <sheetView showGridLines="0" zoomScale="85" zoomScaleNormal="85" workbookViewId="0">
      <pane xSplit="2" ySplit="5" topLeftCell="C6" activePane="bottomRight" state="frozen"/>
      <selection pane="topRight" activeCell="I7" sqref="I7"/>
      <selection pane="bottomLeft" activeCell="I7" sqref="I7"/>
      <selection pane="bottomRight" activeCell="B9" sqref="B9"/>
    </sheetView>
  </sheetViews>
  <sheetFormatPr defaultRowHeight="12.75"/>
  <cols>
    <col min="1" max="1" width="1.7109375" customWidth="1"/>
    <col min="2" max="2" width="23.5703125" bestFit="1" customWidth="1"/>
    <col min="4" max="4" width="15.7109375" bestFit="1" customWidth="1"/>
    <col min="5" max="5" width="15.7109375" customWidth="1"/>
    <col min="6" max="12" width="18.85546875" customWidth="1"/>
    <col min="13" max="13" width="1.7109375" customWidth="1"/>
    <col min="14" max="31" width="19.85546875" customWidth="1"/>
  </cols>
  <sheetData>
    <row r="1" spans="2:34" ht="20.25">
      <c r="B1" s="1237" t="s">
        <v>249</v>
      </c>
      <c r="C1" s="1237"/>
      <c r="D1" s="1237"/>
      <c r="E1" s="1237"/>
      <c r="F1" s="1237"/>
      <c r="G1" s="1237"/>
      <c r="H1" s="1237"/>
      <c r="I1" s="1237"/>
      <c r="J1" s="1237"/>
      <c r="K1" s="1237"/>
      <c r="L1" s="1237"/>
      <c r="M1" s="329"/>
      <c r="N1" s="329"/>
      <c r="O1" s="329"/>
      <c r="P1" s="329"/>
    </row>
    <row r="2" spans="2:34">
      <c r="K2" s="299" t="s">
        <v>30</v>
      </c>
      <c r="L2" s="210">
        <v>1470</v>
      </c>
      <c r="M2" s="212"/>
      <c r="N2" t="s">
        <v>250</v>
      </c>
      <c r="O2" s="212"/>
      <c r="P2" s="212"/>
    </row>
    <row r="3" spans="2:34" ht="13.5">
      <c r="B3" t="s">
        <v>251</v>
      </c>
      <c r="L3" s="26" t="s">
        <v>252</v>
      </c>
      <c r="M3" s="26"/>
      <c r="N3" s="26"/>
      <c r="O3" s="26"/>
      <c r="P3" s="26"/>
    </row>
    <row r="4" spans="2:34" ht="29.25" customHeight="1">
      <c r="B4" s="1226" t="s">
        <v>165</v>
      </c>
      <c r="C4" s="1226" t="s">
        <v>30</v>
      </c>
      <c r="D4" s="1241" t="s">
        <v>253</v>
      </c>
      <c r="E4" s="1233" t="s">
        <v>254</v>
      </c>
      <c r="F4" s="1243">
        <v>45838</v>
      </c>
      <c r="G4" s="1243">
        <v>45869</v>
      </c>
      <c r="H4" s="1243">
        <v>45900</v>
      </c>
      <c r="I4" s="1243">
        <v>45930</v>
      </c>
      <c r="J4" s="1235" t="s">
        <v>255</v>
      </c>
      <c r="K4" s="1241" t="s">
        <v>256</v>
      </c>
      <c r="L4" s="1241" t="s">
        <v>257</v>
      </c>
      <c r="M4" s="330"/>
      <c r="N4" s="1238" t="s">
        <v>254</v>
      </c>
      <c r="O4" s="1239"/>
      <c r="P4" s="1240"/>
      <c r="Q4" s="1230" t="s">
        <v>258</v>
      </c>
      <c r="R4" s="1231"/>
      <c r="S4" s="1232"/>
      <c r="T4" s="1230" t="s">
        <v>259</v>
      </c>
      <c r="U4" s="1231"/>
      <c r="V4" s="1232"/>
      <c r="W4" s="1230" t="s">
        <v>260</v>
      </c>
      <c r="X4" s="1231"/>
      <c r="Y4" s="1232"/>
      <c r="Z4" s="1230" t="s">
        <v>261</v>
      </c>
      <c r="AA4" s="1231"/>
      <c r="AB4" s="1232"/>
      <c r="AC4" s="1230" t="s">
        <v>262</v>
      </c>
      <c r="AD4" s="1231"/>
      <c r="AE4" s="1232"/>
    </row>
    <row r="5" spans="2:34" ht="29.25" customHeight="1">
      <c r="B5" s="1227"/>
      <c r="C5" s="1227"/>
      <c r="D5" s="1242"/>
      <c r="E5" s="1234"/>
      <c r="F5" s="1244"/>
      <c r="G5" s="1244"/>
      <c r="H5" s="1244"/>
      <c r="I5" s="1244"/>
      <c r="J5" s="1236"/>
      <c r="K5" s="1242"/>
      <c r="L5" s="1242"/>
      <c r="M5" s="330"/>
      <c r="N5" s="345" t="s">
        <v>263</v>
      </c>
      <c r="O5" s="298" t="s">
        <v>264</v>
      </c>
      <c r="P5" s="298" t="s">
        <v>265</v>
      </c>
      <c r="Q5" s="345" t="s">
        <v>263</v>
      </c>
      <c r="R5" s="298" t="s">
        <v>264</v>
      </c>
      <c r="S5" s="298" t="s">
        <v>265</v>
      </c>
      <c r="T5" s="345" t="s">
        <v>263</v>
      </c>
      <c r="U5" s="298" t="s">
        <v>264</v>
      </c>
      <c r="V5" s="298" t="s">
        <v>265</v>
      </c>
      <c r="W5" s="345" t="s">
        <v>263</v>
      </c>
      <c r="X5" s="298" t="s">
        <v>264</v>
      </c>
      <c r="Y5" s="298" t="s">
        <v>265</v>
      </c>
      <c r="Z5" s="345" t="s">
        <v>263</v>
      </c>
      <c r="AA5" s="298" t="s">
        <v>264</v>
      </c>
      <c r="AB5" s="298" t="s">
        <v>265</v>
      </c>
      <c r="AC5" s="345" t="s">
        <v>263</v>
      </c>
      <c r="AD5" s="298" t="s">
        <v>264</v>
      </c>
      <c r="AE5" s="298" t="s">
        <v>265</v>
      </c>
    </row>
    <row r="6" spans="2:34" ht="118.5" customHeight="1">
      <c r="B6" s="209" t="s">
        <v>172</v>
      </c>
      <c r="C6" s="209" t="s">
        <v>35</v>
      </c>
      <c r="D6" s="21" t="e">
        <f>+자금현황!#REF!</f>
        <v>#REF!</v>
      </c>
      <c r="E6" s="21" t="e">
        <f>+'BT 2HO'!Q87+'BT 2HO'!Q88+'BT 2HO'!#REF!+'BT 2HO'!X25</f>
        <v>#REF!</v>
      </c>
      <c r="F6" s="21">
        <f>+'BT 2HO'!X30+'BT 2HO'!X35+'BT 2HO'!X40+'BT 2HO'!X45+'BT 2HO'!X50</f>
        <v>55093500</v>
      </c>
      <c r="G6" s="21" t="e">
        <f>+'BT 2HO'!X55+'BT 2HO'!X60+'BT 2HO'!#REF!+'BT 2HO'!#REF!+'BT 2HO'!AE22+'BT 2HO'!AE23+'BT 2HO'!AE27+'BT 2HO'!AE28+'BT 2HO'!AE32+'BT 2HO'!AE33+'BT 2HO'!AE37+'BT 2HO'!AE38+'BT 2HO'!AE42+'BT 2HO'!AE43+'BT 2HO'!AE47+'BT 2HO'!AE48</f>
        <v>#REF!</v>
      </c>
      <c r="H6" s="21">
        <f>+'BT 2HO'!AE52+'BT 2HO'!AE53+'BT 2HO'!AE57+'BT 2HO'!AE58</f>
        <v>188347500</v>
      </c>
      <c r="I6" s="21">
        <f>+'[4]Amount to be paid in 2025'!R13</f>
        <v>0</v>
      </c>
      <c r="J6" s="21" t="e">
        <f>+'BT 2HO'!#REF!+'BT 2HO'!#REF!+'BT 2HO'!BN22+'BT 2HO'!BN23+'BT 2HO'!BN27+'BT 2HO'!BN28+'BT 2HO'!BN32+'BT 2HO'!BN33+'BT 2HO'!BN37+'BT 2HO'!BN38+'BT 2HO'!BN42+'BT 2HO'!BN43+'BT 2HO'!BN47+'BT 2HO'!BN48+'BT 2HO'!BN52+'BT 2HO'!BN53+'BT 2HO'!BN57+'BT 2HO'!BN58</f>
        <v>#REF!</v>
      </c>
      <c r="K6" s="32" t="e">
        <f>+F6+G6-D6</f>
        <v>#REF!</v>
      </c>
      <c r="L6" s="302" t="e">
        <f>+K6/$L$2</f>
        <v>#REF!</v>
      </c>
      <c r="M6" s="330"/>
      <c r="N6" s="335" t="e">
        <f>+'BT 2HO'!#REF!&amp;N2&amp;'BT 2HO'!C21&amp;N2&amp;'BT 2HO'!C26&amp;N2&amp;'BT 2HO'!C31&amp;N2&amp;'BT 2HO'!C36</f>
        <v>#REF!</v>
      </c>
      <c r="O6" s="332"/>
      <c r="P6" s="332"/>
      <c r="Q6" s="336" t="str">
        <f>+'BT 2HO'!C41&amp;N2&amp;'BT 2HO'!C46&amp;N2&amp;'BT 2HO'!C51&amp;N2&amp;'BT 2HO'!C56</f>
        <v>Joongang Special Paper  ,  Sambo Green Filter  ,  Fusei Menix 1 &amp; 2  ,  Shincheon Food</v>
      </c>
      <c r="R6" s="327" t="e">
        <f>+'BT 2HO'!#REF!&amp;N2&amp;'BT 2HO'!C21</f>
        <v>#REF!</v>
      </c>
      <c r="S6" s="334"/>
      <c r="T6" s="334"/>
      <c r="U6" s="327" t="str">
        <f>+'BT 2HO'!C26&amp;N2&amp;'BT 2HO'!C31&amp;N2&amp;'BT 2HO'!C36&amp;N2&amp;'BT 2HO'!C41&amp;N2&amp;'BT 2HO'!C46</f>
        <v>Doori Industry  ,  Geumjeong Techno  ,  Epyeonan nursing home(Drop)  ,  Joongang Special Paper  ,  Sambo Green Filter</v>
      </c>
      <c r="V6" s="334"/>
      <c r="W6" s="333"/>
      <c r="X6" s="327" t="str">
        <f>+'BT 2HO'!C51&amp;N2&amp;'BT 2HO'!C56</f>
        <v>Fusei Menix 1 &amp; 2  ,  Shincheon Food</v>
      </c>
      <c r="Y6" s="327" t="e">
        <f>+'BT 2HO'!#REF!&amp;N2&amp;'BT 2HO'!C21&amp;N2&amp;'BT 2HO'!C26&amp;N2&amp;'BT 2HO'!C31&amp;N2&amp;'BT 2HO'!C36&amp;N2&amp;'BT 2HO'!C41&amp;N2&amp;'BT 2HO'!C46</f>
        <v>#REF!</v>
      </c>
      <c r="Z6" s="333"/>
      <c r="AA6" s="334"/>
      <c r="AB6" s="327" t="str">
        <f>+'BT 2HO'!C51&amp;N2&amp;'BT 2HO'!C56</f>
        <v>Fusei Menix 1 &amp; 2  ,  Shincheon Food</v>
      </c>
      <c r="AC6" s="333"/>
      <c r="AD6" s="334"/>
      <c r="AE6" s="327"/>
    </row>
    <row r="7" spans="2:34" ht="118.5" customHeight="1">
      <c r="B7" s="209" t="s">
        <v>192</v>
      </c>
      <c r="C7" s="209" t="s">
        <v>35</v>
      </c>
      <c r="D7" s="21" t="e">
        <f>+자금현황!#REF!</f>
        <v>#REF!</v>
      </c>
      <c r="E7" s="21">
        <f>+'BT 3HO'!R58+'BT 3HO'!R57+'BT 3HO'!Y58+'BT 3HO'!Y57+'BT 3HO'!AF58+'BT 3HO'!AF57</f>
        <v>1847729950</v>
      </c>
      <c r="F7" s="21">
        <f>+'BT 3HO'!X12+'BT 3HO'!X13+'BT 3HO'!X17+'BT 3HO'!X18+'Dropped Project'!Y22+'Dropped Project'!Y23+'BT 6HO'!Q27+'BT 6HO'!Q28+'BT 6HO'!Q32+'BT 6HO'!Q33+'BT 6HO'!Q37+'BT 6HO'!Q38+'BT 6HO'!Q42+'BT 6HO'!Q43+'BT 3HO'!Q47+'BT 3HO'!Q48+'BT 6HO'!Q47+'BT 6HO'!Q48+'BT 6HO'!Q52+'BT 6HO'!Q53</f>
        <v>1167397000</v>
      </c>
      <c r="G7" s="21">
        <f>+'BT 3HO'!X32+'BT 3HO'!X33+'BT 3HO'!X37+'BT 3HO'!X38+'BT 3HO'!X42+'BT 3HO'!X43+'Dropped Project'!AF23+'Dropped Project'!AF22+'BT 3HO'!AE18+'BT 3HO'!AE17+'BT 3HO'!AE13+'BT 3HO'!AE12</f>
        <v>719315850</v>
      </c>
      <c r="H7" s="21">
        <f>+'BT 3HO'!AE32+'BT 3HO'!AE33+'BT 3HO'!AE37+'BT 3HO'!AE38+'BT 6HO'!X27+'BT 6HO'!X28+'BT 6HO'!X32+'BT 6HO'!X33+'BT 6HO'!X37+'BT 6HO'!X38+'BT 6HO'!X42+'BT 6HO'!X43+'BT 3HO'!AE42+'BT 3HO'!AE43+'BT 3HO'!X47+'BT 3HO'!X48+'BT 6HO'!X47+'BT 6HO'!X48+'BT 6HO'!X52+'BT 6HO'!X53</f>
        <v>1318909900</v>
      </c>
      <c r="I7" s="21">
        <f>+'BT 6HO'!AE53+'BT 6HO'!AE52+'BT 6HO'!AE48+'BT 6HO'!AE47+'BT 3HO'!AE48+'BT 3HO'!AE47+'BT 6HO'!AE43+'BT 6HO'!AE42+'BT 6HO'!AE38+'BT 6HO'!AE37+'BT 6HO'!AE33+'BT 6HO'!AE32+'BT 6HO'!AE28+'BT 6HO'!AE27</f>
        <v>2107212250</v>
      </c>
      <c r="J7" s="21">
        <f>+'BT 3HO'!BN57+'BT 3HO'!BN58</f>
        <v>233327875</v>
      </c>
      <c r="K7" s="32" t="e">
        <f>+F7+G7-D7</f>
        <v>#REF!</v>
      </c>
      <c r="L7" s="302" t="e">
        <f>+K7/$L$2</f>
        <v>#REF!</v>
      </c>
      <c r="M7" s="330"/>
      <c r="N7" s="335" t="str">
        <f>+'BT 3HO'!C11&amp;N2&amp;'BT 3HO'!C16</f>
        <v>Seun Steel Gyeongju  ,  Oneel</v>
      </c>
      <c r="O7" s="335"/>
      <c r="P7" s="335"/>
      <c r="Q7" s="327" t="str">
        <f>+'BT 3HO'!C21&amp;N2&amp;'BT 3HO'!C26&amp;N2&amp;'Dropped Project'!D21&amp;N2&amp;'BT 3HO'!C31&amp;N2&amp;'BT 3HO'!C36&amp;N2&amp;'BT 3HO'!C41</f>
        <v>LSG  ,  Hanseo Motors  ,  Dongsung Metal  ,  Daechon Headquarters  ,  Changseong High Tech  ,  Daechon Busan</v>
      </c>
      <c r="R7" s="327" t="str">
        <f>+'BT 3HO'!C21&amp;N2&amp;'BT 3HO'!C26</f>
        <v>LSG  ,  Hanseo Motors</v>
      </c>
      <c r="S7" s="327" t="str">
        <f>+'BT 3HO'!C21&amp;N2&amp;'BT 3HO'!C26</f>
        <v>LSG  ,  Hanseo Motors</v>
      </c>
      <c r="T7" s="327" t="str">
        <f>+'BT 6HO'!C26&amp;N2&amp;'BT 6HO'!C31&amp;N2&amp;'BT 6HO'!C36&amp;N2&amp;'BT 6HO'!C41&amp;N2&amp;'BT 3HO'!C46&amp;N2&amp;'BT 6HO'!C46&amp;N2&amp;'BT 6HO'!C51</f>
        <v>Cosmo chemical  ,  SEAh ESAB 1  ,  SEAh ESAB 2  ,  Kuma Pipe  ,  E-Tech  ,  Shinsung Logistics &amp; Development  ,  Youngpoong Paper</v>
      </c>
      <c r="U7" s="327" t="str">
        <f>+'BT 3HO'!C11&amp;N2&amp;'BT 3HO'!C16&amp;N2&amp;'Dropped Project'!D21</f>
        <v>Seun Steel Gyeongju  ,  Oneel  ,  Dongsung Metal</v>
      </c>
      <c r="V7" s="327"/>
      <c r="W7" s="327"/>
      <c r="X7" s="327" t="str">
        <f>+'BT 3HO'!C31&amp;N2&amp;'BT 3HO'!C36&amp;N2&amp;'BT 3HO'!C41</f>
        <v>Daechon Headquarters  ,  Changseong High Tech  ,  Daechon Busan</v>
      </c>
      <c r="Y7" s="327" t="str">
        <f>+'BT 3HO'!C11&amp;N2&amp;'BT 3HO'!C16&amp;N2&amp;'Dropped Project'!D21</f>
        <v>Seun Steel Gyeongju  ,  Oneel  ,  Dongsung Metal</v>
      </c>
      <c r="Z7" s="327"/>
      <c r="AA7" s="327" t="str">
        <f>+'BT 6HO'!C26&amp;N2&amp;'BT 6HO'!C31&amp;N2&amp;'BT 6HO'!C36&amp;N2&amp;'BT 6HO'!C41&amp;N2&amp;'BT 3HO'!C46&amp;N2&amp;'BT 6HO'!C46&amp;N2&amp;'BT 6HO'!C51</f>
        <v>Cosmo chemical  ,  SEAh ESAB 1  ,  SEAh ESAB 2  ,  Kuma Pipe  ,  E-Tech  ,  Shinsung Logistics &amp; Development  ,  Youngpoong Paper</v>
      </c>
      <c r="AB7" s="327" t="str">
        <f>+'BT 3HO'!C31&amp;N2&amp;'BT 3HO'!C36</f>
        <v>Daechon Headquarters  ,  Changseong High Tech</v>
      </c>
      <c r="AC7" s="327"/>
      <c r="AD7" s="327"/>
      <c r="AE7" s="327" t="str">
        <f>+'BT 6HO'!C26&amp;N2&amp;'BT 6HO'!C31&amp;N2&amp;'BT 6HO'!C36&amp;N2&amp;'BT 6HO'!C41&amp;N2&amp;'BT 3HO'!C41&amp;N2&amp;'BT 3HO'!C46&amp;N2&amp;'BT 6HO'!C46&amp;N2&amp;'BT 6HO'!C51</f>
        <v>Cosmo chemical  ,  SEAh ESAB 1  ,  SEAh ESAB 2  ,  Kuma Pipe  ,  Daechon Busan  ,  E-Tech  ,  Shinsung Logistics &amp; Development  ,  Youngpoong Paper</v>
      </c>
      <c r="AG7">
        <v>15</v>
      </c>
      <c r="AH7">
        <v>15</v>
      </c>
    </row>
    <row r="8" spans="2:34" ht="118.5" customHeight="1">
      <c r="B8" s="209" t="s">
        <v>193</v>
      </c>
      <c r="C8" s="209" t="s">
        <v>35</v>
      </c>
      <c r="D8" s="21" t="e">
        <f>+자금현황!#REF!</f>
        <v>#REF!</v>
      </c>
      <c r="E8" s="21">
        <f>+'BT 6HO'!R57+'BT 6HO'!R58</f>
        <v>47583800</v>
      </c>
      <c r="F8" s="21">
        <f>+'[4]Amount to be paid in 2025'!L33</f>
        <v>47583800</v>
      </c>
      <c r="G8" s="21">
        <f>+'BT 6HO'!AE57+'BT 6HO'!AE58</f>
        <v>2107630250</v>
      </c>
      <c r="H8" s="21">
        <v>0</v>
      </c>
      <c r="I8" s="21">
        <v>0</v>
      </c>
      <c r="J8" s="21">
        <f>+'BT 6HO'!BN57+'BT 6HO'!BN58</f>
        <v>421526050</v>
      </c>
      <c r="K8" s="32" t="e">
        <f>+F8+G8-D8</f>
        <v>#REF!</v>
      </c>
      <c r="L8" s="302" t="e">
        <f>+K8/$L$2</f>
        <v>#REF!</v>
      </c>
      <c r="M8" s="330"/>
      <c r="N8" s="335" t="e">
        <f>+'BT 6HO'!C11&amp;N2&amp;'BT 6HO'!#REF!&amp;N2&amp;'BT 6HO'!#REF!</f>
        <v>#REF!</v>
      </c>
      <c r="O8" s="335"/>
      <c r="P8" s="335"/>
      <c r="Q8" s="327"/>
      <c r="R8" s="327"/>
      <c r="S8" s="327"/>
      <c r="T8" s="327"/>
      <c r="U8" s="327" t="e">
        <f>+'BT 6HO'!C11&amp;N2&amp;'BT 6HO'!#REF!&amp;N2&amp;'BT 6HO'!#REF!</f>
        <v>#REF!</v>
      </c>
      <c r="V8" s="327"/>
      <c r="W8" s="327"/>
      <c r="X8" s="327"/>
      <c r="Y8" s="327" t="e">
        <f>+'BT 6HO'!C11&amp;N2&amp;'BT 6HO'!#REF!&amp;N2&amp;'BT 6HO'!#REF!</f>
        <v>#REF!</v>
      </c>
      <c r="Z8" s="327"/>
      <c r="AA8" s="327"/>
      <c r="AB8" s="327"/>
      <c r="AC8" s="327"/>
      <c r="AD8" s="327"/>
      <c r="AE8" s="327"/>
    </row>
    <row r="9" spans="2:34" ht="118.5" customHeight="1">
      <c r="B9" s="209" t="s">
        <v>194</v>
      </c>
      <c r="C9" s="209" t="s">
        <v>35</v>
      </c>
      <c r="D9" s="21" t="e">
        <f>+자금현황!#REF!</f>
        <v>#REF!</v>
      </c>
      <c r="E9" s="21">
        <f>+'BT 7HO'!R52+'BT 7HO'!R53+'BT 7HO'!Y52+'BT 7HO'!Y53+'BT 7HO'!AF52+'BT 7HO'!AF53</f>
        <v>662691700</v>
      </c>
      <c r="F9" s="21">
        <f>+'BT 7HO'!X23+'BT 7HO'!X22+'BT 7HO'!AE18+'BT 7HO'!AE17</f>
        <v>172811100</v>
      </c>
      <c r="G9" s="21">
        <f>+'BT 7HO'!AE28+'BT 7HO'!AE27+'BT 7HO'!AE23+'BT 7HO'!AE22+'Dropped Project'!AF43+'Dropped Project'!AF42+'Dropped Project'!AF38+'Dropped Project'!AF37+'Dropped Project'!AF33+'Dropped Project'!AF32</f>
        <v>188927750</v>
      </c>
      <c r="H9" s="21">
        <v>0</v>
      </c>
      <c r="I9" s="21">
        <v>0</v>
      </c>
      <c r="J9" s="21">
        <f>+'BT 7HO'!BN52+'BT 7HO'!BN53</f>
        <v>88515900</v>
      </c>
      <c r="K9" s="32" t="e">
        <f>+F9+G9-D9</f>
        <v>#REF!</v>
      </c>
      <c r="L9" s="302" t="e">
        <f>+K9/$L$2</f>
        <v>#REF!</v>
      </c>
      <c r="M9" s="330"/>
      <c r="N9" s="335" t="e">
        <f>+'BT 7HO'!C11&amp;N2&amp;+'BT 7HO'!C16&amp;N2&amp;'BT 7HO'!#REF!&amp;N2&amp;'BT 7HO'!#REF!&amp;N2&amp;'BT 7HO'!#REF!&amp;N2&amp;'BT 7HO'!#REF!&amp;N2&amp;'BT 7HO'!C21&amp;N2&amp;'BT 7HO'!C26</f>
        <v>#REF!</v>
      </c>
      <c r="O9" s="335" t="e">
        <f>+'BT 7HO'!C11&amp;N2&amp;'BT 7HO'!C16&amp;N2&amp;'BT 7HO'!#REF!</f>
        <v>#REF!</v>
      </c>
      <c r="P9" s="335" t="str">
        <f>+'BT 7HO'!C11</f>
        <v>Eco Inshutech</v>
      </c>
      <c r="Q9" s="327"/>
      <c r="R9" s="327" t="e">
        <f>+'BT 7HO'!#REF!&amp;N2&amp;'BT 7HO'!#REF!&amp;N2&amp;'BT 7HO'!#REF!&amp;N2&amp;'BT 7HO'!C26</f>
        <v>#REF!</v>
      </c>
      <c r="S9" s="327" t="e">
        <f>+'BT 7HO'!#REF!</f>
        <v>#REF!</v>
      </c>
      <c r="T9" s="327"/>
      <c r="U9" s="327" t="str">
        <f>+'BT 7HO'!C21</f>
        <v>BNB Composite(Drop)</v>
      </c>
      <c r="V9" s="327" t="str">
        <f>+'BT 7HO'!C16</f>
        <v>Younggwang Industry</v>
      </c>
      <c r="W9" s="327"/>
      <c r="X9" s="327"/>
      <c r="Y9" s="327" t="e">
        <f>+'BT 7HO'!#REF!&amp;N2&amp;'BT 7HO'!#REF!&amp;N2&amp;'BT 7HO'!#REF!&amp;N2&amp;'BT 7HO'!C21&amp;N2&amp;'BT 7HO'!C26</f>
        <v>#REF!</v>
      </c>
      <c r="Z9" s="327"/>
      <c r="AA9" s="327"/>
      <c r="AB9" s="327"/>
      <c r="AC9" s="327"/>
      <c r="AD9" s="327"/>
      <c r="AE9" s="327"/>
    </row>
    <row r="10" spans="2:34" ht="118.5" customHeight="1">
      <c r="B10" s="214" t="s">
        <v>17</v>
      </c>
      <c r="C10" s="214" t="s">
        <v>35</v>
      </c>
      <c r="D10" s="32" t="e">
        <f>+D9+D8+D7+D6</f>
        <v>#REF!</v>
      </c>
      <c r="E10" s="32" t="e">
        <f t="shared" ref="E10:L10" si="0">SUM(E6:E9)</f>
        <v>#REF!</v>
      </c>
      <c r="F10" s="32">
        <f t="shared" si="0"/>
        <v>1442885400</v>
      </c>
      <c r="G10" s="32" t="e">
        <f t="shared" si="0"/>
        <v>#REF!</v>
      </c>
      <c r="H10" s="32">
        <f t="shared" si="0"/>
        <v>1507257400</v>
      </c>
      <c r="I10" s="32">
        <f t="shared" si="0"/>
        <v>2107212250</v>
      </c>
      <c r="J10" s="32" t="e">
        <f t="shared" si="0"/>
        <v>#REF!</v>
      </c>
      <c r="K10" s="32" t="e">
        <f t="shared" si="0"/>
        <v>#REF!</v>
      </c>
      <c r="L10" s="302" t="e">
        <f t="shared" si="0"/>
        <v>#REF!</v>
      </c>
      <c r="M10" s="331"/>
      <c r="N10" s="337"/>
      <c r="O10" s="337"/>
      <c r="P10" s="337"/>
      <c r="Q10" s="327"/>
      <c r="R10" s="327"/>
      <c r="S10" s="327"/>
      <c r="T10" s="327"/>
      <c r="U10" s="327"/>
      <c r="V10" s="327"/>
      <c r="W10" s="327"/>
      <c r="X10" s="327"/>
      <c r="Y10" s="327"/>
      <c r="Z10" s="327"/>
      <c r="AA10" s="327"/>
      <c r="AB10" s="327"/>
      <c r="AC10" s="327"/>
      <c r="AD10" s="327"/>
      <c r="AE10" s="327"/>
    </row>
    <row r="11" spans="2:34">
      <c r="D11" s="27"/>
      <c r="N11" s="328"/>
      <c r="O11" s="328"/>
      <c r="P11" s="328"/>
      <c r="Q11" s="328"/>
      <c r="R11" s="328"/>
      <c r="S11" s="328"/>
      <c r="T11" s="328"/>
      <c r="U11" s="328"/>
      <c r="V11" s="328"/>
      <c r="W11" s="328"/>
      <c r="X11" s="328"/>
      <c r="Y11" s="328"/>
      <c r="Z11" s="328"/>
      <c r="AA11" s="328"/>
      <c r="AB11" s="328"/>
      <c r="AC11" s="328"/>
      <c r="AD11" s="328"/>
      <c r="AE11" s="328"/>
    </row>
    <row r="12" spans="2:34" ht="13.5">
      <c r="B12" s="305" t="s">
        <v>266</v>
      </c>
    </row>
    <row r="13" spans="2:34">
      <c r="K13" s="27"/>
      <c r="P13" s="338"/>
      <c r="Q13" s="338"/>
    </row>
    <row r="14" spans="2:34">
      <c r="D14" s="27"/>
      <c r="E14" s="27"/>
      <c r="F14" s="27"/>
      <c r="G14" s="27"/>
      <c r="H14" s="27"/>
      <c r="I14" s="27"/>
      <c r="J14" s="27"/>
      <c r="K14" s="27"/>
      <c r="O14" s="341"/>
      <c r="Q14" s="27"/>
    </row>
    <row r="15" spans="2:34">
      <c r="E15" s="27"/>
      <c r="F15" s="27"/>
      <c r="G15" s="27"/>
      <c r="H15" s="27"/>
      <c r="I15" s="27"/>
      <c r="J15" s="27"/>
      <c r="O15" s="27"/>
      <c r="P15" s="27"/>
      <c r="Q15" s="27"/>
      <c r="R15" s="27"/>
      <c r="S15" s="27"/>
    </row>
    <row r="16" spans="2:34">
      <c r="F16" s="27"/>
      <c r="G16" s="27"/>
      <c r="H16" s="27"/>
      <c r="I16" s="27"/>
      <c r="J16" s="27"/>
      <c r="O16" s="27"/>
      <c r="P16" s="27"/>
      <c r="Q16" s="27"/>
      <c r="R16" s="27"/>
      <c r="S16" s="27"/>
    </row>
    <row r="17" spans="15:19">
      <c r="P17" s="27"/>
      <c r="Q17" s="27"/>
      <c r="R17" s="5"/>
      <c r="S17" s="27"/>
    </row>
    <row r="18" spans="15:19">
      <c r="O18" s="27"/>
      <c r="P18" s="27"/>
      <c r="Q18" s="340"/>
      <c r="R18" s="27"/>
      <c r="S18" s="27"/>
    </row>
    <row r="19" spans="15:19">
      <c r="P19" s="340"/>
      <c r="Q19" s="27"/>
      <c r="R19" s="27"/>
      <c r="S19" s="27"/>
    </row>
    <row r="20" spans="15:19">
      <c r="P20" s="339"/>
      <c r="Q20" s="27"/>
      <c r="R20" s="27"/>
    </row>
    <row r="21" spans="15:19">
      <c r="P21" s="338"/>
      <c r="Q21" s="27"/>
      <c r="R21" s="27"/>
    </row>
    <row r="22" spans="15:19">
      <c r="P22" s="338"/>
      <c r="Q22" s="5"/>
      <c r="R22" s="5"/>
    </row>
  </sheetData>
  <mergeCells count="18">
    <mergeCell ref="K4:K5"/>
    <mergeCell ref="L4:L5"/>
    <mergeCell ref="AC4:AE4"/>
    <mergeCell ref="E4:E5"/>
    <mergeCell ref="J4:J5"/>
    <mergeCell ref="B1:L1"/>
    <mergeCell ref="N4:P4"/>
    <mergeCell ref="Q4:S4"/>
    <mergeCell ref="W4:Y4"/>
    <mergeCell ref="Z4:AB4"/>
    <mergeCell ref="T4:V4"/>
    <mergeCell ref="B4:B5"/>
    <mergeCell ref="C4:C5"/>
    <mergeCell ref="D4:D5"/>
    <mergeCell ref="F4:F5"/>
    <mergeCell ref="G4:G5"/>
    <mergeCell ref="H4:H5"/>
    <mergeCell ref="I4:I5"/>
  </mergeCells>
  <phoneticPr fontId="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0498-40BD-4E4F-BA0F-92DA535A899E}">
  <sheetPr>
    <tabColor theme="6" tint="0.79998168889431442"/>
  </sheetPr>
  <dimension ref="B1:Y52"/>
  <sheetViews>
    <sheetView showGridLines="0" zoomScaleNormal="100" workbookViewId="0">
      <pane xSplit="5" ySplit="3" topLeftCell="J4" activePane="bottomRight" state="frozen"/>
      <selection pane="topRight" activeCell="I7" sqref="I7"/>
      <selection pane="bottomLeft" activeCell="I7" sqref="I7"/>
      <selection pane="bottomRight" activeCell="N5" sqref="N5"/>
    </sheetView>
  </sheetViews>
  <sheetFormatPr defaultColWidth="9.140625" defaultRowHeight="12.75"/>
  <cols>
    <col min="1" max="1" width="1.7109375" style="215" customWidth="1"/>
    <col min="2" max="2" width="12.5703125" style="215" customWidth="1"/>
    <col min="3" max="3" width="25.7109375" style="215" customWidth="1"/>
    <col min="4" max="4" width="14" style="215" hidden="1" customWidth="1"/>
    <col min="5" max="5" width="14.85546875" style="216" bestFit="1" customWidth="1"/>
    <col min="6" max="6" width="14.85546875" style="216" customWidth="1"/>
    <col min="7" max="7" width="19.42578125" style="215" customWidth="1"/>
    <col min="8" max="8" width="17.5703125" style="215" hidden="1" customWidth="1"/>
    <col min="9" max="9" width="14.5703125" style="215" hidden="1" customWidth="1"/>
    <col min="10" max="11" width="14.5703125" style="215" customWidth="1"/>
    <col min="12" max="12" width="9" style="216" customWidth="1"/>
    <col min="13" max="13" width="16.28515625" style="215" customWidth="1"/>
    <col min="14" max="14" width="9" style="216" customWidth="1"/>
    <col min="15" max="15" width="17" style="215" customWidth="1"/>
    <col min="16" max="16" width="19.42578125" style="215" customWidth="1"/>
    <col min="17" max="17" width="9" style="216" customWidth="1"/>
    <col min="18" max="18" width="17" style="215" customWidth="1"/>
    <col min="19" max="19" width="9" style="216" customWidth="1"/>
    <col min="20" max="20" width="17" style="215" customWidth="1"/>
    <col min="21" max="21" width="6.5703125" style="216" customWidth="1"/>
    <col min="22" max="22" width="17" style="215" customWidth="1"/>
    <col min="23" max="23" width="1.7109375" style="215" customWidth="1"/>
    <col min="24" max="24" width="9.140625" style="215"/>
    <col min="25" max="25" width="13.28515625" style="215" bestFit="1" customWidth="1"/>
    <col min="26" max="26" width="10.7109375" style="215" bestFit="1" customWidth="1"/>
    <col min="27" max="16384" width="9.140625" style="215"/>
  </cols>
  <sheetData>
    <row r="1" spans="2:25">
      <c r="V1" s="346" t="s">
        <v>267</v>
      </c>
    </row>
    <row r="2" spans="2:25" ht="13.5" customHeight="1">
      <c r="B2" s="1261" t="s">
        <v>165</v>
      </c>
      <c r="C2" s="1261" t="s">
        <v>268</v>
      </c>
      <c r="D2" s="1259" t="s">
        <v>269</v>
      </c>
      <c r="E2" s="1262" t="s">
        <v>270</v>
      </c>
      <c r="F2" s="1250" t="s">
        <v>271</v>
      </c>
      <c r="G2" s="1248" t="s">
        <v>272</v>
      </c>
      <c r="H2" s="1257" t="s">
        <v>273</v>
      </c>
      <c r="I2" s="1259" t="s">
        <v>17</v>
      </c>
      <c r="J2" s="1259" t="s">
        <v>274</v>
      </c>
      <c r="K2" s="1250" t="s">
        <v>275</v>
      </c>
      <c r="L2" s="1261" t="s">
        <v>276</v>
      </c>
      <c r="M2" s="1261"/>
      <c r="N2" s="1261" t="s">
        <v>277</v>
      </c>
      <c r="O2" s="1261"/>
      <c r="P2" s="1248" t="s">
        <v>278</v>
      </c>
      <c r="Q2" s="1261" t="s">
        <v>279</v>
      </c>
      <c r="R2" s="1261"/>
      <c r="S2" s="1261" t="s">
        <v>280</v>
      </c>
      <c r="T2" s="1261"/>
      <c r="U2" s="1274" t="s">
        <v>281</v>
      </c>
      <c r="V2" s="1275"/>
      <c r="X2" s="1257" t="s">
        <v>282</v>
      </c>
    </row>
    <row r="3" spans="2:25">
      <c r="B3" s="1264"/>
      <c r="C3" s="1264"/>
      <c r="D3" s="1260"/>
      <c r="E3" s="1263"/>
      <c r="F3" s="1278"/>
      <c r="G3" s="1249"/>
      <c r="H3" s="1258"/>
      <c r="I3" s="1260"/>
      <c r="J3" s="1260"/>
      <c r="K3" s="1251"/>
      <c r="L3" s="234" t="s">
        <v>188</v>
      </c>
      <c r="M3" s="234" t="s">
        <v>283</v>
      </c>
      <c r="N3" s="234" t="s">
        <v>188</v>
      </c>
      <c r="O3" s="234" t="s">
        <v>283</v>
      </c>
      <c r="P3" s="1249"/>
      <c r="Q3" s="234" t="s">
        <v>188</v>
      </c>
      <c r="R3" s="234" t="s">
        <v>283</v>
      </c>
      <c r="S3" s="234" t="s">
        <v>188</v>
      </c>
      <c r="T3" s="234" t="s">
        <v>283</v>
      </c>
      <c r="U3" s="1276"/>
      <c r="V3" s="1277"/>
      <c r="X3" s="1258"/>
    </row>
    <row r="4" spans="2:25">
      <c r="B4" s="1265" t="s">
        <v>284</v>
      </c>
      <c r="C4" s="229" t="e">
        <f>+'BT 2HO'!#REF!</f>
        <v>#REF!</v>
      </c>
      <c r="D4" s="307">
        <v>350000</v>
      </c>
      <c r="E4" s="230" t="e">
        <f>+'BT 2HO'!#REF!</f>
        <v>#REF!</v>
      </c>
      <c r="F4" s="310" t="e">
        <f>D4*E4*1.1/1470</f>
        <v>#REF!</v>
      </c>
      <c r="G4" s="231" t="e">
        <f>+M4+O4</f>
        <v>#REF!</v>
      </c>
      <c r="H4" s="231" t="e">
        <f>+E4*350000000/1000*1.1</f>
        <v>#REF!</v>
      </c>
      <c r="I4" s="231" t="e">
        <f>+J4+M4+O4+R4+V4+T4</f>
        <v>#REF!</v>
      </c>
      <c r="J4" s="231" t="e">
        <f>+'BT 2HO'!#REF!+'BT 2HO'!#REF!</f>
        <v>#REF!</v>
      </c>
      <c r="K4" s="1245"/>
      <c r="L4" s="294"/>
      <c r="M4" s="342">
        <v>0</v>
      </c>
      <c r="N4" s="294" t="e">
        <f>+'BT 2HO'!#REF!</f>
        <v>#REF!</v>
      </c>
      <c r="O4" s="231" t="e">
        <f>+'BT 2HO'!#REF!+'BT 2HO'!#REF!</f>
        <v>#REF!</v>
      </c>
      <c r="P4" s="218">
        <f>R4+T4</f>
        <v>0</v>
      </c>
      <c r="Q4" s="294"/>
      <c r="R4" s="233"/>
      <c r="S4" s="294"/>
      <c r="T4" s="233"/>
      <c r="U4" s="232"/>
      <c r="V4" s="231" t="e">
        <f>+'BT 2HO'!#REF!+'BT 2HO'!#REF!</f>
        <v>#REF!</v>
      </c>
      <c r="X4" s="232" t="e">
        <f>+H4=I4</f>
        <v>#REF!</v>
      </c>
      <c r="Y4" s="320"/>
    </row>
    <row r="5" spans="2:25">
      <c r="B5" s="1266"/>
      <c r="C5" s="217" t="str">
        <f>+'BT 2HO'!C21</f>
        <v>Kairos</v>
      </c>
      <c r="D5" s="308">
        <v>350000</v>
      </c>
      <c r="E5" s="224">
        <f>+'BT 2HO'!D21</f>
        <v>386.24</v>
      </c>
      <c r="F5" s="311">
        <f>D5*E5*1.1/1470</f>
        <v>101158.09523809524</v>
      </c>
      <c r="G5" s="218">
        <f t="shared" ref="G5:G34" si="0">+M5+O5</f>
        <v>74351200</v>
      </c>
      <c r="H5" s="218">
        <f>+E5*350000000/1000*1.1</f>
        <v>148702400</v>
      </c>
      <c r="I5" s="218">
        <f t="shared" ref="I5:I34" si="1">+J5+M5+O5+R5+V5+T5</f>
        <v>148702400</v>
      </c>
      <c r="J5" s="218">
        <f>+'BT 2HO'!Q25+'BT 2HO'!X25</f>
        <v>59480960</v>
      </c>
      <c r="K5" s="1246"/>
      <c r="L5" s="295"/>
      <c r="M5" s="220">
        <v>0</v>
      </c>
      <c r="N5" s="295">
        <f>+'BT 2HO'!AB22</f>
        <v>45855</v>
      </c>
      <c r="O5" s="218">
        <f>+'BT 2HO'!AE22+'BT 2HO'!AE23</f>
        <v>74351200</v>
      </c>
      <c r="P5" s="218">
        <f>R5+T5</f>
        <v>0</v>
      </c>
      <c r="Q5" s="295"/>
      <c r="R5" s="219"/>
      <c r="S5" s="295"/>
      <c r="T5" s="219"/>
      <c r="U5" s="222"/>
      <c r="V5" s="218">
        <f>+'BT 2HO'!BN22+'BT 2HO'!BN23</f>
        <v>14870240</v>
      </c>
      <c r="X5" s="222" t="b">
        <f t="shared" ref="X5:X45" si="2">+H5=I5</f>
        <v>1</v>
      </c>
      <c r="Y5" s="320"/>
    </row>
    <row r="6" spans="2:25">
      <c r="B6" s="1266"/>
      <c r="C6" s="217" t="str">
        <f>+'BT 2HO'!C26</f>
        <v>Doori Industry</v>
      </c>
      <c r="D6" s="308">
        <v>450000</v>
      </c>
      <c r="E6" s="224">
        <f>+'BT 2HO'!D26</f>
        <v>210</v>
      </c>
      <c r="F6" s="311">
        <f t="shared" ref="F6:F12" si="3">D6*E6*1.1/1470</f>
        <v>70714.285714285725</v>
      </c>
      <c r="G6" s="218">
        <f t="shared" si="0"/>
        <v>62370000</v>
      </c>
      <c r="H6" s="218">
        <f t="shared" ref="H6:H12" si="4">+E6*450000000/1000*1.1</f>
        <v>103950000.00000001</v>
      </c>
      <c r="I6" s="218">
        <f t="shared" si="1"/>
        <v>103950000</v>
      </c>
      <c r="J6" s="218">
        <f>+'BT 2HO'!Q30</f>
        <v>31185000</v>
      </c>
      <c r="K6" s="1246"/>
      <c r="L6" s="295">
        <f>+'BT 2HO'!U27</f>
        <v>45855</v>
      </c>
      <c r="M6" s="220">
        <f>+'BT 2HO'!X30</f>
        <v>10395000</v>
      </c>
      <c r="N6" s="295">
        <f>+'BT 2HO'!AB27</f>
        <v>45991</v>
      </c>
      <c r="O6" s="218">
        <f>+'BT 2HO'!AE27+'BT 2HO'!AE28</f>
        <v>51975000</v>
      </c>
      <c r="P6" s="218">
        <f t="shared" ref="P6:P12" si="5">R6+T6</f>
        <v>0</v>
      </c>
      <c r="Q6" s="295"/>
      <c r="R6" s="219"/>
      <c r="S6" s="295"/>
      <c r="T6" s="219"/>
      <c r="U6" s="222"/>
      <c r="V6" s="218">
        <f>+'BT 2HO'!BN27+'BT 2HO'!BN28</f>
        <v>10395000</v>
      </c>
      <c r="X6" s="222" t="b">
        <f t="shared" si="2"/>
        <v>1</v>
      </c>
      <c r="Y6" s="320"/>
    </row>
    <row r="7" spans="2:25">
      <c r="B7" s="1266"/>
      <c r="C7" s="217" t="str">
        <f>+'BT 2HO'!C31</f>
        <v>Geumjeong Techno</v>
      </c>
      <c r="D7" s="308">
        <v>450000</v>
      </c>
      <c r="E7" s="223">
        <f>+'BT 2HO'!D31</f>
        <v>122</v>
      </c>
      <c r="F7" s="311">
        <f t="shared" si="3"/>
        <v>41081.632653061228</v>
      </c>
      <c r="G7" s="218">
        <f t="shared" si="0"/>
        <v>36234000</v>
      </c>
      <c r="H7" s="218">
        <f t="shared" si="4"/>
        <v>60390000.000000007</v>
      </c>
      <c r="I7" s="218">
        <f t="shared" si="1"/>
        <v>60390000</v>
      </c>
      <c r="J7" s="218">
        <f>+'BT 2HO'!Q35</f>
        <v>18117000</v>
      </c>
      <c r="K7" s="1246"/>
      <c r="L7" s="295">
        <f>+'BT 2HO'!U32</f>
        <v>45855</v>
      </c>
      <c r="M7" s="218">
        <f>+'BT 2HO'!X35</f>
        <v>6039000</v>
      </c>
      <c r="N7" s="295">
        <f>+'BT 2HO'!AB32</f>
        <v>45930</v>
      </c>
      <c r="O7" s="220">
        <f>+'BT 2HO'!AE32+'BT 2HO'!AE33</f>
        <v>30195000</v>
      </c>
      <c r="P7" s="218">
        <f t="shared" si="5"/>
        <v>0</v>
      </c>
      <c r="Q7" s="295"/>
      <c r="R7" s="219"/>
      <c r="S7" s="295"/>
      <c r="T7" s="219"/>
      <c r="U7" s="222"/>
      <c r="V7" s="218">
        <f>+'BT 2HO'!BN32+'BT 2HO'!BN33</f>
        <v>6039000</v>
      </c>
      <c r="X7" s="222" t="b">
        <f t="shared" si="2"/>
        <v>1</v>
      </c>
      <c r="Y7" s="320"/>
    </row>
    <row r="8" spans="2:25">
      <c r="B8" s="1266"/>
      <c r="C8" s="217" t="str">
        <f>+'BT 2HO'!C36</f>
        <v>Epyeonan nursing home(Drop)</v>
      </c>
      <c r="D8" s="308">
        <v>450000</v>
      </c>
      <c r="E8" s="223">
        <f>+'BT 2HO'!D36</f>
        <v>172</v>
      </c>
      <c r="F8" s="311">
        <f t="shared" si="3"/>
        <v>57918.367346938772</v>
      </c>
      <c r="G8" s="218">
        <f t="shared" si="0"/>
        <v>51084000</v>
      </c>
      <c r="H8" s="218">
        <f t="shared" si="4"/>
        <v>85140000</v>
      </c>
      <c r="I8" s="218">
        <f t="shared" si="1"/>
        <v>85140000</v>
      </c>
      <c r="J8" s="218">
        <f>+'BT 2HO'!Q40</f>
        <v>25542000</v>
      </c>
      <c r="K8" s="1246"/>
      <c r="L8" s="295">
        <f>+'BT 2HO'!U37</f>
        <v>45991</v>
      </c>
      <c r="M8" s="218">
        <f>+'BT 2HO'!X40</f>
        <v>8514000</v>
      </c>
      <c r="N8" s="295">
        <f>+'BT 2HO'!AB37</f>
        <v>46022</v>
      </c>
      <c r="O8" s="220">
        <f>+'BT 2HO'!AE37+'BT 2HO'!AE38</f>
        <v>42570000</v>
      </c>
      <c r="P8" s="218">
        <f t="shared" si="5"/>
        <v>0</v>
      </c>
      <c r="Q8" s="295"/>
      <c r="R8" s="219"/>
      <c r="S8" s="295"/>
      <c r="T8" s="219"/>
      <c r="U8" s="222"/>
      <c r="V8" s="218">
        <f>+'BT 2HO'!BN37+'BT 2HO'!BN38</f>
        <v>8514000</v>
      </c>
      <c r="X8" s="222" t="b">
        <f t="shared" si="2"/>
        <v>1</v>
      </c>
      <c r="Y8" s="320"/>
    </row>
    <row r="9" spans="2:25">
      <c r="B9" s="1266"/>
      <c r="C9" s="217" t="str">
        <f>+'BT 2HO'!C41</f>
        <v>Joongang Special Paper</v>
      </c>
      <c r="D9" s="308">
        <v>450000</v>
      </c>
      <c r="E9" s="223">
        <f>+'BT 2HO'!D41</f>
        <v>438</v>
      </c>
      <c r="F9" s="311">
        <f t="shared" si="3"/>
        <v>147489.79591836737</v>
      </c>
      <c r="G9" s="218">
        <f t="shared" si="0"/>
        <v>130086000</v>
      </c>
      <c r="H9" s="218">
        <f t="shared" si="4"/>
        <v>216810000.00000003</v>
      </c>
      <c r="I9" s="218">
        <f t="shared" si="1"/>
        <v>216810000</v>
      </c>
      <c r="J9" s="218">
        <f>+'BT 2HO'!Q45</f>
        <v>65043000</v>
      </c>
      <c r="K9" s="1246"/>
      <c r="L9" s="295">
        <f>+'BT 2HO'!U42</f>
        <v>45930</v>
      </c>
      <c r="M9" s="218">
        <f>+'BT 2HO'!X45</f>
        <v>21681000</v>
      </c>
      <c r="N9" s="295">
        <f>+'BT 2HO'!AB42</f>
        <v>45991</v>
      </c>
      <c r="O9" s="220">
        <f>+'BT 2HO'!AE42+'BT 2HO'!AE43</f>
        <v>108405000</v>
      </c>
      <c r="P9" s="218">
        <f t="shared" si="5"/>
        <v>0</v>
      </c>
      <c r="Q9" s="295"/>
      <c r="R9" s="219"/>
      <c r="S9" s="295"/>
      <c r="T9" s="219"/>
      <c r="U9" s="222"/>
      <c r="V9" s="218">
        <f>+'BT 2HO'!BN42+'BT 2HO'!BN43</f>
        <v>21681000</v>
      </c>
      <c r="X9" s="222" t="b">
        <f t="shared" si="2"/>
        <v>1</v>
      </c>
      <c r="Y9" s="320"/>
    </row>
    <row r="10" spans="2:25">
      <c r="B10" s="1266"/>
      <c r="C10" s="217" t="str">
        <f>+'BT 2HO'!C46</f>
        <v>Sambo Green Filter</v>
      </c>
      <c r="D10" s="308">
        <v>450000</v>
      </c>
      <c r="E10" s="223">
        <f>+'BT 2HO'!D46</f>
        <v>171</v>
      </c>
      <c r="F10" s="311">
        <f t="shared" si="3"/>
        <v>57581.632653061228</v>
      </c>
      <c r="G10" s="218">
        <f t="shared" si="0"/>
        <v>50787000</v>
      </c>
      <c r="H10" s="218">
        <f t="shared" si="4"/>
        <v>84645000</v>
      </c>
      <c r="I10" s="218">
        <f t="shared" si="1"/>
        <v>84645000</v>
      </c>
      <c r="J10" s="218">
        <f>+'BT 2HO'!Q50</f>
        <v>25393500</v>
      </c>
      <c r="K10" s="1246"/>
      <c r="L10" s="295">
        <f>+'BT 2HO'!U47</f>
        <v>45930</v>
      </c>
      <c r="M10" s="218">
        <f>+'BT 2HO'!X50</f>
        <v>8464500</v>
      </c>
      <c r="N10" s="295">
        <f>+'BT 2HO'!AB47</f>
        <v>45961</v>
      </c>
      <c r="O10" s="220">
        <f>+'BT 2HO'!AE47+'BT 2HO'!AE48</f>
        <v>42322500</v>
      </c>
      <c r="P10" s="218">
        <f t="shared" si="5"/>
        <v>0</v>
      </c>
      <c r="Q10" s="295"/>
      <c r="R10" s="219"/>
      <c r="S10" s="295"/>
      <c r="T10" s="219"/>
      <c r="U10" s="222"/>
      <c r="V10" s="218">
        <f>+'BT 2HO'!BN47+'BT 2HO'!BN48</f>
        <v>8464500</v>
      </c>
      <c r="X10" s="222" t="b">
        <f t="shared" si="2"/>
        <v>1</v>
      </c>
      <c r="Y10" s="320"/>
    </row>
    <row r="11" spans="2:25">
      <c r="B11" s="1266"/>
      <c r="C11" s="217" t="str">
        <f>+'BT 2HO'!C51</f>
        <v>Fusei Menix 1 &amp; 2</v>
      </c>
      <c r="D11" s="308">
        <v>450000</v>
      </c>
      <c r="E11" s="223">
        <f>+'BT 2HO'!D51</f>
        <v>527</v>
      </c>
      <c r="F11" s="311">
        <f t="shared" si="3"/>
        <v>177459.18367346941</v>
      </c>
      <c r="G11" s="218">
        <f t="shared" si="0"/>
        <v>26086500</v>
      </c>
      <c r="H11" s="218">
        <f t="shared" si="4"/>
        <v>260865000.00000003</v>
      </c>
      <c r="I11" s="218">
        <f t="shared" si="1"/>
        <v>260865000</v>
      </c>
      <c r="J11" s="218">
        <f>+'BT 2HO'!Q55</f>
        <v>78259500</v>
      </c>
      <c r="K11" s="1246"/>
      <c r="L11" s="295"/>
      <c r="M11" s="218"/>
      <c r="N11" s="295">
        <f>+'BT 2HO'!U52</f>
        <v>45991</v>
      </c>
      <c r="O11" s="220">
        <f>+'BT 2HO'!X55</f>
        <v>26086500</v>
      </c>
      <c r="P11" s="218">
        <f t="shared" si="5"/>
        <v>130432500</v>
      </c>
      <c r="Q11" s="295">
        <f>+'BT 2HO'!AB52</f>
        <v>46022</v>
      </c>
      <c r="R11" s="218">
        <f>+'BT 2HO'!AE52+'BT 2HO'!AE53</f>
        <v>130432500</v>
      </c>
      <c r="S11" s="295"/>
      <c r="T11" s="218"/>
      <c r="U11" s="221"/>
      <c r="V11" s="218">
        <f>+'BT 2HO'!BN52+'BT 2HO'!BN53</f>
        <v>26086500</v>
      </c>
      <c r="X11" s="221" t="b">
        <f t="shared" si="2"/>
        <v>1</v>
      </c>
      <c r="Y11" s="320"/>
    </row>
    <row r="12" spans="2:25">
      <c r="B12" s="1266"/>
      <c r="C12" s="217" t="str">
        <f>+'BT 2HO'!C56</f>
        <v>Shincheon Food</v>
      </c>
      <c r="D12" s="308">
        <v>450000</v>
      </c>
      <c r="E12" s="223">
        <f>+'BT 2HO'!D56</f>
        <v>234</v>
      </c>
      <c r="F12" s="311">
        <f t="shared" si="3"/>
        <v>78795.918367346952</v>
      </c>
      <c r="G12" s="218">
        <f t="shared" si="0"/>
        <v>11583000</v>
      </c>
      <c r="H12" s="218">
        <f t="shared" si="4"/>
        <v>115830000.00000001</v>
      </c>
      <c r="I12" s="218">
        <f t="shared" si="1"/>
        <v>115830000</v>
      </c>
      <c r="J12" s="218">
        <f>+'BT 2HO'!Q60</f>
        <v>34749000</v>
      </c>
      <c r="K12" s="1247"/>
      <c r="L12" s="295"/>
      <c r="M12" s="218"/>
      <c r="N12" s="295">
        <f>+'BT 2HO'!U57</f>
        <v>45930</v>
      </c>
      <c r="O12" s="220">
        <f>+'BT 2HO'!X60</f>
        <v>11583000</v>
      </c>
      <c r="P12" s="218">
        <f t="shared" si="5"/>
        <v>57915000</v>
      </c>
      <c r="Q12" s="295">
        <f>+'BT 2HO'!AB57</f>
        <v>45961</v>
      </c>
      <c r="R12" s="218">
        <f>+'BT 2HO'!AE57+'BT 2HO'!AE58</f>
        <v>57915000</v>
      </c>
      <c r="S12" s="295"/>
      <c r="T12" s="218"/>
      <c r="U12" s="221"/>
      <c r="V12" s="218">
        <f>+'BT 2HO'!BN57+'BT 2HO'!BN58</f>
        <v>11583000</v>
      </c>
      <c r="X12" s="221" t="b">
        <f t="shared" si="2"/>
        <v>1</v>
      </c>
      <c r="Y12" s="320"/>
    </row>
    <row r="13" spans="2:25">
      <c r="B13" s="1266"/>
      <c r="C13" s="1268" t="s">
        <v>17</v>
      </c>
      <c r="D13" s="1269"/>
      <c r="E13" s="1279" t="e">
        <f>SUM(E4:E12)</f>
        <v>#REF!</v>
      </c>
      <c r="F13" s="1272" t="e">
        <f>SUM(F4:F12)</f>
        <v>#REF!</v>
      </c>
      <c r="G13" s="322" t="e">
        <f>G14/1470</f>
        <v>#REF!</v>
      </c>
      <c r="H13" s="315"/>
      <c r="I13" s="315"/>
      <c r="J13" s="322" t="e">
        <f>J14/1470</f>
        <v>#REF!</v>
      </c>
      <c r="K13" s="322" t="e">
        <f>K14/1470</f>
        <v>#REF!</v>
      </c>
      <c r="L13" s="316"/>
      <c r="M13" s="322">
        <f>M14/1470</f>
        <v>37478.571428571428</v>
      </c>
      <c r="N13" s="316"/>
      <c r="O13" s="322" t="e">
        <f>O14/1470</f>
        <v>#REF!</v>
      </c>
      <c r="P13" s="322">
        <f>P14/1470</f>
        <v>128127.55102040817</v>
      </c>
      <c r="Q13" s="316"/>
      <c r="R13" s="322">
        <f>R14/1470</f>
        <v>128127.55102040817</v>
      </c>
      <c r="S13" s="316"/>
      <c r="T13" s="315"/>
      <c r="U13" s="321"/>
      <c r="V13" s="322" t="e">
        <f>V14/1470</f>
        <v>#REF!</v>
      </c>
      <c r="X13" s="321"/>
    </row>
    <row r="14" spans="2:25">
      <c r="B14" s="1267"/>
      <c r="C14" s="1270"/>
      <c r="D14" s="1271"/>
      <c r="E14" s="1280"/>
      <c r="F14" s="1273"/>
      <c r="G14" s="235" t="e">
        <f>+SUM(G4:G12)</f>
        <v>#REF!</v>
      </c>
      <c r="H14" s="235" t="e">
        <f>+SUM(H4:H12)</f>
        <v>#REF!</v>
      </c>
      <c r="I14" s="235" t="e">
        <f>+SUM(I4:I12)</f>
        <v>#REF!</v>
      </c>
      <c r="J14" s="235" t="e">
        <f>+SUM(J4:J12)</f>
        <v>#REF!</v>
      </c>
      <c r="K14" s="235" t="e">
        <f>'Current Financial Requirements'!D6</f>
        <v>#REF!</v>
      </c>
      <c r="L14" s="296"/>
      <c r="M14" s="235">
        <f>+SUM(M4:M12)</f>
        <v>55093500</v>
      </c>
      <c r="N14" s="296"/>
      <c r="O14" s="235" t="e">
        <f>+SUM(O4:O12)</f>
        <v>#REF!</v>
      </c>
      <c r="P14" s="235">
        <f>+SUM(P4:P12)</f>
        <v>188347500</v>
      </c>
      <c r="Q14" s="296"/>
      <c r="R14" s="235">
        <f>+SUM(R4:R12)</f>
        <v>188347500</v>
      </c>
      <c r="S14" s="296"/>
      <c r="T14" s="235"/>
      <c r="U14" s="236"/>
      <c r="V14" s="235" t="e">
        <f>+SUM(V4:V12)</f>
        <v>#REF!</v>
      </c>
      <c r="X14" s="236" t="e">
        <f t="shared" si="2"/>
        <v>#REF!</v>
      </c>
      <c r="Y14" s="320"/>
    </row>
    <row r="15" spans="2:25">
      <c r="B15" s="1265" t="s">
        <v>192</v>
      </c>
      <c r="C15" s="225" t="str">
        <f>+'BT 3HO'!C11</f>
        <v>Seun Steel Gyeongju</v>
      </c>
      <c r="D15" s="306">
        <v>500000</v>
      </c>
      <c r="E15" s="230">
        <f>+'BT 3HO'!D11</f>
        <v>709.29499999999996</v>
      </c>
      <c r="F15" s="310">
        <f>D15*E15*1.1/1470</f>
        <v>265382.48299319734</v>
      </c>
      <c r="G15" s="218">
        <f t="shared" si="0"/>
        <v>273078575</v>
      </c>
      <c r="H15" s="218">
        <f t="shared" ref="H15:H29" si="6">+E15*500000000/1000*1.1</f>
        <v>390112250.00000006</v>
      </c>
      <c r="I15" s="218">
        <f t="shared" si="1"/>
        <v>390112250</v>
      </c>
      <c r="J15" s="227">
        <f>+'BT 3HO'!R15</f>
        <v>78022450</v>
      </c>
      <c r="K15" s="1245"/>
      <c r="L15" s="297">
        <f>+'BT 3HO'!U12</f>
        <v>45930</v>
      </c>
      <c r="M15" s="227">
        <f>+'BT 3HO'!X12+'BT 3HO'!X13</f>
        <v>78022450</v>
      </c>
      <c r="N15" s="297">
        <f>+'BT 3HO'!AB12</f>
        <v>45991</v>
      </c>
      <c r="O15" s="228">
        <f>+'BT 3HO'!AE12+'BT 3HO'!AE13</f>
        <v>195056125</v>
      </c>
      <c r="P15" s="231">
        <f>+U15+W15</f>
        <v>0</v>
      </c>
      <c r="Q15" s="297"/>
      <c r="R15" s="225"/>
      <c r="S15" s="297"/>
      <c r="T15" s="225"/>
      <c r="U15" s="226"/>
      <c r="V15" s="227">
        <f>+'BT 3HO'!BN12+'BT 3HO'!BN13</f>
        <v>39011225</v>
      </c>
      <c r="X15" s="226" t="b">
        <f t="shared" si="2"/>
        <v>1</v>
      </c>
      <c r="Y15" s="320"/>
    </row>
    <row r="16" spans="2:25">
      <c r="B16" s="1266"/>
      <c r="C16" s="219" t="str">
        <f>+'BT 3HO'!C16</f>
        <v>Oneel</v>
      </c>
      <c r="D16" s="309">
        <v>500000</v>
      </c>
      <c r="E16" s="223">
        <f>+'BT 3HO'!D16</f>
        <v>522.60500000000002</v>
      </c>
      <c r="F16" s="311">
        <f>D16*E16*1.1/1470</f>
        <v>195532.48299319728</v>
      </c>
      <c r="G16" s="218">
        <f t="shared" si="0"/>
        <v>201202925</v>
      </c>
      <c r="H16" s="218">
        <f t="shared" si="6"/>
        <v>287432750</v>
      </c>
      <c r="I16" s="218">
        <f t="shared" si="1"/>
        <v>287432750</v>
      </c>
      <c r="J16" s="218">
        <f>+'BT 3HO'!R20</f>
        <v>57486550</v>
      </c>
      <c r="K16" s="1246"/>
      <c r="L16" s="295">
        <f>+'BT 3HO'!U17</f>
        <v>45855</v>
      </c>
      <c r="M16" s="218">
        <f>+'BT 3HO'!X17+'BT 3HO'!X18</f>
        <v>57486550</v>
      </c>
      <c r="N16" s="295">
        <f>+'BT 3HO'!AB17</f>
        <v>45930</v>
      </c>
      <c r="O16" s="220">
        <f>+'BT 3HO'!AE17+'BT 3HO'!AE18</f>
        <v>143716375</v>
      </c>
      <c r="P16" s="218">
        <f>R16+T16</f>
        <v>0</v>
      </c>
      <c r="Q16" s="295"/>
      <c r="R16" s="219"/>
      <c r="S16" s="295"/>
      <c r="T16" s="219"/>
      <c r="U16" s="222"/>
      <c r="V16" s="218">
        <f>+'BT 3HO'!BN17+'BT 3HO'!BN18</f>
        <v>28743275</v>
      </c>
      <c r="X16" s="222" t="b">
        <f t="shared" si="2"/>
        <v>1</v>
      </c>
      <c r="Y16" s="320"/>
    </row>
    <row r="17" spans="2:25">
      <c r="B17" s="1266"/>
      <c r="C17" s="219" t="str">
        <f>+'BT 3HO'!C21</f>
        <v>LSG</v>
      </c>
      <c r="D17" s="309">
        <v>500000</v>
      </c>
      <c r="E17" s="223">
        <f>+'BT 3HO'!D21</f>
        <v>499.11</v>
      </c>
      <c r="F17" s="311">
        <f t="shared" ref="F17:F29" si="7">D17*E17*1.1/1470</f>
        <v>186741.83673469388</v>
      </c>
      <c r="G17" s="218">
        <f t="shared" si="0"/>
        <v>0</v>
      </c>
      <c r="H17" s="218">
        <f t="shared" si="6"/>
        <v>274510500</v>
      </c>
      <c r="I17" s="218">
        <f t="shared" si="1"/>
        <v>274510500</v>
      </c>
      <c r="J17" s="218">
        <f>+'BT 3HO'!Q25+'BT 3HO'!X25+'BT 3HO'!AE22+'BT 3HO'!AE23</f>
        <v>247059450</v>
      </c>
      <c r="K17" s="1246"/>
      <c r="L17" s="295"/>
      <c r="M17" s="218">
        <v>0</v>
      </c>
      <c r="N17" s="295"/>
      <c r="O17" s="220">
        <v>0</v>
      </c>
      <c r="P17" s="218">
        <f t="shared" ref="P17:P29" si="8">R17+T17</f>
        <v>0</v>
      </c>
      <c r="Q17" s="295"/>
      <c r="R17" s="219"/>
      <c r="S17" s="295"/>
      <c r="T17" s="219"/>
      <c r="U17" s="222"/>
      <c r="V17" s="218">
        <f>+'BT 3HO'!BN22+'BT 3HO'!BN23</f>
        <v>27451050</v>
      </c>
      <c r="X17" s="222" t="b">
        <f t="shared" si="2"/>
        <v>1</v>
      </c>
      <c r="Y17" s="320"/>
    </row>
    <row r="18" spans="2:25">
      <c r="B18" s="1266"/>
      <c r="C18" s="219" t="str">
        <f>+'BT 3HO'!C26</f>
        <v>Hanseo Motors</v>
      </c>
      <c r="D18" s="309">
        <v>500000</v>
      </c>
      <c r="E18" s="223">
        <f>+'BT 3HO'!D26</f>
        <v>142.875</v>
      </c>
      <c r="F18" s="311">
        <f t="shared" si="7"/>
        <v>53456.632653061228</v>
      </c>
      <c r="G18" s="218">
        <f t="shared" si="0"/>
        <v>0</v>
      </c>
      <c r="H18" s="218">
        <f t="shared" si="6"/>
        <v>78581250</v>
      </c>
      <c r="I18" s="218">
        <f t="shared" si="1"/>
        <v>78581250</v>
      </c>
      <c r="J18" s="218">
        <f>+'BT 3HO'!Q30+'BT 3HO'!X30+'BT 3HO'!AF27+'BT 3HO'!AF28</f>
        <v>70723125</v>
      </c>
      <c r="K18" s="1246"/>
      <c r="L18" s="295"/>
      <c r="M18" s="218">
        <v>0</v>
      </c>
      <c r="N18" s="295"/>
      <c r="O18" s="220">
        <v>0</v>
      </c>
      <c r="P18" s="218">
        <f t="shared" si="8"/>
        <v>0</v>
      </c>
      <c r="Q18" s="295"/>
      <c r="R18" s="219"/>
      <c r="S18" s="295"/>
      <c r="T18" s="219"/>
      <c r="U18" s="222"/>
      <c r="V18" s="218">
        <f>+'BT 3HO'!BN27+'BT 3HO'!BN28</f>
        <v>7858125</v>
      </c>
      <c r="X18" s="222" t="b">
        <f t="shared" si="2"/>
        <v>1</v>
      </c>
      <c r="Y18" s="320"/>
    </row>
    <row r="19" spans="2:25">
      <c r="B19" s="1266"/>
      <c r="C19" s="219" t="str">
        <f>+'Dropped Project'!D21</f>
        <v>Dongsung Metal</v>
      </c>
      <c r="D19" s="309">
        <v>500000</v>
      </c>
      <c r="E19" s="223">
        <f>+'Dropped Project'!F21</f>
        <v>495.81</v>
      </c>
      <c r="F19" s="311">
        <f t="shared" si="7"/>
        <v>185507.14285714287</v>
      </c>
      <c r="G19" s="218">
        <f t="shared" si="0"/>
        <v>190886850</v>
      </c>
      <c r="H19" s="218">
        <f t="shared" si="6"/>
        <v>272695500</v>
      </c>
      <c r="I19" s="218">
        <f t="shared" si="1"/>
        <v>272695500</v>
      </c>
      <c r="J19" s="218">
        <f>+'Dropped Project'!S25</f>
        <v>54539100</v>
      </c>
      <c r="K19" s="1246"/>
      <c r="L19" s="295">
        <f>+'Dropped Project'!V22</f>
        <v>45855</v>
      </c>
      <c r="M19" s="218">
        <f>+'Dropped Project'!Y22+'Dropped Project'!Y23</f>
        <v>54539100</v>
      </c>
      <c r="N19" s="295">
        <f>+'Dropped Project'!AC22</f>
        <v>45900</v>
      </c>
      <c r="O19" s="220">
        <f>+'Dropped Project'!AF22+'Dropped Project'!AF23</f>
        <v>136347750</v>
      </c>
      <c r="P19" s="218">
        <f t="shared" si="8"/>
        <v>0</v>
      </c>
      <c r="Q19" s="295"/>
      <c r="R19" s="219"/>
      <c r="S19" s="295"/>
      <c r="T19" s="219"/>
      <c r="U19" s="222"/>
      <c r="V19" s="218">
        <f>+'Dropped Project'!BO22+'Dropped Project'!BO23</f>
        <v>27269550</v>
      </c>
      <c r="X19" s="222" t="b">
        <f t="shared" si="2"/>
        <v>1</v>
      </c>
      <c r="Y19" s="320"/>
    </row>
    <row r="20" spans="2:25">
      <c r="B20" s="1266"/>
      <c r="C20" s="219" t="str">
        <f>+'BT 3HO'!C31</f>
        <v>Daechon Headquarters</v>
      </c>
      <c r="D20" s="309">
        <v>500000</v>
      </c>
      <c r="E20" s="223">
        <f>+'BT 3HO'!D31</f>
        <v>897.89</v>
      </c>
      <c r="F20" s="311">
        <f t="shared" si="7"/>
        <v>335945.23809523816</v>
      </c>
      <c r="G20" s="218">
        <f t="shared" si="0"/>
        <v>98767900</v>
      </c>
      <c r="H20" s="218">
        <f t="shared" si="6"/>
        <v>493839500.00000006</v>
      </c>
      <c r="I20" s="218">
        <f t="shared" si="1"/>
        <v>493839500</v>
      </c>
      <c r="J20" s="218">
        <f>+'BT 3HO'!R35</f>
        <v>98767900</v>
      </c>
      <c r="K20" s="1246"/>
      <c r="L20" s="295"/>
      <c r="M20" s="219"/>
      <c r="N20" s="295">
        <f>+'BT 3HO'!U33</f>
        <v>45900</v>
      </c>
      <c r="O20" s="220">
        <f>+'BT 3HO'!X32+'BT 3HO'!X33</f>
        <v>98767900</v>
      </c>
      <c r="P20" s="218">
        <f t="shared" si="8"/>
        <v>246919750</v>
      </c>
      <c r="Q20" s="295">
        <f>+'BT 3HO'!AB32</f>
        <v>45930</v>
      </c>
      <c r="R20" s="218">
        <f>+'BT 3HO'!AE32+'BT 3HO'!AE33</f>
        <v>246919750</v>
      </c>
      <c r="S20" s="295"/>
      <c r="T20" s="218"/>
      <c r="U20" s="222"/>
      <c r="V20" s="218">
        <f>+'BT 3HO'!BN32+'BT 3HO'!BN33</f>
        <v>49383950</v>
      </c>
      <c r="X20" s="222" t="b">
        <f t="shared" si="2"/>
        <v>1</v>
      </c>
      <c r="Y20" s="320"/>
    </row>
    <row r="21" spans="2:25">
      <c r="B21" s="1266"/>
      <c r="C21" s="219" t="str">
        <f>+'BT 3HO'!C36</f>
        <v>Changseong High Tech</v>
      </c>
      <c r="D21" s="309">
        <v>500000</v>
      </c>
      <c r="E21" s="223">
        <f>+'BT 3HO'!D36</f>
        <v>166.37</v>
      </c>
      <c r="F21" s="311">
        <f t="shared" si="7"/>
        <v>62247.278911564623</v>
      </c>
      <c r="G21" s="218">
        <f t="shared" si="0"/>
        <v>18300700</v>
      </c>
      <c r="H21" s="218">
        <f t="shared" si="6"/>
        <v>91503500</v>
      </c>
      <c r="I21" s="218">
        <f t="shared" si="1"/>
        <v>91503500</v>
      </c>
      <c r="J21" s="218">
        <f>+'BT 3HO'!R40</f>
        <v>18300700</v>
      </c>
      <c r="K21" s="1246"/>
      <c r="L21" s="295"/>
      <c r="M21" s="219"/>
      <c r="N21" s="295">
        <f>+'BT 3HO'!U37</f>
        <v>45855</v>
      </c>
      <c r="O21" s="220">
        <f>+'BT 3HO'!X37+'BT 3HO'!X38</f>
        <v>18300700</v>
      </c>
      <c r="P21" s="218">
        <f t="shared" si="8"/>
        <v>45751750</v>
      </c>
      <c r="Q21" s="295">
        <f>+'BT 3HO'!AB37</f>
        <v>45930</v>
      </c>
      <c r="R21" s="218">
        <f>+'BT 3HO'!AE37+'BT 3HO'!AE38</f>
        <v>45751750</v>
      </c>
      <c r="S21" s="295"/>
      <c r="T21" s="218"/>
      <c r="U21" s="222"/>
      <c r="V21" s="218">
        <f>+'BT 3HO'!BN37+'BT 3HO'!BN38</f>
        <v>9150350</v>
      </c>
      <c r="X21" s="222" t="b">
        <f t="shared" si="2"/>
        <v>1</v>
      </c>
      <c r="Y21" s="320"/>
    </row>
    <row r="22" spans="2:25">
      <c r="B22" s="1266"/>
      <c r="C22" s="219" t="str">
        <f>+'BT 6HO'!C26</f>
        <v>Cosmo chemical</v>
      </c>
      <c r="D22" s="309">
        <v>500000</v>
      </c>
      <c r="E22" s="223">
        <f>+'BT 6HO'!D26</f>
        <v>2444.8000000000002</v>
      </c>
      <c r="F22" s="319">
        <f t="shared" si="7"/>
        <v>914721.0884353742</v>
      </c>
      <c r="G22" s="218">
        <f t="shared" si="0"/>
        <v>403392000</v>
      </c>
      <c r="H22" s="218">
        <f t="shared" si="6"/>
        <v>1344640000</v>
      </c>
      <c r="I22" s="218">
        <f t="shared" si="1"/>
        <v>1344640000</v>
      </c>
      <c r="J22" s="218"/>
      <c r="K22" s="1246"/>
      <c r="L22" s="295">
        <f>+'BT 6HO'!N27</f>
        <v>45991</v>
      </c>
      <c r="M22" s="218">
        <f>+'BT 6HO'!Q27+'BT 6HO'!Q28</f>
        <v>403392000</v>
      </c>
      <c r="N22" s="295"/>
      <c r="O22" s="220"/>
      <c r="P22" s="218">
        <f t="shared" si="8"/>
        <v>806784000</v>
      </c>
      <c r="Q22" s="295">
        <f>+'BT 6HO'!U27</f>
        <v>46022</v>
      </c>
      <c r="R22" s="218">
        <f>+'BT 6HO'!X27+'BT 6HO'!X28</f>
        <v>134464000</v>
      </c>
      <c r="S22" s="295">
        <f>+'BT 6HO'!AB27</f>
        <v>46053</v>
      </c>
      <c r="T22" s="218">
        <f>+'BT 6HO'!AE27+'BT 6HO'!AE28</f>
        <v>672320000</v>
      </c>
      <c r="U22" s="222"/>
      <c r="V22" s="218">
        <f>+'BT 6HO'!BN27+'BT 6HO'!BN28</f>
        <v>134464000</v>
      </c>
      <c r="X22" s="222" t="b">
        <f t="shared" si="2"/>
        <v>1</v>
      </c>
      <c r="Y22" s="320"/>
    </row>
    <row r="23" spans="2:25">
      <c r="B23" s="1266"/>
      <c r="C23" s="314" t="str">
        <f>+'BT 6HO'!C31</f>
        <v>SEAh ESAB 1</v>
      </c>
      <c r="D23" s="309">
        <v>500000</v>
      </c>
      <c r="E23" s="318">
        <f>+'BT 6HO'!D31</f>
        <v>304.16500000000002</v>
      </c>
      <c r="F23" s="319">
        <f t="shared" si="7"/>
        <v>113803.23129251701</v>
      </c>
      <c r="G23" s="218">
        <f t="shared" si="0"/>
        <v>33458150</v>
      </c>
      <c r="H23" s="218">
        <f t="shared" si="6"/>
        <v>167290750</v>
      </c>
      <c r="I23" s="218">
        <f t="shared" ref="I23:I29" si="9">+J23+M23+O23+R23+V23+T23</f>
        <v>167290750</v>
      </c>
      <c r="J23" s="315"/>
      <c r="K23" s="1246"/>
      <c r="L23" s="316">
        <f>+'BT 6HO'!N32</f>
        <v>46022</v>
      </c>
      <c r="M23" s="315">
        <f>+'BT 6HO'!Q32+'BT 6HO'!Q33</f>
        <v>33458150</v>
      </c>
      <c r="N23" s="316"/>
      <c r="O23" s="317"/>
      <c r="P23" s="218">
        <f t="shared" si="8"/>
        <v>117103525</v>
      </c>
      <c r="Q23" s="316">
        <f>+'BT 6HO'!U32</f>
        <v>46053</v>
      </c>
      <c r="R23" s="315">
        <f>+'BT 6HO'!X32+'BT 6HO'!X33</f>
        <v>33458150</v>
      </c>
      <c r="S23" s="316">
        <f>+'BT 6HO'!AB32</f>
        <v>46081</v>
      </c>
      <c r="T23" s="315">
        <f>+'BT 6HO'!AE32+'BT 6HO'!AE33</f>
        <v>83645375</v>
      </c>
      <c r="U23" s="318"/>
      <c r="V23" s="315">
        <f>+'BT 6HO'!BN32+'BT 6HO'!BN33</f>
        <v>16729075</v>
      </c>
      <c r="X23" s="222" t="b">
        <f t="shared" si="2"/>
        <v>1</v>
      </c>
      <c r="Y23" s="320"/>
    </row>
    <row r="24" spans="2:25">
      <c r="B24" s="1266"/>
      <c r="C24" s="314" t="str">
        <f>+'BT 6HO'!C36</f>
        <v>SEAh ESAB 2</v>
      </c>
      <c r="D24" s="309">
        <v>500000</v>
      </c>
      <c r="E24" s="318">
        <f>+'BT 6HO'!D36</f>
        <v>605.15499999999997</v>
      </c>
      <c r="F24" s="319">
        <f t="shared" si="7"/>
        <v>226418.53741496598</v>
      </c>
      <c r="G24" s="218">
        <f t="shared" si="0"/>
        <v>66567050</v>
      </c>
      <c r="H24" s="218">
        <f t="shared" si="6"/>
        <v>332835250</v>
      </c>
      <c r="I24" s="218">
        <f t="shared" si="9"/>
        <v>332835250</v>
      </c>
      <c r="J24" s="315"/>
      <c r="K24" s="1246"/>
      <c r="L24" s="316">
        <f>+L23</f>
        <v>46022</v>
      </c>
      <c r="M24" s="315">
        <f>+'BT 6HO'!Q37+'BT 6HO'!Q38</f>
        <v>66567050</v>
      </c>
      <c r="N24" s="316"/>
      <c r="O24" s="317"/>
      <c r="P24" s="218">
        <f t="shared" si="8"/>
        <v>232984675</v>
      </c>
      <c r="Q24" s="316">
        <f>+Q23</f>
        <v>46053</v>
      </c>
      <c r="R24" s="315">
        <f>+'BT 6HO'!X37+'BT 6HO'!X38</f>
        <v>66567050</v>
      </c>
      <c r="S24" s="316">
        <f>+S23</f>
        <v>46081</v>
      </c>
      <c r="T24" s="315">
        <f>+'BT 6HO'!AE37+'BT 6HO'!AE38</f>
        <v>166417625</v>
      </c>
      <c r="U24" s="318"/>
      <c r="V24" s="315">
        <f>+'BT 6HO'!BN37+'BT 6HO'!BN38</f>
        <v>33283525</v>
      </c>
      <c r="X24" s="222" t="b">
        <f t="shared" si="2"/>
        <v>1</v>
      </c>
      <c r="Y24" s="320"/>
    </row>
    <row r="25" spans="2:25">
      <c r="B25" s="1266"/>
      <c r="C25" s="314" t="str">
        <f>+'BT 6HO'!C41</f>
        <v>Kuma Pipe</v>
      </c>
      <c r="D25" s="309">
        <v>500000</v>
      </c>
      <c r="E25" s="318">
        <f>+'BT 6HO'!D41</f>
        <v>651.51</v>
      </c>
      <c r="F25" s="319">
        <f t="shared" si="7"/>
        <v>243762.24489795917</v>
      </c>
      <c r="G25" s="218">
        <f t="shared" si="0"/>
        <v>71666100</v>
      </c>
      <c r="H25" s="218">
        <f t="shared" si="6"/>
        <v>358330500</v>
      </c>
      <c r="I25" s="218">
        <f t="shared" si="9"/>
        <v>358330500</v>
      </c>
      <c r="J25" s="315"/>
      <c r="K25" s="1246"/>
      <c r="L25" s="316">
        <f t="shared" ref="L25:L29" si="10">+L24</f>
        <v>46022</v>
      </c>
      <c r="M25" s="315">
        <f>+'BT 6HO'!Q42+'BT 6HO'!Q43</f>
        <v>71666100</v>
      </c>
      <c r="N25" s="316"/>
      <c r="O25" s="317"/>
      <c r="P25" s="218">
        <f t="shared" si="8"/>
        <v>250831350</v>
      </c>
      <c r="Q25" s="316">
        <f t="shared" ref="Q25:Q29" si="11">+Q24</f>
        <v>46053</v>
      </c>
      <c r="R25" s="315">
        <f>+'BT 6HO'!X42+'BT 6HO'!X43</f>
        <v>71666100</v>
      </c>
      <c r="S25" s="316">
        <f t="shared" ref="S25:S29" si="12">+S24</f>
        <v>46081</v>
      </c>
      <c r="T25" s="315">
        <f>+'BT 6HO'!AE42+'BT 6HO'!AE43</f>
        <v>179165250</v>
      </c>
      <c r="U25" s="318"/>
      <c r="V25" s="315">
        <f>+'BT 6HO'!BN42+'BT 6HO'!BN43</f>
        <v>35833050</v>
      </c>
      <c r="X25" s="222" t="b">
        <f t="shared" si="2"/>
        <v>1</v>
      </c>
      <c r="Y25" s="320"/>
    </row>
    <row r="26" spans="2:25">
      <c r="B26" s="1266"/>
      <c r="C26" s="314" t="str">
        <f>+'BT 3HO'!C41</f>
        <v>Daechon Busan</v>
      </c>
      <c r="D26" s="309">
        <v>500000</v>
      </c>
      <c r="E26" s="318">
        <f>+'BT 3HO'!D41</f>
        <v>1155.7</v>
      </c>
      <c r="F26" s="319">
        <f t="shared" si="7"/>
        <v>432404.76190476189</v>
      </c>
      <c r="G26" s="218">
        <f t="shared" si="0"/>
        <v>127127000</v>
      </c>
      <c r="H26" s="218">
        <f t="shared" si="6"/>
        <v>635635000</v>
      </c>
      <c r="I26" s="218">
        <f t="shared" si="9"/>
        <v>646811000</v>
      </c>
      <c r="J26" s="315">
        <f>+'BT 3HO'!R45</f>
        <v>138303000</v>
      </c>
      <c r="K26" s="1246"/>
      <c r="L26" s="316"/>
      <c r="M26" s="315"/>
      <c r="N26" s="316">
        <f>+'BT 3HO'!U42</f>
        <v>45900</v>
      </c>
      <c r="O26" s="317">
        <f>+'BT 3HO'!X42+'BT 3HO'!X43</f>
        <v>127127000</v>
      </c>
      <c r="P26" s="218">
        <f t="shared" si="8"/>
        <v>317817500</v>
      </c>
      <c r="Q26" s="316">
        <f t="shared" si="11"/>
        <v>46053</v>
      </c>
      <c r="R26" s="315">
        <f>+'BT 3HO'!AE42+'BT 3HO'!AE43</f>
        <v>317817500</v>
      </c>
      <c r="S26" s="316"/>
      <c r="T26" s="315"/>
      <c r="U26" s="318"/>
      <c r="V26" s="315">
        <f>+'BT 3HO'!BN42+'BT 3HO'!BN43</f>
        <v>63563500</v>
      </c>
      <c r="X26" s="222" t="b">
        <f t="shared" si="2"/>
        <v>0</v>
      </c>
      <c r="Y26" s="320"/>
    </row>
    <row r="27" spans="2:25">
      <c r="B27" s="1266"/>
      <c r="C27" s="314" t="str">
        <f>+'BT 3HO'!C46</f>
        <v>E-Tech</v>
      </c>
      <c r="D27" s="309">
        <v>500000</v>
      </c>
      <c r="E27" s="318">
        <f>+'BT 3HO'!D46</f>
        <v>148.47999999999999</v>
      </c>
      <c r="F27" s="319">
        <f t="shared" si="7"/>
        <v>55553.741496598639</v>
      </c>
      <c r="G27" s="218">
        <f t="shared" si="0"/>
        <v>16332800</v>
      </c>
      <c r="H27" s="218">
        <f t="shared" si="6"/>
        <v>81664000</v>
      </c>
      <c r="I27" s="218">
        <f t="shared" si="9"/>
        <v>81664000</v>
      </c>
      <c r="J27" s="315"/>
      <c r="K27" s="1246"/>
      <c r="L27" s="316">
        <f>+'BT 3HO'!N47</f>
        <v>45855</v>
      </c>
      <c r="M27" s="315">
        <f>+'BT 3HO'!Q47+'BT 3HO'!Q48</f>
        <v>16332800</v>
      </c>
      <c r="N27" s="316"/>
      <c r="O27" s="317"/>
      <c r="P27" s="218">
        <f t="shared" si="8"/>
        <v>57164800</v>
      </c>
      <c r="Q27" s="316">
        <f t="shared" si="11"/>
        <v>46053</v>
      </c>
      <c r="R27" s="315">
        <f>+'BT 3HO'!X47+'BT 3HO'!X48</f>
        <v>16332800</v>
      </c>
      <c r="S27" s="316">
        <f t="shared" si="12"/>
        <v>0</v>
      </c>
      <c r="T27" s="315">
        <f>+'BT 3HO'!AE47+'BT 3HO'!AE48</f>
        <v>40832000</v>
      </c>
      <c r="U27" s="318"/>
      <c r="V27" s="315">
        <f>+'BT 3HO'!BN47+'BT 3HO'!BN48</f>
        <v>8166400</v>
      </c>
      <c r="X27" s="222" t="b">
        <f t="shared" si="2"/>
        <v>1</v>
      </c>
      <c r="Y27" s="320"/>
    </row>
    <row r="28" spans="2:25">
      <c r="B28" s="1266"/>
      <c r="C28" s="314" t="str">
        <f>+'BT 6HO'!C46</f>
        <v>Shinsung Logistics &amp; Development</v>
      </c>
      <c r="D28" s="309">
        <v>500000</v>
      </c>
      <c r="E28" s="318">
        <f>+'BT 6HO'!D46</f>
        <v>999.68</v>
      </c>
      <c r="F28" s="319">
        <f t="shared" si="7"/>
        <v>374029.93197278911</v>
      </c>
      <c r="G28" s="218">
        <f t="shared" si="0"/>
        <v>109964800</v>
      </c>
      <c r="H28" s="218">
        <f t="shared" si="6"/>
        <v>549824000</v>
      </c>
      <c r="I28" s="218">
        <f t="shared" si="9"/>
        <v>549824000</v>
      </c>
      <c r="J28" s="315"/>
      <c r="K28" s="1246"/>
      <c r="L28" s="316">
        <f t="shared" si="10"/>
        <v>45855</v>
      </c>
      <c r="M28" s="315">
        <f>+'BT 6HO'!Q47+'BT 6HO'!Q48</f>
        <v>109964800</v>
      </c>
      <c r="N28" s="316"/>
      <c r="O28" s="317"/>
      <c r="P28" s="218">
        <f t="shared" si="8"/>
        <v>384876800</v>
      </c>
      <c r="Q28" s="316">
        <f t="shared" si="11"/>
        <v>46053</v>
      </c>
      <c r="R28" s="315">
        <f>+'BT 6HO'!X47+'BT 6HO'!X48</f>
        <v>109964800</v>
      </c>
      <c r="S28" s="316">
        <f t="shared" si="12"/>
        <v>0</v>
      </c>
      <c r="T28" s="315">
        <f>+'BT 6HO'!AE47+'BT 6HO'!AE48</f>
        <v>274912000</v>
      </c>
      <c r="U28" s="318"/>
      <c r="V28" s="315">
        <f>+'BT 6HO'!BN47+'BT 6HO'!BN48</f>
        <v>54982400</v>
      </c>
      <c r="X28" s="222" t="b">
        <f t="shared" si="2"/>
        <v>1</v>
      </c>
      <c r="Y28" s="320"/>
    </row>
    <row r="29" spans="2:25">
      <c r="B29" s="1266"/>
      <c r="C29" s="314" t="str">
        <f>+'BT 6HO'!C51</f>
        <v>Youngpoong Paper</v>
      </c>
      <c r="D29" s="309">
        <v>500000</v>
      </c>
      <c r="E29" s="318">
        <f>+'BT 6HO'!D51</f>
        <v>2508.8000000000002</v>
      </c>
      <c r="F29" s="319">
        <f t="shared" si="7"/>
        <v>938666.66666666663</v>
      </c>
      <c r="G29" s="218">
        <f t="shared" si="0"/>
        <v>275968000</v>
      </c>
      <c r="H29" s="218">
        <f t="shared" si="6"/>
        <v>1379840000</v>
      </c>
      <c r="I29" s="218">
        <f t="shared" si="9"/>
        <v>1379840000</v>
      </c>
      <c r="J29" s="315"/>
      <c r="K29" s="1247"/>
      <c r="L29" s="316">
        <f t="shared" si="10"/>
        <v>45855</v>
      </c>
      <c r="M29" s="315">
        <f>+'BT 6HO'!Q52+'BT 6HO'!Q53</f>
        <v>275968000</v>
      </c>
      <c r="N29" s="316"/>
      <c r="O29" s="317"/>
      <c r="P29" s="218">
        <f t="shared" si="8"/>
        <v>965888000</v>
      </c>
      <c r="Q29" s="316">
        <f t="shared" si="11"/>
        <v>46053</v>
      </c>
      <c r="R29" s="315">
        <f>+'BT 6HO'!X52+'BT 6HO'!X53</f>
        <v>275968000</v>
      </c>
      <c r="S29" s="316">
        <f t="shared" si="12"/>
        <v>0</v>
      </c>
      <c r="T29" s="315">
        <f>+'BT 6HO'!AE52+'BT 6HO'!AE53</f>
        <v>689920000</v>
      </c>
      <c r="U29" s="318"/>
      <c r="V29" s="315">
        <f>+'BT 6HO'!BN52+'BT 6HO'!BN53</f>
        <v>137984000</v>
      </c>
      <c r="X29" s="222" t="b">
        <f t="shared" si="2"/>
        <v>1</v>
      </c>
      <c r="Y29" s="320"/>
    </row>
    <row r="30" spans="2:25">
      <c r="B30" s="1266"/>
      <c r="C30" s="1268" t="s">
        <v>17</v>
      </c>
      <c r="D30" s="1269"/>
      <c r="E30" s="1279">
        <f>SUM(E15:E29)</f>
        <v>12252.244999999999</v>
      </c>
      <c r="F30" s="1272">
        <f>SUM(F15:F29)</f>
        <v>4584173.2993197283</v>
      </c>
      <c r="G30" s="322">
        <f>G31/1470</f>
        <v>1283478.1292517006</v>
      </c>
      <c r="H30" s="315"/>
      <c r="I30" s="315"/>
      <c r="J30" s="322">
        <f>J31/1470</f>
        <v>519185.22108843538</v>
      </c>
      <c r="K30" s="322" t="e">
        <f>K31/1470</f>
        <v>#REF!</v>
      </c>
      <c r="L30" s="316"/>
      <c r="M30" s="322">
        <f>M31/1470</f>
        <v>794147.61904761905</v>
      </c>
      <c r="N30" s="316"/>
      <c r="O30" s="322">
        <f>O31/1470</f>
        <v>489330.51020408166</v>
      </c>
      <c r="P30" s="322">
        <f>P31/1470</f>
        <v>2330695.3401360544</v>
      </c>
      <c r="Q30" s="316"/>
      <c r="R30" s="322">
        <f>R31/1470</f>
        <v>897217.61904761905</v>
      </c>
      <c r="S30" s="316"/>
      <c r="T30" s="322">
        <f>T31/1470</f>
        <v>1433477.7210884353</v>
      </c>
      <c r="U30" s="318"/>
      <c r="V30" s="322">
        <f>V31/1470</f>
        <v>458417.32993197278</v>
      </c>
      <c r="X30" s="318"/>
    </row>
    <row r="31" spans="2:25">
      <c r="B31" s="1266"/>
      <c r="C31" s="1270"/>
      <c r="D31" s="1271"/>
      <c r="E31" s="1280"/>
      <c r="F31" s="1273"/>
      <c r="G31" s="235">
        <f>+SUM(G15:G29)</f>
        <v>1886712850</v>
      </c>
      <c r="H31" s="235">
        <f t="shared" ref="H31:V31" si="13">+SUM(H15:H29)</f>
        <v>6738734750</v>
      </c>
      <c r="I31" s="235">
        <f t="shared" si="13"/>
        <v>6749910750</v>
      </c>
      <c r="J31" s="235">
        <f t="shared" si="13"/>
        <v>763202275</v>
      </c>
      <c r="K31" s="235" t="e">
        <f>'Current Financial Requirements'!D7</f>
        <v>#REF!</v>
      </c>
      <c r="L31" s="296"/>
      <c r="M31" s="235">
        <f t="shared" si="13"/>
        <v>1167397000</v>
      </c>
      <c r="N31" s="296"/>
      <c r="O31" s="235">
        <f t="shared" si="13"/>
        <v>719315850</v>
      </c>
      <c r="P31" s="235">
        <f>+SUM(P15:P29)</f>
        <v>3426122150</v>
      </c>
      <c r="Q31" s="296"/>
      <c r="R31" s="235">
        <f t="shared" si="13"/>
        <v>1318909900</v>
      </c>
      <c r="S31" s="296"/>
      <c r="T31" s="235">
        <f t="shared" si="13"/>
        <v>2107212250</v>
      </c>
      <c r="U31" s="236"/>
      <c r="V31" s="235">
        <f t="shared" si="13"/>
        <v>673873475</v>
      </c>
      <c r="X31" s="236" t="b">
        <f t="shared" si="2"/>
        <v>0</v>
      </c>
      <c r="Y31" s="320"/>
    </row>
    <row r="32" spans="2:25" ht="12.75" customHeight="1">
      <c r="B32" s="1265" t="s">
        <v>193</v>
      </c>
      <c r="C32" s="219" t="str">
        <f>+'BT 6HO'!C11</f>
        <v>Esun</v>
      </c>
      <c r="D32" s="306">
        <v>500000</v>
      </c>
      <c r="E32" s="223">
        <f>+'BT 6HO'!D11</f>
        <v>150</v>
      </c>
      <c r="F32" s="310">
        <f>D32*E32*1.1/1470</f>
        <v>56122.448979591834</v>
      </c>
      <c r="G32" s="218">
        <f t="shared" si="0"/>
        <v>57750000</v>
      </c>
      <c r="H32" s="218">
        <f>+E32*500000000/1000*1.1</f>
        <v>82500000</v>
      </c>
      <c r="I32" s="218">
        <f t="shared" si="1"/>
        <v>82500000</v>
      </c>
      <c r="J32" s="220">
        <f>+'BT 6HO'!R15</f>
        <v>16500000</v>
      </c>
      <c r="K32" s="1252"/>
      <c r="L32" s="295">
        <f>+'BT 6HO'!U12</f>
        <v>46022</v>
      </c>
      <c r="M32" s="220">
        <f>+'BT 6HO'!X15</f>
        <v>16500000</v>
      </c>
      <c r="N32" s="295">
        <f>+'BT 6HO'!AB12</f>
        <v>46053</v>
      </c>
      <c r="O32" s="218">
        <f>+'BT 6HO'!AE12+'BT 6HO'!AE13</f>
        <v>41250000</v>
      </c>
      <c r="P32" s="231">
        <f>+U32+W32</f>
        <v>0</v>
      </c>
      <c r="Q32" s="295"/>
      <c r="R32" s="220"/>
      <c r="S32" s="295"/>
      <c r="T32" s="218"/>
      <c r="U32" s="222"/>
      <c r="V32" s="218">
        <f>+'BT 6HO'!BN12+'BT 6HO'!BN13</f>
        <v>8250000</v>
      </c>
      <c r="X32" s="222" t="b">
        <f t="shared" si="2"/>
        <v>1</v>
      </c>
      <c r="Y32" s="320"/>
    </row>
    <row r="33" spans="2:25">
      <c r="B33" s="1266"/>
      <c r="C33" s="219" t="e">
        <f>+'BT 6HO'!#REF!</f>
        <v>#REF!</v>
      </c>
      <c r="D33" s="309">
        <v>500000</v>
      </c>
      <c r="E33" s="223" t="e">
        <f>+'BT 6HO'!#REF!</f>
        <v>#REF!</v>
      </c>
      <c r="F33" s="311" t="e">
        <f>D33*E33*1.1/1470</f>
        <v>#REF!</v>
      </c>
      <c r="G33" s="218" t="e">
        <f t="shared" si="0"/>
        <v>#REF!</v>
      </c>
      <c r="H33" s="218" t="e">
        <f>+E33*500000000/1000*1.1</f>
        <v>#REF!</v>
      </c>
      <c r="I33" s="218" t="e">
        <f t="shared" si="1"/>
        <v>#REF!</v>
      </c>
      <c r="J33" s="220" t="e">
        <f>+'BT 6HO'!#REF!</f>
        <v>#REF!</v>
      </c>
      <c r="K33" s="1253"/>
      <c r="L33" s="295" t="e">
        <f>+'BT 6HO'!#REF!</f>
        <v>#REF!</v>
      </c>
      <c r="M33" s="220" t="e">
        <f>+'BT 6HO'!#REF!</f>
        <v>#REF!</v>
      </c>
      <c r="N33" s="295" t="e">
        <f>+'BT 6HO'!#REF!</f>
        <v>#REF!</v>
      </c>
      <c r="O33" s="218" t="e">
        <f>+'BT 6HO'!#REF!+'BT 6HO'!#REF!</f>
        <v>#REF!</v>
      </c>
      <c r="P33" s="218">
        <f>R33+T33</f>
        <v>0</v>
      </c>
      <c r="Q33" s="295"/>
      <c r="R33" s="220"/>
      <c r="S33" s="295"/>
      <c r="T33" s="218"/>
      <c r="U33" s="222"/>
      <c r="V33" s="218" t="e">
        <f>+'BT 6HO'!#REF!+'BT 6HO'!#REF!</f>
        <v>#REF!</v>
      </c>
      <c r="X33" s="222" t="e">
        <f t="shared" si="2"/>
        <v>#REF!</v>
      </c>
      <c r="Y33" s="320"/>
    </row>
    <row r="34" spans="2:25">
      <c r="B34" s="1266"/>
      <c r="C34" s="219" t="e">
        <f>+'BT 6HO'!#REF!</f>
        <v>#REF!</v>
      </c>
      <c r="D34" s="309">
        <v>500000</v>
      </c>
      <c r="E34" s="223" t="e">
        <f>+'BT 6HO'!#REF!</f>
        <v>#REF!</v>
      </c>
      <c r="F34" s="311" t="e">
        <f t="shared" ref="F34" si="14">D34*E34*1.1/1470</f>
        <v>#REF!</v>
      </c>
      <c r="G34" s="218" t="e">
        <f t="shared" si="0"/>
        <v>#REF!</v>
      </c>
      <c r="H34" s="218" t="e">
        <f>+E34*500000000/1000*1.1</f>
        <v>#REF!</v>
      </c>
      <c r="I34" s="218" t="e">
        <f t="shared" si="1"/>
        <v>#REF!</v>
      </c>
      <c r="J34" s="220" t="e">
        <f>+'BT 6HO'!#REF!</f>
        <v>#REF!</v>
      </c>
      <c r="K34" s="1254"/>
      <c r="L34" s="295" t="e">
        <f>+'BT 6HO'!#REF!</f>
        <v>#REF!</v>
      </c>
      <c r="M34" s="220" t="e">
        <f>+'BT 6HO'!#REF!</f>
        <v>#REF!</v>
      </c>
      <c r="N34" s="295" t="e">
        <f>+'BT 6HO'!#REF!</f>
        <v>#REF!</v>
      </c>
      <c r="O34" s="218" t="e">
        <f>+'BT 6HO'!#REF!+'BT 6HO'!#REF!</f>
        <v>#REF!</v>
      </c>
      <c r="P34" s="218">
        <f>R34+T34</f>
        <v>0</v>
      </c>
      <c r="Q34" s="295"/>
      <c r="R34" s="220"/>
      <c r="S34" s="295"/>
      <c r="T34" s="218"/>
      <c r="U34" s="222"/>
      <c r="V34" s="218" t="e">
        <f>+'BT 6HO'!#REF!+'BT 6HO'!#REF!</f>
        <v>#REF!</v>
      </c>
      <c r="X34" s="222" t="e">
        <f t="shared" si="2"/>
        <v>#REF!</v>
      </c>
      <c r="Y34" s="320"/>
    </row>
    <row r="35" spans="2:25">
      <c r="B35" s="1266"/>
      <c r="C35" s="1268" t="s">
        <v>17</v>
      </c>
      <c r="D35" s="1269"/>
      <c r="E35" s="1279" t="e">
        <f>SUM(E32:E34)</f>
        <v>#REF!</v>
      </c>
      <c r="F35" s="1272" t="e">
        <f>SUM(F32:F34)</f>
        <v>#REF!</v>
      </c>
      <c r="G35" s="322" t="e">
        <f>G36/1470</f>
        <v>#REF!</v>
      </c>
      <c r="H35" s="315"/>
      <c r="I35" s="315"/>
      <c r="J35" s="322" t="e">
        <f>J36/1470</f>
        <v>#REF!</v>
      </c>
      <c r="K35" s="322" t="e">
        <f>K36/1470</f>
        <v>#REF!</v>
      </c>
      <c r="L35" s="316"/>
      <c r="M35" s="322" t="e">
        <f>M36/1470</f>
        <v>#REF!</v>
      </c>
      <c r="N35" s="316"/>
      <c r="O35" s="322" t="e">
        <f>O36/1470</f>
        <v>#REF!</v>
      </c>
      <c r="P35" s="322">
        <f>P36/1470</f>
        <v>0</v>
      </c>
      <c r="Q35" s="316"/>
      <c r="R35" s="317"/>
      <c r="S35" s="316"/>
      <c r="T35" s="315"/>
      <c r="U35" s="318"/>
      <c r="V35" s="322" t="e">
        <f>V36/1470</f>
        <v>#REF!</v>
      </c>
      <c r="X35" s="318"/>
    </row>
    <row r="36" spans="2:25">
      <c r="B36" s="1266"/>
      <c r="C36" s="1270"/>
      <c r="D36" s="1271"/>
      <c r="E36" s="1280"/>
      <c r="F36" s="1273"/>
      <c r="G36" s="235" t="e">
        <f>+SUM(G32:G34)</f>
        <v>#REF!</v>
      </c>
      <c r="H36" s="235" t="e">
        <f t="shared" ref="H36:J36" si="15">+SUM(H32:H34)</f>
        <v>#REF!</v>
      </c>
      <c r="I36" s="235" t="e">
        <f t="shared" si="15"/>
        <v>#REF!</v>
      </c>
      <c r="J36" s="235" t="e">
        <f t="shared" si="15"/>
        <v>#REF!</v>
      </c>
      <c r="K36" s="235" t="e">
        <f>'Current Financial Requirements'!D8</f>
        <v>#REF!</v>
      </c>
      <c r="L36" s="296"/>
      <c r="M36" s="235" t="e">
        <f>+SUM(M32:M34)</f>
        <v>#REF!</v>
      </c>
      <c r="N36" s="296"/>
      <c r="O36" s="235" t="e">
        <f>+SUM(O32:O34)</f>
        <v>#REF!</v>
      </c>
      <c r="P36" s="235">
        <f>+SUM(P32:P34)</f>
        <v>0</v>
      </c>
      <c r="Q36" s="296"/>
      <c r="R36" s="235"/>
      <c r="S36" s="296"/>
      <c r="T36" s="235"/>
      <c r="U36" s="236"/>
      <c r="V36" s="235" t="e">
        <f>+SUM(V32:V34)</f>
        <v>#REF!</v>
      </c>
      <c r="X36" s="236" t="e">
        <f t="shared" si="2"/>
        <v>#REF!</v>
      </c>
      <c r="Y36" s="320"/>
    </row>
    <row r="37" spans="2:25" ht="12.75" customHeight="1">
      <c r="B37" s="1265" t="s">
        <v>194</v>
      </c>
      <c r="C37" s="219" t="str">
        <f>+'BT 7HO'!C11</f>
        <v>Eco Inshutech</v>
      </c>
      <c r="D37" s="306">
        <v>500000</v>
      </c>
      <c r="E37" s="224">
        <f>+'BT 7HO'!D11</f>
        <v>225.78</v>
      </c>
      <c r="F37" s="310">
        <f>D37*E37*1.1/1470</f>
        <v>84475.510204081642</v>
      </c>
      <c r="G37" s="218">
        <f t="shared" ref="G37:G43" si="16">+M37+O37</f>
        <v>0</v>
      </c>
      <c r="H37" s="218">
        <f t="shared" ref="H37:H43" si="17">+E37*500000000/1000*1.1</f>
        <v>124179000.00000001</v>
      </c>
      <c r="I37" s="218">
        <f t="shared" ref="I37:I43" si="18">+J37+M37+O37+R37+V37+T37</f>
        <v>170421900</v>
      </c>
      <c r="J37" s="218">
        <f>+'BT 7HO'!R15+'BT 7HO'!Y15+'BT 7HO'!AF15</f>
        <v>158004000</v>
      </c>
      <c r="K37" s="1245"/>
      <c r="L37" s="295"/>
      <c r="M37" s="218"/>
      <c r="N37" s="295"/>
      <c r="O37" s="220"/>
      <c r="P37" s="231">
        <f>+U37+W37</f>
        <v>0</v>
      </c>
      <c r="Q37" s="295"/>
      <c r="R37" s="219"/>
      <c r="S37" s="295"/>
      <c r="T37" s="219"/>
      <c r="U37" s="222"/>
      <c r="V37" s="218">
        <f>+'BT 7HO'!BN12+'BT 7HO'!BN13</f>
        <v>12417900</v>
      </c>
      <c r="X37" s="222" t="b">
        <f t="shared" si="2"/>
        <v>0</v>
      </c>
      <c r="Y37" s="320"/>
    </row>
    <row r="38" spans="2:25">
      <c r="B38" s="1266"/>
      <c r="C38" s="219" t="str">
        <f>+'BT 7HO'!C16</f>
        <v>Younggwang Industry</v>
      </c>
      <c r="D38" s="309">
        <v>500000</v>
      </c>
      <c r="E38" s="224">
        <f>+'BT 7HO'!D16</f>
        <v>545.46</v>
      </c>
      <c r="F38" s="311">
        <f>D38*E38*1.1/1470</f>
        <v>204083.67346938775</v>
      </c>
      <c r="G38" s="218">
        <f t="shared" si="16"/>
        <v>150001500</v>
      </c>
      <c r="H38" s="218">
        <f t="shared" si="17"/>
        <v>300003000.00000012</v>
      </c>
      <c r="I38" s="218">
        <f t="shared" si="18"/>
        <v>319880900</v>
      </c>
      <c r="J38" s="218">
        <f>+'BT 7HO'!R20+'BT 7HO'!Y20</f>
        <v>139879100</v>
      </c>
      <c r="K38" s="1246"/>
      <c r="L38" s="295">
        <f>+'BT 7HO'!AB17</f>
        <v>45991</v>
      </c>
      <c r="M38" s="218">
        <f>+'BT 7HO'!AE17+'BT 7HO'!AE18</f>
        <v>150001500</v>
      </c>
      <c r="N38" s="295"/>
      <c r="O38" s="220"/>
      <c r="P38" s="218">
        <f>R38+T38</f>
        <v>0</v>
      </c>
      <c r="Q38" s="295"/>
      <c r="R38" s="219"/>
      <c r="S38" s="295"/>
      <c r="T38" s="219"/>
      <c r="U38" s="222"/>
      <c r="V38" s="218">
        <f>+'BT 7HO'!BN17+'BT 7HO'!BN18</f>
        <v>30000300</v>
      </c>
      <c r="X38" s="222" t="b">
        <f t="shared" si="2"/>
        <v>0</v>
      </c>
      <c r="Y38" s="320"/>
    </row>
    <row r="39" spans="2:25">
      <c r="B39" s="1266"/>
      <c r="C39" s="219" t="e">
        <f>+'BT 7HO'!#REF!</f>
        <v>#REF!</v>
      </c>
      <c r="D39" s="309">
        <v>500000</v>
      </c>
      <c r="E39" s="224" t="e">
        <f>+'BT 7HO'!#REF!</f>
        <v>#REF!</v>
      </c>
      <c r="F39" s="311" t="e">
        <f t="shared" ref="F39:F43" si="19">D39*E39*1.1/1470</f>
        <v>#REF!</v>
      </c>
      <c r="G39" s="218">
        <f t="shared" si="16"/>
        <v>0</v>
      </c>
      <c r="H39" s="218" t="e">
        <f t="shared" si="17"/>
        <v>#REF!</v>
      </c>
      <c r="I39" s="218">
        <f t="shared" si="18"/>
        <v>83121500</v>
      </c>
      <c r="J39" s="218">
        <f>+'Dropped Project'!S30+'Dropped Project'!Z30+'Dropped Project'!AG30</f>
        <v>74809350</v>
      </c>
      <c r="K39" s="1246"/>
      <c r="L39" s="295"/>
      <c r="M39" s="218"/>
      <c r="N39" s="295"/>
      <c r="O39" s="220"/>
      <c r="P39" s="218">
        <f t="shared" ref="P39:P43" si="20">R39+T39</f>
        <v>0</v>
      </c>
      <c r="Q39" s="295"/>
      <c r="R39" s="219"/>
      <c r="S39" s="295"/>
      <c r="T39" s="219"/>
      <c r="U39" s="222"/>
      <c r="V39" s="218">
        <f>+'Dropped Project'!BO27+'Dropped Project'!BO28</f>
        <v>8312150</v>
      </c>
      <c r="X39" s="222" t="e">
        <f t="shared" si="2"/>
        <v>#REF!</v>
      </c>
      <c r="Y39" s="320"/>
    </row>
    <row r="40" spans="2:25">
      <c r="B40" s="1266"/>
      <c r="C40" s="219" t="e">
        <f>+'BT 7HO'!#REF!</f>
        <v>#REF!</v>
      </c>
      <c r="D40" s="309">
        <v>500000</v>
      </c>
      <c r="E40" s="291" t="e">
        <f>+'BT 7HO'!#REF!+'BT 7HO'!#REF!</f>
        <v>#REF!</v>
      </c>
      <c r="F40" s="311" t="e">
        <f t="shared" si="19"/>
        <v>#REF!</v>
      </c>
      <c r="G40" s="218">
        <f t="shared" si="16"/>
        <v>30272000.000000004</v>
      </c>
      <c r="H40" s="218" t="e">
        <f t="shared" si="17"/>
        <v>#REF!</v>
      </c>
      <c r="I40" s="218">
        <f t="shared" si="18"/>
        <v>60544000</v>
      </c>
      <c r="J40" s="218">
        <f>+'Dropped Project'!S35+'Dropped Project'!Z35+'Dropped Project'!S40+'Dropped Project'!Z40</f>
        <v>24296800</v>
      </c>
      <c r="K40" s="1246"/>
      <c r="L40" s="295"/>
      <c r="M40" s="218"/>
      <c r="N40" s="295">
        <f>+'Dropped Project'!AC32</f>
        <v>45900</v>
      </c>
      <c r="O40" s="220">
        <f>+'Dropped Project'!AF32+'Dropped Project'!AF33+'Dropped Project'!AF37+'Dropped Project'!AF38</f>
        <v>30272000.000000004</v>
      </c>
      <c r="P40" s="218">
        <f t="shared" si="20"/>
        <v>0</v>
      </c>
      <c r="Q40" s="295"/>
      <c r="R40" s="219"/>
      <c r="S40" s="295"/>
      <c r="T40" s="219"/>
      <c r="U40" s="222"/>
      <c r="V40" s="218">
        <f>+'Dropped Project'!BO32+'Dropped Project'!BO33+'Dropped Project'!BO37+'Dropped Project'!BO38-79200</f>
        <v>5975200.0000000009</v>
      </c>
      <c r="X40" s="359" t="e">
        <f>+H40=I40</f>
        <v>#REF!</v>
      </c>
      <c r="Y40" s="320"/>
    </row>
    <row r="41" spans="2:25">
      <c r="B41" s="1266"/>
      <c r="C41" s="219" t="e">
        <f>+'BT 7HO'!#REF!</f>
        <v>#REF!</v>
      </c>
      <c r="D41" s="309">
        <v>500000</v>
      </c>
      <c r="E41" s="224" t="e">
        <f>+'BT 7HO'!#REF!</f>
        <v>#REF!</v>
      </c>
      <c r="F41" s="311" t="e">
        <f t="shared" si="19"/>
        <v>#REF!</v>
      </c>
      <c r="G41" s="218">
        <f t="shared" si="16"/>
        <v>43656250</v>
      </c>
      <c r="H41" s="218" t="e">
        <f t="shared" si="17"/>
        <v>#REF!</v>
      </c>
      <c r="I41" s="218">
        <f t="shared" si="18"/>
        <v>87312500</v>
      </c>
      <c r="J41" s="218">
        <f>+'Dropped Project'!S45+'Dropped Project'!Z45</f>
        <v>34925000</v>
      </c>
      <c r="K41" s="1246"/>
      <c r="L41" s="295"/>
      <c r="M41" s="218"/>
      <c r="N41" s="295">
        <f>+'Dropped Project'!AC42</f>
        <v>45900</v>
      </c>
      <c r="O41" s="220">
        <f>+'Dropped Project'!AF42+'Dropped Project'!AF43</f>
        <v>43656250</v>
      </c>
      <c r="P41" s="218">
        <f t="shared" si="20"/>
        <v>0</v>
      </c>
      <c r="Q41" s="295"/>
      <c r="R41" s="219"/>
      <c r="S41" s="295"/>
      <c r="T41" s="219"/>
      <c r="U41" s="222"/>
      <c r="V41" s="218">
        <f>+'Dropped Project'!BO42+'Dropped Project'!BO43</f>
        <v>8731250</v>
      </c>
      <c r="X41" s="222" t="e">
        <f t="shared" si="2"/>
        <v>#REF!</v>
      </c>
      <c r="Y41" s="320"/>
    </row>
    <row r="42" spans="2:25">
      <c r="B42" s="1266"/>
      <c r="C42" s="219" t="str">
        <f>+'BT 7HO'!C21</f>
        <v>BNB Composite(Drop)</v>
      </c>
      <c r="D42" s="309">
        <v>500000</v>
      </c>
      <c r="E42" s="224">
        <f>+'BT 7HO'!D21</f>
        <v>207.36</v>
      </c>
      <c r="F42" s="311">
        <f t="shared" si="19"/>
        <v>77583.673469387766</v>
      </c>
      <c r="G42" s="218">
        <f t="shared" si="16"/>
        <v>79833600.000000015</v>
      </c>
      <c r="H42" s="218">
        <f t="shared" si="17"/>
        <v>114048000.00000001</v>
      </c>
      <c r="I42" s="218">
        <f t="shared" si="18"/>
        <v>118060800</v>
      </c>
      <c r="J42" s="218">
        <f>+'BT 7HO'!R25</f>
        <v>26822400</v>
      </c>
      <c r="K42" s="1246"/>
      <c r="L42" s="295">
        <f>+'BT 7HO'!U22</f>
        <v>45855</v>
      </c>
      <c r="M42" s="218">
        <f>+'BT 7HO'!X22+'BT 7HO'!X23</f>
        <v>22809600.000000004</v>
      </c>
      <c r="N42" s="295">
        <f>+'BT 7HO'!AB22</f>
        <v>45930</v>
      </c>
      <c r="O42" s="220">
        <f>+'BT 7HO'!AE22+'BT 7HO'!AE23</f>
        <v>57024000.000000007</v>
      </c>
      <c r="P42" s="218">
        <f t="shared" si="20"/>
        <v>0</v>
      </c>
      <c r="Q42" s="295"/>
      <c r="R42" s="219"/>
      <c r="S42" s="295"/>
      <c r="T42" s="219"/>
      <c r="U42" s="222"/>
      <c r="V42" s="218">
        <f>+'BT 7HO'!BN22+'BT 7HO'!BN23</f>
        <v>11404800.000000002</v>
      </c>
      <c r="X42" s="222" t="b">
        <f t="shared" si="2"/>
        <v>0</v>
      </c>
      <c r="Y42" s="320"/>
    </row>
    <row r="43" spans="2:25">
      <c r="B43" s="1266"/>
      <c r="C43" s="219" t="str">
        <f>+'BT 7HO'!C26</f>
        <v>MPM Trade</v>
      </c>
      <c r="D43" s="309">
        <v>500000</v>
      </c>
      <c r="E43" s="224">
        <f>+'BT 7HO'!D26</f>
        <v>210.82</v>
      </c>
      <c r="F43" s="311">
        <f t="shared" si="19"/>
        <v>78878.231292517012</v>
      </c>
      <c r="G43" s="218">
        <f t="shared" si="16"/>
        <v>57975500</v>
      </c>
      <c r="H43" s="218">
        <f t="shared" si="17"/>
        <v>115951000.00000001</v>
      </c>
      <c r="I43" s="218">
        <f t="shared" si="18"/>
        <v>115951000</v>
      </c>
      <c r="J43" s="218">
        <f>+'BT 7HO'!R30+'BT 7HO'!Y30</f>
        <v>46380400</v>
      </c>
      <c r="K43" s="1247"/>
      <c r="L43" s="295"/>
      <c r="M43" s="218"/>
      <c r="N43" s="295">
        <f>+'BT 7HO'!AB27</f>
        <v>45900</v>
      </c>
      <c r="O43" s="220">
        <f>+'BT 7HO'!AE27+'BT 7HO'!AE28</f>
        <v>57975500</v>
      </c>
      <c r="P43" s="218">
        <f t="shared" si="20"/>
        <v>0</v>
      </c>
      <c r="Q43" s="295"/>
      <c r="R43" s="219"/>
      <c r="S43" s="295"/>
      <c r="T43" s="219"/>
      <c r="U43" s="222"/>
      <c r="V43" s="218">
        <f>+'BT 7HO'!BN27+'BT 7HO'!BN28</f>
        <v>11595100</v>
      </c>
      <c r="X43" s="222" t="b">
        <f t="shared" si="2"/>
        <v>1</v>
      </c>
      <c r="Y43" s="320"/>
    </row>
    <row r="44" spans="2:25">
      <c r="B44" s="1266"/>
      <c r="C44" s="1268" t="s">
        <v>17</v>
      </c>
      <c r="D44" s="1269"/>
      <c r="E44" s="1279" t="e">
        <f>SUM(E37:E43)</f>
        <v>#REF!</v>
      </c>
      <c r="F44" s="1272" t="e">
        <f>SUM(F37:F43)</f>
        <v>#REF!</v>
      </c>
      <c r="G44" s="322">
        <f>G45/1470</f>
        <v>246080.85034013606</v>
      </c>
      <c r="H44" s="315"/>
      <c r="I44" s="315"/>
      <c r="J44" s="322">
        <f>J45/1470</f>
        <v>343617.04081632651</v>
      </c>
      <c r="K44" s="322" t="e">
        <f>K45/1470</f>
        <v>#REF!</v>
      </c>
      <c r="L44" s="316"/>
      <c r="M44" s="315"/>
      <c r="N44" s="316"/>
      <c r="O44" s="317"/>
      <c r="P44" s="322">
        <f>P45/1470</f>
        <v>0</v>
      </c>
      <c r="Q44" s="316"/>
      <c r="R44" s="323"/>
      <c r="S44" s="316"/>
      <c r="T44" s="323"/>
      <c r="U44" s="318"/>
      <c r="V44" s="322">
        <f>V45/1470</f>
        <v>60161.020408163262</v>
      </c>
      <c r="X44" s="318"/>
    </row>
    <row r="45" spans="2:25">
      <c r="B45" s="1267"/>
      <c r="C45" s="1270"/>
      <c r="D45" s="1271"/>
      <c r="E45" s="1280"/>
      <c r="F45" s="1273"/>
      <c r="G45" s="235">
        <f>+SUM(G37:G43)</f>
        <v>361738850</v>
      </c>
      <c r="H45" s="235" t="e">
        <f t="shared" ref="H45:J45" si="21">+SUM(H37:H43)</f>
        <v>#REF!</v>
      </c>
      <c r="I45" s="235">
        <f t="shared" si="21"/>
        <v>955292600</v>
      </c>
      <c r="J45" s="235">
        <f t="shared" si="21"/>
        <v>505117050</v>
      </c>
      <c r="K45" s="235" t="e">
        <f>'Current Financial Requirements'!D9</f>
        <v>#REF!</v>
      </c>
      <c r="L45" s="296"/>
      <c r="M45" s="235">
        <f>+SUM(M37:M43)</f>
        <v>172811100</v>
      </c>
      <c r="N45" s="296"/>
      <c r="O45" s="235">
        <f>+SUM(O37:O43)</f>
        <v>188927750</v>
      </c>
      <c r="P45" s="235">
        <f>+SUM(P37:P43)</f>
        <v>0</v>
      </c>
      <c r="Q45" s="296"/>
      <c r="R45" s="235">
        <f>+SUM(R37:R43)</f>
        <v>0</v>
      </c>
      <c r="S45" s="296"/>
      <c r="T45" s="235">
        <f>+SUM(T37:T43)</f>
        <v>0</v>
      </c>
      <c r="U45" s="236"/>
      <c r="V45" s="235">
        <f>+SUM(V37:V43)</f>
        <v>88436700</v>
      </c>
      <c r="X45" s="236" t="e">
        <f t="shared" si="2"/>
        <v>#REF!</v>
      </c>
      <c r="Y45" s="320"/>
    </row>
    <row r="46" spans="2:25">
      <c r="B46" s="347"/>
      <c r="C46" s="348"/>
      <c r="D46" s="348"/>
      <c r="E46" s="349"/>
      <c r="F46" s="350"/>
      <c r="G46" s="351" t="e">
        <f>G47/1470</f>
        <v>#REF!</v>
      </c>
      <c r="H46" s="352"/>
      <c r="I46" s="352"/>
      <c r="J46" s="351" t="e">
        <f>J47/1470</f>
        <v>#REF!</v>
      </c>
      <c r="K46" s="351" t="e">
        <f>K47/1470</f>
        <v>#REF!</v>
      </c>
      <c r="L46" s="353"/>
      <c r="M46" s="351" t="e">
        <f>M47/1470</f>
        <v>#REF!</v>
      </c>
      <c r="N46" s="353"/>
      <c r="O46" s="351" t="e">
        <f>O47/1470</f>
        <v>#REF!</v>
      </c>
      <c r="P46" s="351">
        <f>P47/1470</f>
        <v>2458822.8911564625</v>
      </c>
      <c r="Q46" s="353"/>
      <c r="R46" s="351">
        <f>R47/1470</f>
        <v>1025345.1700680272</v>
      </c>
      <c r="S46" s="353"/>
      <c r="T46" s="351">
        <f>T47/1470</f>
        <v>1433477.7210884353</v>
      </c>
      <c r="U46" s="354"/>
      <c r="V46" s="351" t="e">
        <f>V47/1470</f>
        <v>#REF!</v>
      </c>
      <c r="X46" s="324"/>
    </row>
    <row r="47" spans="2:25">
      <c r="B47" s="1255" t="s">
        <v>17</v>
      </c>
      <c r="C47" s="1256"/>
      <c r="D47" s="1256"/>
      <c r="E47" s="313" t="e">
        <f>E13+E30+E35+E44</f>
        <v>#REF!</v>
      </c>
      <c r="F47" s="312" t="e">
        <f>F13+F30+F35+F44</f>
        <v>#REF!</v>
      </c>
      <c r="G47" s="292" t="e">
        <f>+G14+G31+G36+G45</f>
        <v>#REF!</v>
      </c>
      <c r="H47" s="292" t="e">
        <f>+H14+H31+H36+H45</f>
        <v>#REF!</v>
      </c>
      <c r="I47" s="292" t="e">
        <f>+I14+I31+I36+I45</f>
        <v>#REF!</v>
      </c>
      <c r="J47" s="292" t="e">
        <f>+J14+J31+J36+J45</f>
        <v>#REF!</v>
      </c>
      <c r="K47" s="292" t="e">
        <f>+K14+K31+K36+K45</f>
        <v>#REF!</v>
      </c>
      <c r="L47" s="293"/>
      <c r="M47" s="292" t="e">
        <f>+M14+M31+M36+M45</f>
        <v>#REF!</v>
      </c>
      <c r="N47" s="293"/>
      <c r="O47" s="292" t="e">
        <f>+O14+O31+O36+O45</f>
        <v>#REF!</v>
      </c>
      <c r="P47" s="292">
        <f>+P14+P31+P36+P45</f>
        <v>3614469650</v>
      </c>
      <c r="Q47" s="293"/>
      <c r="R47" s="292">
        <f>+R14+R31+R36+R45</f>
        <v>1507257400</v>
      </c>
      <c r="S47" s="293"/>
      <c r="T47" s="292">
        <f>+T14+T31+T36+T45</f>
        <v>2107212250</v>
      </c>
      <c r="U47" s="293"/>
      <c r="V47" s="292" t="e">
        <f>+V14+V31+V36+V45</f>
        <v>#REF!</v>
      </c>
      <c r="X47" s="293"/>
    </row>
    <row r="48" spans="2:25">
      <c r="E48" s="215"/>
      <c r="F48" s="215"/>
      <c r="K48" s="320"/>
      <c r="L48" s="215"/>
      <c r="N48" s="215"/>
      <c r="Q48" s="215"/>
      <c r="U48" s="215"/>
    </row>
    <row r="49" spans="10:22" s="215" customFormat="1">
      <c r="J49" s="320"/>
      <c r="K49" s="320"/>
      <c r="M49" s="320"/>
      <c r="O49" s="320"/>
      <c r="R49" s="320"/>
      <c r="S49" s="216"/>
      <c r="T49" s="320"/>
      <c r="V49" s="320"/>
    </row>
    <row r="50" spans="10:22" s="215" customFormat="1">
      <c r="J50" s="320"/>
      <c r="M50" s="320"/>
      <c r="O50" s="320"/>
      <c r="S50" s="216"/>
      <c r="V50" s="320"/>
    </row>
    <row r="51" spans="10:22" s="215" customFormat="1">
      <c r="S51" s="216"/>
    </row>
    <row r="52" spans="10:22" s="215" customFormat="1">
      <c r="S52" s="216"/>
    </row>
  </sheetData>
  <mergeCells count="38">
    <mergeCell ref="X2:X3"/>
    <mergeCell ref="U2:V3"/>
    <mergeCell ref="B32:B36"/>
    <mergeCell ref="B37:B45"/>
    <mergeCell ref="F2:F3"/>
    <mergeCell ref="D2:D3"/>
    <mergeCell ref="E13:E14"/>
    <mergeCell ref="F30:F31"/>
    <mergeCell ref="E30:E31"/>
    <mergeCell ref="C30:D31"/>
    <mergeCell ref="F35:F36"/>
    <mergeCell ref="E35:E36"/>
    <mergeCell ref="C35:D36"/>
    <mergeCell ref="F44:F45"/>
    <mergeCell ref="E44:E45"/>
    <mergeCell ref="C44:D45"/>
    <mergeCell ref="B47:D47"/>
    <mergeCell ref="H2:H3"/>
    <mergeCell ref="I2:I3"/>
    <mergeCell ref="J2:J3"/>
    <mergeCell ref="S2:T2"/>
    <mergeCell ref="N2:O2"/>
    <mergeCell ref="Q2:R2"/>
    <mergeCell ref="G2:G3"/>
    <mergeCell ref="E2:E3"/>
    <mergeCell ref="C2:C3"/>
    <mergeCell ref="B2:B3"/>
    <mergeCell ref="B4:B14"/>
    <mergeCell ref="L2:M2"/>
    <mergeCell ref="B15:B31"/>
    <mergeCell ref="C13:D14"/>
    <mergeCell ref="F13:F14"/>
    <mergeCell ref="K37:K43"/>
    <mergeCell ref="P2:P3"/>
    <mergeCell ref="K2:K3"/>
    <mergeCell ref="K4:K12"/>
    <mergeCell ref="K15:K29"/>
    <mergeCell ref="K32:K34"/>
  </mergeCells>
  <phoneticPr fontId="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CE00-1D08-4916-AA15-81C0A5D2DE0F}">
  <dimension ref="B3:U32"/>
  <sheetViews>
    <sheetView showGridLines="0" zoomScaleNormal="100" workbookViewId="0">
      <selection activeCell="K37" sqref="K37"/>
    </sheetView>
  </sheetViews>
  <sheetFormatPr defaultColWidth="9.140625" defaultRowHeight="12.75"/>
  <cols>
    <col min="1" max="1" width="1.7109375" style="6" customWidth="1"/>
    <col min="2" max="2" width="21.140625" style="6" customWidth="1"/>
    <col min="3" max="14" width="15.7109375" style="6" customWidth="1"/>
    <col min="15" max="16384" width="9.140625" style="6"/>
  </cols>
  <sheetData>
    <row r="3" spans="2:20" ht="24" customHeight="1">
      <c r="B3" s="1281" t="s">
        <v>285</v>
      </c>
      <c r="C3" s="1281"/>
      <c r="D3" s="1281"/>
      <c r="E3" s="621"/>
      <c r="F3" s="621"/>
      <c r="G3" s="621"/>
      <c r="H3" s="621"/>
      <c r="I3" s="621"/>
      <c r="J3" s="621"/>
      <c r="K3" s="621"/>
      <c r="L3" s="621"/>
      <c r="M3" s="621"/>
      <c r="N3" s="621"/>
    </row>
    <row r="4" spans="2:20">
      <c r="B4" s="640" t="s">
        <v>286</v>
      </c>
      <c r="C4" s="1282" t="s">
        <v>287</v>
      </c>
      <c r="D4" s="1282" t="s">
        <v>288</v>
      </c>
      <c r="E4" s="1282" t="s">
        <v>289</v>
      </c>
      <c r="F4" s="1282" t="s">
        <v>290</v>
      </c>
      <c r="G4" s="1282" t="s">
        <v>291</v>
      </c>
      <c r="H4" s="1285" t="s">
        <v>292</v>
      </c>
      <c r="I4" s="644" t="s">
        <v>293</v>
      </c>
      <c r="J4" s="644" t="s">
        <v>294</v>
      </c>
      <c r="K4" s="644" t="s">
        <v>295</v>
      </c>
      <c r="L4" s="1283" t="s">
        <v>296</v>
      </c>
      <c r="M4" s="1282" t="s">
        <v>296</v>
      </c>
      <c r="N4" s="1282" t="s">
        <v>297</v>
      </c>
    </row>
    <row r="5" spans="2:20">
      <c r="B5" s="640" t="s">
        <v>298</v>
      </c>
      <c r="C5" s="1282"/>
      <c r="D5" s="1282"/>
      <c r="E5" s="1282"/>
      <c r="F5" s="1282"/>
      <c r="G5" s="1282"/>
      <c r="H5" s="1285"/>
      <c r="I5" s="644" t="s">
        <v>299</v>
      </c>
      <c r="J5" s="644" t="s">
        <v>300</v>
      </c>
      <c r="K5" s="644" t="s">
        <v>299</v>
      </c>
      <c r="L5" s="1283"/>
      <c r="M5" s="1282"/>
      <c r="N5" s="1282"/>
    </row>
    <row r="6" spans="2:20">
      <c r="B6" s="676"/>
      <c r="C6" s="677" t="s">
        <v>301</v>
      </c>
      <c r="D6" s="677" t="s">
        <v>302</v>
      </c>
      <c r="E6" s="677" t="s">
        <v>303</v>
      </c>
      <c r="F6" s="677" t="s">
        <v>304</v>
      </c>
      <c r="G6" s="677" t="s">
        <v>305</v>
      </c>
      <c r="H6" s="678" t="s">
        <v>306</v>
      </c>
      <c r="I6" s="679" t="s">
        <v>307</v>
      </c>
      <c r="J6" s="679" t="s">
        <v>306</v>
      </c>
      <c r="K6" s="679" t="s">
        <v>307</v>
      </c>
      <c r="L6" s="680" t="s">
        <v>307</v>
      </c>
      <c r="M6" s="677" t="s">
        <v>308</v>
      </c>
      <c r="N6" s="677" t="s">
        <v>309</v>
      </c>
    </row>
    <row r="7" spans="2:20">
      <c r="B7" s="628" t="str">
        <f>+'CAPEX_Amount to be paid in 2025'!C4</f>
        <v>Jinyoung Metal Factory_1</v>
      </c>
      <c r="C7" s="629">
        <v>46233</v>
      </c>
      <c r="D7" s="1286">
        <v>189</v>
      </c>
      <c r="E7" s="631">
        <f>+'CAPEX_Amount to be paid in 2025'!E4/1000</f>
        <v>0.81720999999999999</v>
      </c>
      <c r="F7" s="630">
        <v>30</v>
      </c>
      <c r="G7" s="632">
        <v>1424</v>
      </c>
      <c r="H7" s="633">
        <f>+I7*E7</f>
        <v>898.93100000000004</v>
      </c>
      <c r="I7" s="634">
        <v>1100</v>
      </c>
      <c r="J7" s="635">
        <f t="shared" ref="J7:J19" si="0">+K7*E7</f>
        <v>286.02350000000001</v>
      </c>
      <c r="K7" s="636">
        <v>350</v>
      </c>
      <c r="L7" s="637">
        <v>77</v>
      </c>
      <c r="M7" s="630">
        <v>54</v>
      </c>
      <c r="N7" s="622">
        <v>0.1037</v>
      </c>
      <c r="P7" s="6">
        <f>+G7*E7</f>
        <v>1163.70704</v>
      </c>
      <c r="R7" s="6">
        <f>+K7*E7</f>
        <v>286.02350000000001</v>
      </c>
      <c r="T7" s="6">
        <f>+N7*E7</f>
        <v>8.4744677000000004E-2</v>
      </c>
    </row>
    <row r="8" spans="2:20">
      <c r="B8" s="638" t="str">
        <f>+'CAPEX_Amount to be paid in 2025'!C5</f>
        <v>Jinyoung Metal Factory_2</v>
      </c>
      <c r="C8" s="639">
        <v>46142</v>
      </c>
      <c r="D8" s="1282"/>
      <c r="E8" s="641">
        <f>+'CAPEX_Amount to be paid in 2025'!E5/1000</f>
        <v>0.24068999999999999</v>
      </c>
      <c r="F8" s="640">
        <v>30</v>
      </c>
      <c r="G8" s="642">
        <v>1403</v>
      </c>
      <c r="H8" s="633">
        <f>+I8*E8</f>
        <v>264.75899999999996</v>
      </c>
      <c r="I8" s="643">
        <v>1100</v>
      </c>
      <c r="J8" s="635">
        <f t="shared" si="0"/>
        <v>84.241500000000002</v>
      </c>
      <c r="K8" s="644">
        <v>350</v>
      </c>
      <c r="L8" s="645">
        <v>77</v>
      </c>
      <c r="M8" s="640">
        <v>55</v>
      </c>
      <c r="N8" s="623">
        <v>0.1009</v>
      </c>
      <c r="P8" s="6">
        <f t="shared" ref="P8:P20" si="1">+G8*E8</f>
        <v>337.68806999999998</v>
      </c>
      <c r="R8" s="6">
        <f t="shared" ref="R8:R20" si="2">+K8*E8</f>
        <v>84.241500000000002</v>
      </c>
      <c r="T8" s="684">
        <f t="shared" ref="T8:T20" si="3">+N8*E8</f>
        <v>2.4285621E-2</v>
      </c>
    </row>
    <row r="9" spans="2:20">
      <c r="B9" s="638" t="str">
        <f>+'CAPEX_Amount to be paid in 2025'!C6</f>
        <v>Kairos</v>
      </c>
      <c r="C9" s="639">
        <v>46142</v>
      </c>
      <c r="D9" s="1282"/>
      <c r="E9" s="641">
        <f>+'CAPEX_Amount to be paid in 2025'!E6/1000</f>
        <v>0.38624000000000003</v>
      </c>
      <c r="F9" s="640">
        <v>30</v>
      </c>
      <c r="G9" s="642">
        <v>1351</v>
      </c>
      <c r="H9" s="633">
        <f t="shared" ref="H9:H20" si="4">+I9*E9</f>
        <v>424.86400000000003</v>
      </c>
      <c r="I9" s="643">
        <v>1100</v>
      </c>
      <c r="J9" s="635">
        <f t="shared" si="0"/>
        <v>135.184</v>
      </c>
      <c r="K9" s="644">
        <v>350</v>
      </c>
      <c r="L9" s="645">
        <v>77</v>
      </c>
      <c r="M9" s="640">
        <v>57</v>
      </c>
      <c r="N9" s="623">
        <v>9.5399999999999999E-2</v>
      </c>
      <c r="P9" s="6">
        <f t="shared" si="1"/>
        <v>521.81024000000002</v>
      </c>
      <c r="R9" s="6">
        <f t="shared" si="2"/>
        <v>135.184</v>
      </c>
      <c r="T9" s="684">
        <f t="shared" si="3"/>
        <v>3.6847296000000002E-2</v>
      </c>
    </row>
    <row r="10" spans="2:20">
      <c r="B10" s="638" t="str">
        <f>+'CAPEX_Amount to be paid in 2025'!C7</f>
        <v>Doori Industry</v>
      </c>
      <c r="C10" s="639">
        <v>46142</v>
      </c>
      <c r="D10" s="1282"/>
      <c r="E10" s="641">
        <f>+'CAPEX_Amount to be paid in 2025'!E7/1000</f>
        <v>0.21</v>
      </c>
      <c r="F10" s="640">
        <v>30</v>
      </c>
      <c r="G10" s="642">
        <v>1399</v>
      </c>
      <c r="H10" s="633">
        <f t="shared" si="4"/>
        <v>231</v>
      </c>
      <c r="I10" s="643">
        <v>1100</v>
      </c>
      <c r="J10" s="635">
        <f t="shared" si="0"/>
        <v>94.5</v>
      </c>
      <c r="K10" s="644">
        <v>450</v>
      </c>
      <c r="L10" s="645">
        <v>77</v>
      </c>
      <c r="M10" s="640">
        <v>55</v>
      </c>
      <c r="N10" s="623">
        <v>9.35E-2</v>
      </c>
      <c r="P10" s="6">
        <f t="shared" si="1"/>
        <v>293.78999999999996</v>
      </c>
      <c r="R10" s="6">
        <f t="shared" si="2"/>
        <v>94.5</v>
      </c>
      <c r="T10" s="684">
        <f t="shared" si="3"/>
        <v>1.9635E-2</v>
      </c>
    </row>
    <row r="11" spans="2:20">
      <c r="B11" s="638" t="str">
        <f>+'CAPEX_Amount to be paid in 2025'!C8</f>
        <v>Geumjeong Techno</v>
      </c>
      <c r="C11" s="639">
        <v>46142</v>
      </c>
      <c r="D11" s="1282"/>
      <c r="E11" s="641">
        <f>+'CAPEX_Amount to be paid in 2025'!E8/1000</f>
        <v>0.122</v>
      </c>
      <c r="F11" s="640">
        <v>30</v>
      </c>
      <c r="G11" s="642">
        <v>1383</v>
      </c>
      <c r="H11" s="633">
        <f t="shared" si="4"/>
        <v>134.19999999999999</v>
      </c>
      <c r="I11" s="643">
        <v>1100</v>
      </c>
      <c r="J11" s="635">
        <f t="shared" si="0"/>
        <v>54.9</v>
      </c>
      <c r="K11" s="644">
        <v>450</v>
      </c>
      <c r="L11" s="645">
        <v>77</v>
      </c>
      <c r="M11" s="640">
        <v>55</v>
      </c>
      <c r="N11" s="623">
        <v>9.1899999999999996E-2</v>
      </c>
      <c r="P11" s="6">
        <f t="shared" si="1"/>
        <v>168.726</v>
      </c>
      <c r="R11" s="6">
        <f t="shared" si="2"/>
        <v>54.9</v>
      </c>
      <c r="T11" s="684">
        <f t="shared" si="3"/>
        <v>1.1211799999999999E-2</v>
      </c>
    </row>
    <row r="12" spans="2:20" ht="24">
      <c r="B12" s="638" t="str">
        <f>+'CAPEX_Amount to be paid in 2025'!C9</f>
        <v>Epyeonan nursing home(Drop)</v>
      </c>
      <c r="C12" s="639">
        <v>46264</v>
      </c>
      <c r="D12" s="1282"/>
      <c r="E12" s="641">
        <f>+'CAPEX_Amount to be paid in 2025'!E9/1000</f>
        <v>0.17199999999999999</v>
      </c>
      <c r="F12" s="640">
        <v>30</v>
      </c>
      <c r="G12" s="642">
        <v>1431</v>
      </c>
      <c r="H12" s="633">
        <f t="shared" si="4"/>
        <v>189.2</v>
      </c>
      <c r="I12" s="643">
        <v>1100</v>
      </c>
      <c r="J12" s="635">
        <f t="shared" si="0"/>
        <v>77.399999999999991</v>
      </c>
      <c r="K12" s="644">
        <v>450</v>
      </c>
      <c r="L12" s="645">
        <v>77</v>
      </c>
      <c r="M12" s="640">
        <v>54</v>
      </c>
      <c r="N12" s="623">
        <v>9.6699999999999994E-2</v>
      </c>
      <c r="P12" s="6">
        <f t="shared" si="1"/>
        <v>246.13199999999998</v>
      </c>
      <c r="R12" s="6">
        <f t="shared" si="2"/>
        <v>77.399999999999991</v>
      </c>
      <c r="T12" s="6">
        <f t="shared" si="3"/>
        <v>1.6632399999999999E-2</v>
      </c>
    </row>
    <row r="13" spans="2:20">
      <c r="B13" s="638" t="str">
        <f>+'CAPEX_Amount to be paid in 2025'!C10</f>
        <v>Joongang Special Paper</v>
      </c>
      <c r="C13" s="639">
        <v>46142</v>
      </c>
      <c r="D13" s="1282"/>
      <c r="E13" s="641">
        <f>+'CAPEX_Amount to be paid in 2025'!E10/1000</f>
        <v>0.438</v>
      </c>
      <c r="F13" s="640">
        <v>30</v>
      </c>
      <c r="G13" s="642">
        <v>1427</v>
      </c>
      <c r="H13" s="633">
        <f t="shared" si="4"/>
        <v>481.8</v>
      </c>
      <c r="I13" s="643">
        <v>1100</v>
      </c>
      <c r="J13" s="635">
        <f t="shared" si="0"/>
        <v>197.1</v>
      </c>
      <c r="K13" s="644">
        <v>450</v>
      </c>
      <c r="L13" s="645">
        <v>78</v>
      </c>
      <c r="M13" s="640">
        <v>54</v>
      </c>
      <c r="N13" s="623">
        <v>9.6799999999999997E-2</v>
      </c>
      <c r="P13" s="6">
        <f t="shared" si="1"/>
        <v>625.02599999999995</v>
      </c>
      <c r="R13" s="6">
        <f t="shared" si="2"/>
        <v>197.1</v>
      </c>
      <c r="T13" s="684">
        <f t="shared" si="3"/>
        <v>4.2398399999999996E-2</v>
      </c>
    </row>
    <row r="14" spans="2:20">
      <c r="B14" s="638" t="str">
        <f>+'CAPEX_Amount to be paid in 2025'!C11</f>
        <v>Sambo Green Filter</v>
      </c>
      <c r="C14" s="639">
        <v>46142</v>
      </c>
      <c r="D14" s="1282"/>
      <c r="E14" s="641">
        <f>+'CAPEX_Amount to be paid in 2025'!E11/1000</f>
        <v>0.17100000000000001</v>
      </c>
      <c r="F14" s="640">
        <v>30</v>
      </c>
      <c r="G14" s="642">
        <v>1413</v>
      </c>
      <c r="H14" s="633">
        <f t="shared" si="4"/>
        <v>188.10000000000002</v>
      </c>
      <c r="I14" s="643">
        <v>1100</v>
      </c>
      <c r="J14" s="635">
        <f t="shared" si="0"/>
        <v>76.95</v>
      </c>
      <c r="K14" s="644">
        <v>450</v>
      </c>
      <c r="L14" s="645">
        <v>77</v>
      </c>
      <c r="M14" s="640">
        <v>55</v>
      </c>
      <c r="N14" s="623">
        <v>9.5200000000000007E-2</v>
      </c>
      <c r="P14" s="6">
        <f t="shared" si="1"/>
        <v>241.62300000000002</v>
      </c>
      <c r="R14" s="6">
        <f t="shared" si="2"/>
        <v>76.95</v>
      </c>
      <c r="T14" s="684">
        <f t="shared" si="3"/>
        <v>1.6279200000000004E-2</v>
      </c>
    </row>
    <row r="15" spans="2:20">
      <c r="B15" s="638" t="str">
        <f>+'CAPEX_Amount to be paid in 2025'!C12</f>
        <v>Fusei Menix 1 &amp; 2</v>
      </c>
      <c r="C15" s="639">
        <v>46203</v>
      </c>
      <c r="D15" s="1282"/>
      <c r="E15" s="641">
        <f>+'CAPEX_Amount to be paid in 2025'!E12/1000</f>
        <v>0.52700000000000002</v>
      </c>
      <c r="F15" s="640">
        <v>30</v>
      </c>
      <c r="G15" s="642">
        <v>1398</v>
      </c>
      <c r="H15" s="633">
        <f t="shared" si="4"/>
        <v>579.70000000000005</v>
      </c>
      <c r="I15" s="643">
        <v>1100</v>
      </c>
      <c r="J15" s="635">
        <f t="shared" si="0"/>
        <v>237.15</v>
      </c>
      <c r="K15" s="644">
        <v>450</v>
      </c>
      <c r="L15" s="645">
        <v>78</v>
      </c>
      <c r="M15" s="640">
        <v>56</v>
      </c>
      <c r="N15" s="623">
        <v>9.3200000000000005E-2</v>
      </c>
      <c r="P15" s="6">
        <f t="shared" si="1"/>
        <v>736.74599999999998</v>
      </c>
      <c r="R15" s="6">
        <f t="shared" si="2"/>
        <v>237.15</v>
      </c>
      <c r="T15" s="6">
        <f t="shared" si="3"/>
        <v>4.9116400000000004E-2</v>
      </c>
    </row>
    <row r="16" spans="2:20">
      <c r="B16" s="638" t="str">
        <f>+'CAPEX_Amount to be paid in 2025'!C13</f>
        <v>Shincheon Food</v>
      </c>
      <c r="C16" s="639">
        <v>46142</v>
      </c>
      <c r="D16" s="1282"/>
      <c r="E16" s="641">
        <f>+'CAPEX_Amount to be paid in 2025'!E13/1000</f>
        <v>0.23400000000000001</v>
      </c>
      <c r="F16" s="640">
        <v>30</v>
      </c>
      <c r="G16" s="642">
        <v>1402</v>
      </c>
      <c r="H16" s="633">
        <f t="shared" si="4"/>
        <v>257.40000000000003</v>
      </c>
      <c r="I16" s="643">
        <v>1100</v>
      </c>
      <c r="J16" s="635">
        <f t="shared" si="0"/>
        <v>105.30000000000001</v>
      </c>
      <c r="K16" s="644">
        <v>450</v>
      </c>
      <c r="L16" s="645">
        <v>77</v>
      </c>
      <c r="M16" s="640">
        <v>55</v>
      </c>
      <c r="N16" s="623">
        <v>9.3799999999999994E-2</v>
      </c>
      <c r="P16" s="6">
        <f t="shared" si="1"/>
        <v>328.06800000000004</v>
      </c>
      <c r="R16" s="6">
        <f t="shared" si="2"/>
        <v>105.30000000000001</v>
      </c>
      <c r="T16" s="684">
        <f t="shared" si="3"/>
        <v>2.1949199999999999E-2</v>
      </c>
    </row>
    <row r="17" spans="2:21">
      <c r="B17" s="638" t="str">
        <f>+'CAPEX_Amount to be paid in 2025'!C14</f>
        <v>Giga steel</v>
      </c>
      <c r="C17" s="639">
        <v>46142</v>
      </c>
      <c r="D17" s="1282"/>
      <c r="E17" s="641">
        <f>+'CAPEX_Amount to be paid in 2025'!E14/1000</f>
        <v>0.5</v>
      </c>
      <c r="F17" s="640">
        <v>30</v>
      </c>
      <c r="G17" s="642">
        <v>1408</v>
      </c>
      <c r="H17" s="633">
        <f t="shared" si="4"/>
        <v>550</v>
      </c>
      <c r="I17" s="643">
        <v>1100</v>
      </c>
      <c r="J17" s="635">
        <f t="shared" si="0"/>
        <v>225</v>
      </c>
      <c r="K17" s="644">
        <v>450</v>
      </c>
      <c r="L17" s="645">
        <v>77</v>
      </c>
      <c r="M17" s="640">
        <v>55</v>
      </c>
      <c r="N17" s="623">
        <v>9.4600000000000004E-2</v>
      </c>
      <c r="P17" s="6">
        <f t="shared" si="1"/>
        <v>704</v>
      </c>
      <c r="R17" s="6">
        <f t="shared" si="2"/>
        <v>225</v>
      </c>
      <c r="T17" s="684">
        <f t="shared" si="3"/>
        <v>4.7300000000000002E-2</v>
      </c>
    </row>
    <row r="18" spans="2:21">
      <c r="B18" s="638" t="str">
        <f>+'CAPEX_Amount to be paid in 2025'!C15</f>
        <v>Mijin Precision</v>
      </c>
      <c r="C18" s="639">
        <v>46203</v>
      </c>
      <c r="D18" s="1282"/>
      <c r="E18" s="641">
        <f>+'CAPEX_Amount to be paid in 2025'!E15/1000</f>
        <v>0.127</v>
      </c>
      <c r="F18" s="640">
        <v>30</v>
      </c>
      <c r="G18" s="642">
        <v>1380</v>
      </c>
      <c r="H18" s="633">
        <f t="shared" si="4"/>
        <v>139.69999999999999</v>
      </c>
      <c r="I18" s="643">
        <v>1100</v>
      </c>
      <c r="J18" s="635">
        <f t="shared" si="0"/>
        <v>57.15</v>
      </c>
      <c r="K18" s="644">
        <v>450</v>
      </c>
      <c r="L18" s="645">
        <v>77</v>
      </c>
      <c r="M18" s="640">
        <v>56</v>
      </c>
      <c r="N18" s="623">
        <v>9.1499999999999998E-2</v>
      </c>
      <c r="P18" s="6">
        <f t="shared" si="1"/>
        <v>175.26</v>
      </c>
      <c r="R18" s="6">
        <f t="shared" si="2"/>
        <v>57.15</v>
      </c>
      <c r="T18" s="6">
        <f t="shared" si="3"/>
        <v>1.1620500000000001E-2</v>
      </c>
    </row>
    <row r="19" spans="2:21">
      <c r="B19" s="638" t="str">
        <f>+'CAPEX_Amount to be paid in 2025'!C16</f>
        <v>Wolchool Metal</v>
      </c>
      <c r="C19" s="639">
        <v>46203</v>
      </c>
      <c r="D19" s="1282"/>
      <c r="E19" s="641">
        <f>+'CAPEX_Amount to be paid in 2025'!E16/1000</f>
        <v>0.161</v>
      </c>
      <c r="F19" s="640">
        <v>30</v>
      </c>
      <c r="G19" s="642">
        <v>1434</v>
      </c>
      <c r="H19" s="633">
        <f t="shared" si="4"/>
        <v>177.1</v>
      </c>
      <c r="I19" s="643">
        <v>1100</v>
      </c>
      <c r="J19" s="635">
        <f t="shared" si="0"/>
        <v>72.45</v>
      </c>
      <c r="K19" s="644">
        <v>450</v>
      </c>
      <c r="L19" s="645">
        <v>78</v>
      </c>
      <c r="M19" s="640">
        <v>54</v>
      </c>
      <c r="N19" s="623">
        <v>9.6699999999999994E-2</v>
      </c>
      <c r="P19" s="6">
        <f t="shared" si="1"/>
        <v>230.874</v>
      </c>
      <c r="R19" s="6">
        <f t="shared" si="2"/>
        <v>72.45</v>
      </c>
      <c r="T19" s="6">
        <f t="shared" si="3"/>
        <v>1.55687E-2</v>
      </c>
    </row>
    <row r="20" spans="2:21">
      <c r="B20" s="640" t="str">
        <f>+'CAPEX_Amount to be paid in 2025'!C17</f>
        <v>Unitech Korea</v>
      </c>
      <c r="C20" s="639">
        <v>46203</v>
      </c>
      <c r="D20" s="1282"/>
      <c r="E20" s="641">
        <f>+'CAPEX_Amount to be paid in 2025'!E17/1000</f>
        <v>0.26900000000000002</v>
      </c>
      <c r="F20" s="640">
        <v>30</v>
      </c>
      <c r="G20" s="642">
        <v>1405</v>
      </c>
      <c r="H20" s="633">
        <f t="shared" si="4"/>
        <v>295.90000000000003</v>
      </c>
      <c r="I20" s="643">
        <v>1100</v>
      </c>
      <c r="J20" s="635">
        <f>+K20*E20</f>
        <v>134.5</v>
      </c>
      <c r="K20" s="644">
        <v>500</v>
      </c>
      <c r="L20" s="645">
        <v>78</v>
      </c>
      <c r="M20" s="640">
        <v>55</v>
      </c>
      <c r="N20" s="623">
        <v>9.0800000000000006E-2</v>
      </c>
      <c r="P20" s="6">
        <f t="shared" si="1"/>
        <v>377.94500000000005</v>
      </c>
      <c r="R20" s="6">
        <f t="shared" si="2"/>
        <v>134.5</v>
      </c>
      <c r="T20" s="6">
        <f t="shared" si="3"/>
        <v>2.4425200000000005E-2</v>
      </c>
    </row>
    <row r="21" spans="2:21" ht="8.25" customHeight="1">
      <c r="B21" s="624"/>
      <c r="C21" s="624"/>
      <c r="D21" s="624"/>
      <c r="E21" s="624"/>
      <c r="F21" s="624"/>
      <c r="G21" s="624"/>
      <c r="H21" s="624"/>
      <c r="I21" s="624"/>
      <c r="J21" s="624"/>
      <c r="K21" s="624"/>
      <c r="L21" s="625"/>
      <c r="M21" s="625"/>
      <c r="N21" s="624"/>
    </row>
    <row r="22" spans="2:21" hidden="1">
      <c r="B22" s="1284" t="s">
        <v>310</v>
      </c>
      <c r="C22" s="1284"/>
      <c r="D22" s="626">
        <v>189</v>
      </c>
      <c r="E22" s="646">
        <f>+E17+E16+E14+E13+E11+E10+E9+E8</f>
        <v>2.3019299999999996</v>
      </c>
      <c r="F22" s="626">
        <v>30</v>
      </c>
      <c r="G22" s="627">
        <f>+Q22</f>
        <v>1399.1438966432518</v>
      </c>
      <c r="H22" s="627">
        <f>+H17+H16+H14+H13+H11+H10+H9+H8</f>
        <v>2532.1230000000005</v>
      </c>
      <c r="I22" s="627">
        <v>1100</v>
      </c>
      <c r="J22" s="627">
        <f>+J17+J16+J14+J13+J11+J10+J9+J8</f>
        <v>973.17549999999994</v>
      </c>
      <c r="K22" s="681">
        <f>+S22</f>
        <v>422.76502760726873</v>
      </c>
      <c r="L22" s="626">
        <v>77</v>
      </c>
      <c r="M22" s="626">
        <v>55</v>
      </c>
      <c r="N22" s="623">
        <f>+U22</f>
        <v>9.5531365853870481E-2</v>
      </c>
      <c r="P22" s="646">
        <f>+P17+P16+P14+P13+P11+P10+P9+P8</f>
        <v>3220.7313100000001</v>
      </c>
      <c r="Q22" s="6">
        <f>+P22/E22</f>
        <v>1399.1438966432518</v>
      </c>
      <c r="R22" s="646">
        <f>+R17+R16+R14+R13+R11+R10+R9+R8</f>
        <v>973.17549999999994</v>
      </c>
      <c r="S22" s="6">
        <f>+R22/E22</f>
        <v>422.76502760726873</v>
      </c>
      <c r="T22" s="646">
        <f>+T17+T16+T14+T13+T11+T10+T9+T8</f>
        <v>0.21990651700000002</v>
      </c>
      <c r="U22" s="6">
        <f>+T22/E22</f>
        <v>9.5531365853870481E-2</v>
      </c>
    </row>
    <row r="23" spans="2:21" hidden="1">
      <c r="E23" s="6">
        <f>+E20+E19+E18+E15+E12+E7</f>
        <v>2.07321</v>
      </c>
      <c r="T23" s="6">
        <f>+T20+T19+T18+T15+T12+T7</f>
        <v>0.20210787699999999</v>
      </c>
      <c r="U23" s="6">
        <f>+T23/E23</f>
        <v>9.748548241615658E-2</v>
      </c>
    </row>
    <row r="24" spans="2:21">
      <c r="B24" s="1284" t="s">
        <v>310</v>
      </c>
      <c r="C24" s="1284"/>
      <c r="D24" s="626">
        <v>189</v>
      </c>
      <c r="E24" s="647">
        <f>+SUM(E7:E20)</f>
        <v>4.3751399999999991</v>
      </c>
      <c r="F24" s="626">
        <v>30</v>
      </c>
      <c r="G24" s="627">
        <f>+Q24</f>
        <v>1405.9882312337436</v>
      </c>
      <c r="H24" s="627">
        <f>+SUM(H7:H20)</f>
        <v>4812.6539999999995</v>
      </c>
      <c r="I24" s="627">
        <v>1100</v>
      </c>
      <c r="J24" s="627">
        <f>+SUM(J7:J20)</f>
        <v>1837.8490000000002</v>
      </c>
      <c r="K24" s="681">
        <f>+S24</f>
        <v>420.06632930603377</v>
      </c>
      <c r="L24" s="626">
        <v>77</v>
      </c>
      <c r="M24" s="626">
        <v>55</v>
      </c>
      <c r="N24" s="623">
        <f>+U24</f>
        <v>9.6457346279204784E-2</v>
      </c>
      <c r="P24" s="647">
        <f>+SUM(P7:P20)</f>
        <v>6151.3953499999998</v>
      </c>
      <c r="Q24" s="6">
        <f>+P24/E24</f>
        <v>1405.9882312337436</v>
      </c>
      <c r="R24" s="647">
        <f>+SUM(R7:R20)</f>
        <v>1837.8490000000002</v>
      </c>
      <c r="S24" s="6">
        <f>+R24/E24</f>
        <v>420.06632930603377</v>
      </c>
      <c r="T24" s="647">
        <f>+SUM(T7:T20)</f>
        <v>0.42201439399999996</v>
      </c>
      <c r="U24" s="6">
        <f>+T24/E24</f>
        <v>9.6457346279204784E-2</v>
      </c>
    </row>
    <row r="27" spans="2:21">
      <c r="H27" s="212">
        <f>+H24/1470*1000000</f>
        <v>3273914.2857142854</v>
      </c>
    </row>
    <row r="31" spans="2:21">
      <c r="G31" s="6">
        <v>65000000</v>
      </c>
    </row>
    <row r="32" spans="2:21">
      <c r="G32" s="6">
        <f>+G31/1470</f>
        <v>44217.687074829933</v>
      </c>
    </row>
  </sheetData>
  <mergeCells count="13">
    <mergeCell ref="B22:C22"/>
    <mergeCell ref="B24:C24"/>
    <mergeCell ref="F4:F5"/>
    <mergeCell ref="G4:G5"/>
    <mergeCell ref="H4:H5"/>
    <mergeCell ref="D7:D20"/>
    <mergeCell ref="B3:D3"/>
    <mergeCell ref="C4:C5"/>
    <mergeCell ref="D4:D5"/>
    <mergeCell ref="E4:E5"/>
    <mergeCell ref="N4:N5"/>
    <mergeCell ref="L4:L5"/>
    <mergeCell ref="M4:M5"/>
  </mergeCells>
  <phoneticPr fontId="9" type="noConversion"/>
  <pageMargins left="0.75" right="0.75" top="1" bottom="1" header="0.5" footer="0.5"/>
  <pageSetup paperSize="9" firstPageNumber="0" fitToWidth="0" fitToHeight="0" pageOrder="overThenDown" orientation="portrait"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1E399-4294-4FE7-838E-9264276CAA4E}">
  <dimension ref="B1:AD73"/>
  <sheetViews>
    <sheetView showGridLines="0" zoomScale="85" zoomScaleNormal="85" workbookViewId="0">
      <pane xSplit="5" ySplit="6" topLeftCell="F32" activePane="bottomRight" state="frozen"/>
      <selection activeCell="C36" sqref="B22:C54"/>
      <selection pane="topRight" activeCell="C36" sqref="B22:C54"/>
      <selection pane="bottomLeft" activeCell="C36" sqref="B22:C54"/>
      <selection pane="bottomRight" activeCell="C36" sqref="B22:C54"/>
    </sheetView>
  </sheetViews>
  <sheetFormatPr defaultColWidth="9.140625" defaultRowHeight="12.75"/>
  <cols>
    <col min="1" max="1" width="1.7109375" style="215" customWidth="1"/>
    <col min="2" max="2" width="12.5703125" style="215" customWidth="1"/>
    <col min="3" max="3" width="25.7109375" style="215" customWidth="1"/>
    <col min="4" max="4" width="14" style="215" customWidth="1"/>
    <col min="5" max="5" width="14.85546875" style="216" bestFit="1" customWidth="1"/>
    <col min="6" max="6" width="14.85546875" style="216" customWidth="1"/>
    <col min="7" max="7" width="19.42578125" style="215" customWidth="1"/>
    <col min="8" max="8" width="17.5703125" style="215" customWidth="1"/>
    <col min="9" max="10" width="14.5703125" style="215" customWidth="1"/>
    <col min="11" max="11" width="9" style="216" customWidth="1"/>
    <col min="12" max="12" width="16.28515625" style="215" customWidth="1"/>
    <col min="13" max="14" width="14.5703125" style="215" customWidth="1"/>
    <col min="15" max="15" width="22" style="215" customWidth="1"/>
    <col min="16" max="16" width="9" style="216" customWidth="1"/>
    <col min="17" max="17" width="17" style="215" customWidth="1"/>
    <col min="18" max="18" width="14.5703125" style="215" customWidth="1"/>
    <col min="19" max="19" width="21.42578125" style="215" customWidth="1"/>
    <col min="20" max="20" width="9" style="216" customWidth="1"/>
    <col min="21" max="21" width="17" style="215" customWidth="1"/>
    <col min="22" max="22" width="9" style="216" customWidth="1"/>
    <col min="23" max="23" width="17" style="215" customWidth="1"/>
    <col min="24" max="24" width="6.5703125" style="216" customWidth="1"/>
    <col min="25" max="25" width="17" style="215" customWidth="1"/>
    <col min="26" max="26" width="1.7109375" style="215" customWidth="1"/>
    <col min="27" max="27" width="11.7109375" style="215" bestFit="1" customWidth="1"/>
    <col min="28" max="28" width="13.28515625" style="215" customWidth="1"/>
    <col min="29" max="30" width="12.28515625" style="215" bestFit="1" customWidth="1"/>
    <col min="31" max="16384" width="9.140625" style="215"/>
  </cols>
  <sheetData>
    <row r="1" spans="2:29" ht="13.5" thickBot="1">
      <c r="B1" s="215" t="s">
        <v>311</v>
      </c>
      <c r="C1" s="575"/>
      <c r="R1" s="573"/>
      <c r="Y1" s="346" t="s">
        <v>312</v>
      </c>
      <c r="AB1" s="572" t="s">
        <v>37</v>
      </c>
      <c r="AC1" s="474">
        <v>1470</v>
      </c>
    </row>
    <row r="2" spans="2:29" ht="27" customHeight="1">
      <c r="B2" s="1261" t="s">
        <v>165</v>
      </c>
      <c r="C2" s="1261" t="s">
        <v>268</v>
      </c>
      <c r="D2" s="1259" t="s">
        <v>313</v>
      </c>
      <c r="E2" s="1261" t="s">
        <v>270</v>
      </c>
      <c r="F2" s="1307" t="s">
        <v>271</v>
      </c>
      <c r="G2" s="1248" t="s">
        <v>314</v>
      </c>
      <c r="H2" s="1259" t="s">
        <v>315</v>
      </c>
      <c r="I2" s="1259" t="s">
        <v>17</v>
      </c>
      <c r="J2" s="1259" t="s">
        <v>316</v>
      </c>
      <c r="K2" s="1261" t="s">
        <v>317</v>
      </c>
      <c r="L2" s="1261"/>
      <c r="M2" s="1307" t="s">
        <v>318</v>
      </c>
      <c r="N2" s="1308" t="s">
        <v>319</v>
      </c>
      <c r="O2" s="1248" t="s">
        <v>320</v>
      </c>
      <c r="P2" s="1261" t="s">
        <v>321</v>
      </c>
      <c r="Q2" s="1261"/>
      <c r="R2" s="1301" t="s">
        <v>322</v>
      </c>
      <c r="S2" s="1303" t="s">
        <v>323</v>
      </c>
      <c r="T2" s="1305" t="s">
        <v>324</v>
      </c>
      <c r="U2" s="1306"/>
      <c r="V2" s="1305" t="s">
        <v>325</v>
      </c>
      <c r="W2" s="1306"/>
      <c r="X2" s="1297" t="s">
        <v>326</v>
      </c>
      <c r="Y2" s="1298"/>
      <c r="AA2" s="1259" t="s">
        <v>282</v>
      </c>
    </row>
    <row r="3" spans="2:29" ht="27" customHeight="1">
      <c r="B3" s="1264"/>
      <c r="C3" s="1264"/>
      <c r="D3" s="1260"/>
      <c r="E3" s="1264"/>
      <c r="F3" s="1251"/>
      <c r="G3" s="1249"/>
      <c r="H3" s="1260"/>
      <c r="I3" s="1260"/>
      <c r="J3" s="1260"/>
      <c r="K3" s="234" t="s">
        <v>188</v>
      </c>
      <c r="L3" s="234" t="s">
        <v>283</v>
      </c>
      <c r="M3" s="1260"/>
      <c r="N3" s="1309"/>
      <c r="O3" s="1249"/>
      <c r="P3" s="486" t="s">
        <v>188</v>
      </c>
      <c r="Q3" s="521" t="s">
        <v>283</v>
      </c>
      <c r="R3" s="1302"/>
      <c r="S3" s="1304"/>
      <c r="T3" s="234" t="s">
        <v>188</v>
      </c>
      <c r="U3" s="234" t="s">
        <v>283</v>
      </c>
      <c r="V3" s="234" t="s">
        <v>188</v>
      </c>
      <c r="W3" s="234" t="s">
        <v>283</v>
      </c>
      <c r="X3" s="1299"/>
      <c r="Y3" s="1300"/>
      <c r="AA3" s="1260"/>
    </row>
    <row r="4" spans="2:29">
      <c r="B4" s="1265" t="s">
        <v>172</v>
      </c>
      <c r="C4" s="473" t="str">
        <f>+'BT 2HO'!C11</f>
        <v>Jinyoung Metal Factory_1</v>
      </c>
      <c r="D4" s="307">
        <v>1100000</v>
      </c>
      <c r="E4" s="230">
        <f>+'BT 2HO'!D11</f>
        <v>817.21</v>
      </c>
      <c r="F4" s="310">
        <f t="shared" ref="F4:F17" si="0">D4*E4*1.1/$AC$1</f>
        <v>672669.45578231302</v>
      </c>
      <c r="G4" s="231">
        <f t="shared" ref="G4:G17" si="1">+L4+Q4</f>
        <v>0</v>
      </c>
      <c r="H4" s="231">
        <f>+E4*350000000/1000*1.1</f>
        <v>314625850</v>
      </c>
      <c r="I4" s="231" t="e">
        <f t="shared" ref="I4:I17" si="2">+J4+L4+Q4+U4+Y4+W4</f>
        <v>#REF!</v>
      </c>
      <c r="J4" s="231" t="e">
        <f>+'BT 2HO'!#REF!+'BT 2HO'!#REF!</f>
        <v>#REF!</v>
      </c>
      <c r="K4" s="294"/>
      <c r="L4" s="342">
        <v>0</v>
      </c>
      <c r="M4" s="231"/>
      <c r="N4" s="1287"/>
      <c r="O4" s="218">
        <f>+Q4</f>
        <v>0</v>
      </c>
      <c r="P4" s="487"/>
      <c r="Q4" s="522"/>
      <c r="R4" s="1290"/>
      <c r="S4" s="528">
        <f>+U4</f>
        <v>0</v>
      </c>
      <c r="T4" s="294"/>
      <c r="U4" s="233"/>
      <c r="V4" s="294"/>
      <c r="W4" s="233"/>
      <c r="X4" s="232"/>
      <c r="Y4" s="231">
        <f>+'BT 2HO'!BG11+'BT 2HO'!BN11+'BT 2HO'!AE11</f>
        <v>988824100</v>
      </c>
      <c r="AA4" s="359" t="b">
        <f t="shared" ref="AA4:AA17" si="3">+D4*E4*1.1=(M4+O4+S4+W4+Y4)</f>
        <v>1</v>
      </c>
      <c r="AB4" s="320" t="b">
        <f t="shared" ref="AB4:AB17" si="4">+D4*E4*1.1=M4+Q4+U4+W4+Y4</f>
        <v>1</v>
      </c>
      <c r="AC4" s="320"/>
    </row>
    <row r="5" spans="2:29">
      <c r="B5" s="1266"/>
      <c r="C5" s="473" t="str">
        <f>+'BT 2HO'!C16</f>
        <v>Jinyoung Metal Factory_2</v>
      </c>
      <c r="D5" s="579">
        <v>1100000</v>
      </c>
      <c r="E5" s="580">
        <f>+'BT 2HO'!D16</f>
        <v>240.69</v>
      </c>
      <c r="F5" s="311">
        <f t="shared" si="0"/>
        <v>198118.97959183675</v>
      </c>
      <c r="G5" s="227"/>
      <c r="H5" s="227"/>
      <c r="I5" s="227"/>
      <c r="J5" s="227"/>
      <c r="K5" s="581"/>
      <c r="L5" s="228"/>
      <c r="M5" s="227"/>
      <c r="N5" s="1288"/>
      <c r="O5" s="218">
        <f t="shared" ref="O5" si="5">+Q5</f>
        <v>145617450</v>
      </c>
      <c r="P5" s="488">
        <f>+'BT 2HO'!AB16</f>
        <v>45989</v>
      </c>
      <c r="Q5" s="523">
        <f>+'BT 2HO'!AE16</f>
        <v>145617450</v>
      </c>
      <c r="R5" s="1291"/>
      <c r="S5" s="528">
        <f t="shared" ref="S5:S17" si="6">+U5</f>
        <v>0</v>
      </c>
      <c r="T5" s="581"/>
      <c r="U5" s="225"/>
      <c r="V5" s="581"/>
      <c r="W5" s="225"/>
      <c r="X5" s="226"/>
      <c r="Y5" s="227">
        <f>+'BT 2HO'!BG16+'BT 2HO'!BN16</f>
        <v>145617450</v>
      </c>
      <c r="AA5" s="359" t="b">
        <f t="shared" ref="AA5" si="7">+D5*E5*1.1=(M5+O5+S5+W5+Y5)</f>
        <v>1</v>
      </c>
      <c r="AB5" s="320" t="b">
        <f t="shared" ref="AB5" si="8">+D5*E5*1.1=M5+Q5+U5+W5+Y5</f>
        <v>1</v>
      </c>
      <c r="AC5" s="320"/>
    </row>
    <row r="6" spans="2:29">
      <c r="B6" s="1266"/>
      <c r="C6" s="215" t="str">
        <f>+'BT 2HO'!C21</f>
        <v>Kairos</v>
      </c>
      <c r="D6" s="308">
        <v>1100000</v>
      </c>
      <c r="E6" s="224">
        <f>+'BT 2HO'!D21</f>
        <v>386.24</v>
      </c>
      <c r="F6" s="311">
        <f t="shared" si="0"/>
        <v>317925.44217687077</v>
      </c>
      <c r="G6" s="218">
        <f t="shared" si="1"/>
        <v>304900200</v>
      </c>
      <c r="H6" s="218">
        <f>+E6*350000000/1000*1.1</f>
        <v>148702400</v>
      </c>
      <c r="I6" s="218">
        <f t="shared" si="2"/>
        <v>601099400</v>
      </c>
      <c r="J6" s="218">
        <f>+'BT 2HO'!R22+'BT 2HO'!R23+'BT 2HO'!Y22+'BT 2HO'!Y23</f>
        <v>62524000</v>
      </c>
      <c r="K6" s="295">
        <f>+'BT 2HO'!AB22</f>
        <v>45855</v>
      </c>
      <c r="L6" s="380">
        <f>+'BT 2HO'!AF22+'BT 2HO'!AF23</f>
        <v>71225000</v>
      </c>
      <c r="M6" s="218"/>
      <c r="N6" s="1288"/>
      <c r="O6" s="218">
        <f t="shared" ref="O6:O17" si="9">+Q6</f>
        <v>233675200</v>
      </c>
      <c r="P6" s="488">
        <f>+'BT 2HO'!AB21</f>
        <v>45990</v>
      </c>
      <c r="Q6" s="523">
        <f>+'BT 2HO'!AE21</f>
        <v>233675200</v>
      </c>
      <c r="R6" s="1291"/>
      <c r="S6" s="528">
        <f t="shared" si="6"/>
        <v>0</v>
      </c>
      <c r="T6" s="295"/>
      <c r="U6" s="219"/>
      <c r="V6" s="295"/>
      <c r="W6" s="219"/>
      <c r="X6" s="222"/>
      <c r="Y6" s="218">
        <f>+'BT 2HO'!BG21+'BT 2HO'!BN21</f>
        <v>233675200</v>
      </c>
      <c r="AA6" s="359" t="b">
        <f t="shared" si="3"/>
        <v>1</v>
      </c>
      <c r="AB6" s="320" t="b">
        <f t="shared" si="4"/>
        <v>1</v>
      </c>
      <c r="AC6" s="320"/>
    </row>
    <row r="7" spans="2:29">
      <c r="B7" s="1266"/>
      <c r="C7" s="215" t="str">
        <f>+'BT 2HO'!C26</f>
        <v>Doori Industry</v>
      </c>
      <c r="D7" s="308">
        <v>1100000</v>
      </c>
      <c r="E7" s="224">
        <f>+'BT 2HO'!D26</f>
        <v>210</v>
      </c>
      <c r="F7" s="311">
        <f t="shared" si="0"/>
        <v>172857.14285714287</v>
      </c>
      <c r="G7" s="218">
        <f t="shared" si="1"/>
        <v>137445000</v>
      </c>
      <c r="H7" s="218">
        <f t="shared" ref="H7:H16" si="10">+E7*450000000/1000*1.1</f>
        <v>103950000.00000001</v>
      </c>
      <c r="I7" s="218">
        <f t="shared" si="2"/>
        <v>295680000</v>
      </c>
      <c r="J7" s="218">
        <f>+'BT 2HO'!Q30</f>
        <v>31185000</v>
      </c>
      <c r="K7" s="295">
        <f>+'BT 2HO'!U27</f>
        <v>45855</v>
      </c>
      <c r="L7" s="380">
        <f>+'BT 2HO'!X30</f>
        <v>10395000</v>
      </c>
      <c r="M7" s="218"/>
      <c r="N7" s="1288"/>
      <c r="O7" s="218">
        <f t="shared" si="9"/>
        <v>127050000</v>
      </c>
      <c r="P7" s="488">
        <f>+'BT 2HO'!AB26</f>
        <v>45991</v>
      </c>
      <c r="Q7" s="523">
        <f>+'BT 2HO'!AE26</f>
        <v>127050000</v>
      </c>
      <c r="R7" s="1291"/>
      <c r="S7" s="528">
        <f t="shared" si="6"/>
        <v>0</v>
      </c>
      <c r="T7" s="295"/>
      <c r="U7" s="219"/>
      <c r="V7" s="295"/>
      <c r="W7" s="219"/>
      <c r="X7" s="222"/>
      <c r="Y7" s="218">
        <f>+'BT 2HO'!BG26+'BT 2HO'!BN26</f>
        <v>127050000</v>
      </c>
      <c r="AA7" s="359" t="b">
        <f t="shared" si="3"/>
        <v>1</v>
      </c>
      <c r="AB7" s="320" t="b">
        <f t="shared" si="4"/>
        <v>1</v>
      </c>
      <c r="AC7" s="320"/>
    </row>
    <row r="8" spans="2:29">
      <c r="B8" s="1266"/>
      <c r="C8" s="215" t="str">
        <f>+'BT 2HO'!C31</f>
        <v>Geumjeong Techno</v>
      </c>
      <c r="D8" s="308">
        <v>1100000</v>
      </c>
      <c r="E8" s="223">
        <f>+'BT 2HO'!D31</f>
        <v>122</v>
      </c>
      <c r="F8" s="311">
        <f t="shared" si="0"/>
        <v>100421.76870748299</v>
      </c>
      <c r="G8" s="218">
        <f t="shared" si="1"/>
        <v>79849000</v>
      </c>
      <c r="H8" s="218">
        <f t="shared" si="10"/>
        <v>60390000.000000007</v>
      </c>
      <c r="I8" s="218">
        <f t="shared" si="2"/>
        <v>171776000</v>
      </c>
      <c r="J8" s="218">
        <f>+'BT 2HO'!Q35</f>
        <v>18117000</v>
      </c>
      <c r="K8" s="295">
        <f>+'BT 2HO'!U32</f>
        <v>45855</v>
      </c>
      <c r="L8" s="381">
        <f>+'BT 2HO'!X35</f>
        <v>6039000</v>
      </c>
      <c r="M8" s="218"/>
      <c r="N8" s="1288"/>
      <c r="O8" s="218">
        <f t="shared" si="9"/>
        <v>73810000</v>
      </c>
      <c r="P8" s="488">
        <f>+'BT 2HO'!AB31</f>
        <v>45989</v>
      </c>
      <c r="Q8" s="524">
        <f>+'BT 2HO'!AE31</f>
        <v>73810000</v>
      </c>
      <c r="R8" s="1291"/>
      <c r="S8" s="528">
        <f t="shared" si="6"/>
        <v>0</v>
      </c>
      <c r="T8" s="295"/>
      <c r="U8" s="219"/>
      <c r="V8" s="295">
        <f>+'BT 2HO'!BD31</f>
        <v>46050</v>
      </c>
      <c r="W8" s="218">
        <f>+'BT 2HO'!BG31</f>
        <v>59048000</v>
      </c>
      <c r="X8" s="222"/>
      <c r="Y8" s="218">
        <f>+'BT 2HO'!BN31</f>
        <v>14762000</v>
      </c>
      <c r="AA8" s="359" t="b">
        <f t="shared" si="3"/>
        <v>1</v>
      </c>
      <c r="AB8" s="320" t="b">
        <f t="shared" si="4"/>
        <v>1</v>
      </c>
      <c r="AC8" s="320"/>
    </row>
    <row r="9" spans="2:29" hidden="1">
      <c r="B9" s="1266"/>
      <c r="C9" s="215" t="str">
        <f>+'BT 2HO'!C36</f>
        <v>Epyeonan nursing home(Drop)</v>
      </c>
      <c r="D9" s="308">
        <v>1100000</v>
      </c>
      <c r="E9" s="223">
        <f>+'BT 2HO'!D36</f>
        <v>172</v>
      </c>
      <c r="F9" s="311">
        <f t="shared" si="0"/>
        <v>141578.23129251704</v>
      </c>
      <c r="G9" s="218">
        <f t="shared" si="1"/>
        <v>0</v>
      </c>
      <c r="H9" s="218">
        <f t="shared" si="10"/>
        <v>85140000</v>
      </c>
      <c r="I9" s="218">
        <f t="shared" si="2"/>
        <v>233662000</v>
      </c>
      <c r="J9" s="218">
        <f>+'BT 2HO'!Q40</f>
        <v>25542000</v>
      </c>
      <c r="K9" s="295"/>
      <c r="L9" s="381"/>
      <c r="M9" s="218"/>
      <c r="N9" s="1288"/>
      <c r="O9" s="218">
        <f t="shared" si="9"/>
        <v>0</v>
      </c>
      <c r="P9" s="488"/>
      <c r="Q9" s="524"/>
      <c r="R9" s="1291"/>
      <c r="S9" s="528">
        <f t="shared" si="6"/>
        <v>0</v>
      </c>
      <c r="T9" s="295"/>
      <c r="U9" s="220"/>
      <c r="V9" s="295"/>
      <c r="W9" s="219"/>
      <c r="X9" s="222"/>
      <c r="Y9" s="218">
        <f>+'BT 2HO'!BN36+'BT 2HO'!BG36+'BT 2HO'!AE36</f>
        <v>208120000</v>
      </c>
      <c r="AA9" s="359" t="b">
        <f t="shared" si="3"/>
        <v>1</v>
      </c>
      <c r="AB9" s="320" t="b">
        <f t="shared" si="4"/>
        <v>1</v>
      </c>
      <c r="AC9" s="320"/>
    </row>
    <row r="10" spans="2:29">
      <c r="B10" s="1266"/>
      <c r="C10" s="215" t="str">
        <f>+'BT 2HO'!C41</f>
        <v>Joongang Special Paper</v>
      </c>
      <c r="D10" s="308">
        <v>1100000</v>
      </c>
      <c r="E10" s="223">
        <f>+'BT 2HO'!D41</f>
        <v>438</v>
      </c>
      <c r="F10" s="311">
        <f t="shared" si="0"/>
        <v>360530.61224489799</v>
      </c>
      <c r="G10" s="218">
        <f t="shared" si="1"/>
        <v>264990000</v>
      </c>
      <c r="H10" s="218">
        <f t="shared" si="10"/>
        <v>216810000.00000003</v>
      </c>
      <c r="I10" s="218">
        <f t="shared" si="2"/>
        <v>595023000</v>
      </c>
      <c r="J10" s="218">
        <f>+'BT 2HO'!Q45</f>
        <v>65043000</v>
      </c>
      <c r="K10" s="295"/>
      <c r="L10" s="381"/>
      <c r="M10" s="218"/>
      <c r="N10" s="1288"/>
      <c r="O10" s="218">
        <f t="shared" si="9"/>
        <v>264990000</v>
      </c>
      <c r="P10" s="488">
        <f>+'BT 2HO'!AB41</f>
        <v>45989</v>
      </c>
      <c r="Q10" s="523">
        <f>+'BT 2HO'!AE41</f>
        <v>264990000</v>
      </c>
      <c r="R10" s="1291"/>
      <c r="S10" s="528">
        <f t="shared" si="6"/>
        <v>0</v>
      </c>
      <c r="T10" s="295"/>
      <c r="U10" s="220"/>
      <c r="V10" s="295"/>
      <c r="W10" s="219"/>
      <c r="X10" s="222"/>
      <c r="Y10" s="218">
        <f>+'BT 2HO'!BG41+'BT 2HO'!BN41</f>
        <v>264990000</v>
      </c>
      <c r="AA10" s="359" t="b">
        <f t="shared" si="3"/>
        <v>1</v>
      </c>
      <c r="AB10" s="320" t="b">
        <f t="shared" si="4"/>
        <v>1</v>
      </c>
      <c r="AC10" s="320"/>
    </row>
    <row r="11" spans="2:29">
      <c r="B11" s="1266"/>
      <c r="C11" s="215" t="str">
        <f>+'BT 2HO'!C46</f>
        <v>Sambo Green Filter</v>
      </c>
      <c r="D11" s="308">
        <v>1100000</v>
      </c>
      <c r="E11" s="223">
        <f>+'BT 2HO'!D46</f>
        <v>171</v>
      </c>
      <c r="F11" s="311">
        <f t="shared" si="0"/>
        <v>140755.10204081636</v>
      </c>
      <c r="G11" s="218">
        <f t="shared" si="1"/>
        <v>103455000</v>
      </c>
      <c r="H11" s="218">
        <f t="shared" si="10"/>
        <v>84645000</v>
      </c>
      <c r="I11" s="218">
        <f t="shared" si="2"/>
        <v>232303500</v>
      </c>
      <c r="J11" s="218">
        <f>+'BT 2HO'!Q50</f>
        <v>25393500</v>
      </c>
      <c r="K11" s="295"/>
      <c r="L11" s="381"/>
      <c r="M11" s="218"/>
      <c r="N11" s="1288"/>
      <c r="O11" s="218">
        <f t="shared" si="9"/>
        <v>103455000</v>
      </c>
      <c r="P11" s="488">
        <f>+'BT 2HO'!AB46</f>
        <v>45989</v>
      </c>
      <c r="Q11" s="523">
        <f>+'BT 2HO'!AE46</f>
        <v>103455000</v>
      </c>
      <c r="R11" s="1291"/>
      <c r="S11" s="528">
        <f t="shared" si="6"/>
        <v>0</v>
      </c>
      <c r="T11" s="295"/>
      <c r="U11" s="220"/>
      <c r="V11" s="295"/>
      <c r="W11" s="219"/>
      <c r="X11" s="222"/>
      <c r="Y11" s="218">
        <f>+'BT 2HO'!BG46+'BT 2HO'!BN46</f>
        <v>103455000</v>
      </c>
      <c r="AA11" s="359" t="b">
        <f t="shared" si="3"/>
        <v>1</v>
      </c>
      <c r="AB11" s="320" t="b">
        <f t="shared" si="4"/>
        <v>1</v>
      </c>
      <c r="AC11" s="320"/>
    </row>
    <row r="12" spans="2:29" hidden="1">
      <c r="B12" s="1266"/>
      <c r="C12" s="215" t="str">
        <f>+'BT 2HO'!C51</f>
        <v>Fusei Menix 1 &amp; 2</v>
      </c>
      <c r="D12" s="308">
        <v>1100000</v>
      </c>
      <c r="E12" s="223">
        <f>+'BT 2HO'!D51</f>
        <v>527</v>
      </c>
      <c r="F12" s="311">
        <f t="shared" si="0"/>
        <v>433789.11564625852</v>
      </c>
      <c r="G12" s="218">
        <f t="shared" si="1"/>
        <v>0</v>
      </c>
      <c r="H12" s="218">
        <f t="shared" si="10"/>
        <v>260865000.00000003</v>
      </c>
      <c r="I12" s="218">
        <f t="shared" si="2"/>
        <v>715929500</v>
      </c>
      <c r="J12" s="218">
        <f>+'BT 2HO'!Q55</f>
        <v>78259500</v>
      </c>
      <c r="K12" s="295"/>
      <c r="L12" s="381"/>
      <c r="M12" s="218"/>
      <c r="N12" s="1288"/>
      <c r="O12" s="218">
        <f t="shared" si="9"/>
        <v>0</v>
      </c>
      <c r="P12" s="488"/>
      <c r="Q12" s="524"/>
      <c r="R12" s="1291"/>
      <c r="S12" s="528">
        <f t="shared" si="6"/>
        <v>318835000</v>
      </c>
      <c r="T12" s="295">
        <f>+'BT 2HO'!AB51</f>
        <v>46019</v>
      </c>
      <c r="U12" s="220">
        <f>+'BT 2HO'!AE51</f>
        <v>318835000</v>
      </c>
      <c r="V12" s="295"/>
      <c r="W12" s="220"/>
      <c r="X12" s="221"/>
      <c r="Y12" s="218">
        <f>+'BT 2HO'!BG51+'BT 2HO'!BN51</f>
        <v>318835000</v>
      </c>
      <c r="AA12" s="359" t="b">
        <f t="shared" si="3"/>
        <v>1</v>
      </c>
      <c r="AB12" s="320" t="b">
        <f t="shared" si="4"/>
        <v>1</v>
      </c>
      <c r="AC12" s="320"/>
    </row>
    <row r="13" spans="2:29">
      <c r="B13" s="1266"/>
      <c r="C13" s="215" t="str">
        <f>+'BT 2HO'!C56</f>
        <v>Shincheon Food</v>
      </c>
      <c r="D13" s="308">
        <v>1100000</v>
      </c>
      <c r="E13" s="223">
        <f>+'BT 2HO'!D56</f>
        <v>234</v>
      </c>
      <c r="F13" s="311">
        <f t="shared" si="0"/>
        <v>192612.24489795917</v>
      </c>
      <c r="G13" s="218">
        <f t="shared" si="1"/>
        <v>141570000</v>
      </c>
      <c r="H13" s="218">
        <f t="shared" si="10"/>
        <v>115830000.00000001</v>
      </c>
      <c r="I13" s="218">
        <f t="shared" si="2"/>
        <v>317889000</v>
      </c>
      <c r="J13" s="218">
        <f>+'BT 2HO'!Q60</f>
        <v>34749000</v>
      </c>
      <c r="K13" s="295"/>
      <c r="L13" s="381"/>
      <c r="M13" s="218"/>
      <c r="N13" s="1288"/>
      <c r="O13" s="218">
        <f t="shared" si="9"/>
        <v>141570000</v>
      </c>
      <c r="P13" s="488">
        <f>+'BT 2HO'!AB56</f>
        <v>45990</v>
      </c>
      <c r="Q13" s="524">
        <f>+'BT 2HO'!AE56</f>
        <v>141570000</v>
      </c>
      <c r="R13" s="1291"/>
      <c r="S13" s="528">
        <f t="shared" si="6"/>
        <v>0</v>
      </c>
      <c r="T13" s="295"/>
      <c r="U13" s="218"/>
      <c r="V13" s="295"/>
      <c r="W13" s="218"/>
      <c r="X13" s="221"/>
      <c r="Y13" s="218">
        <f>+'BT 2HO'!BG56+'BT 2HO'!BN56</f>
        <v>141570000</v>
      </c>
      <c r="AA13" s="359" t="b">
        <f t="shared" si="3"/>
        <v>1</v>
      </c>
      <c r="AB13" s="320" t="b">
        <f t="shared" si="4"/>
        <v>1</v>
      </c>
      <c r="AC13" s="320"/>
    </row>
    <row r="14" spans="2:29">
      <c r="B14" s="1266"/>
      <c r="C14" s="473" t="str">
        <f>+'BT 2HO'!C61</f>
        <v>Giga steel</v>
      </c>
      <c r="D14" s="308">
        <v>1100000</v>
      </c>
      <c r="E14" s="223">
        <f>+'BT 2HO'!D61</f>
        <v>500</v>
      </c>
      <c r="F14" s="311">
        <f t="shared" si="0"/>
        <v>411564.62585034012</v>
      </c>
      <c r="G14" s="218">
        <f t="shared" si="1"/>
        <v>376750000</v>
      </c>
      <c r="H14" s="218">
        <f t="shared" si="10"/>
        <v>247500000.00000003</v>
      </c>
      <c r="I14" s="218">
        <f t="shared" si="2"/>
        <v>679250000</v>
      </c>
      <c r="J14" s="315"/>
      <c r="K14" s="316">
        <f>+'BT 2HO'!N62</f>
        <v>45855</v>
      </c>
      <c r="L14" s="382">
        <f>+'BT 2HO'!Q62+'BT 2HO'!Q63</f>
        <v>74250000</v>
      </c>
      <c r="M14" s="315"/>
      <c r="N14" s="1288"/>
      <c r="O14" s="218">
        <f t="shared" si="9"/>
        <v>302500000</v>
      </c>
      <c r="P14" s="489">
        <f>+'BT 2HO'!AB61</f>
        <v>45990</v>
      </c>
      <c r="Q14" s="525">
        <f>+'BT 2HO'!AE61</f>
        <v>302500000</v>
      </c>
      <c r="R14" s="1291"/>
      <c r="S14" s="528">
        <f t="shared" si="6"/>
        <v>0</v>
      </c>
      <c r="T14" s="316"/>
      <c r="U14" s="315"/>
      <c r="V14" s="316"/>
      <c r="W14" s="315"/>
      <c r="X14" s="321"/>
      <c r="Y14" s="315">
        <f>+'BT 2HO'!BG61+'BT 2HO'!BN61</f>
        <v>302500000</v>
      </c>
      <c r="AA14" s="359" t="b">
        <f t="shared" si="3"/>
        <v>1</v>
      </c>
      <c r="AB14" s="320" t="b">
        <f t="shared" si="4"/>
        <v>1</v>
      </c>
      <c r="AC14" s="320"/>
    </row>
    <row r="15" spans="2:29" hidden="1">
      <c r="B15" s="1266"/>
      <c r="C15" s="215" t="str">
        <f>+'BT 2HO'!C66</f>
        <v>Mijin Precision</v>
      </c>
      <c r="D15" s="308">
        <v>1100000</v>
      </c>
      <c r="E15" s="374">
        <f>+'BT 2HO'!D66</f>
        <v>127</v>
      </c>
      <c r="F15" s="311">
        <f t="shared" si="0"/>
        <v>104537.41496598639</v>
      </c>
      <c r="G15" s="218">
        <f t="shared" si="1"/>
        <v>0</v>
      </c>
      <c r="H15" s="218">
        <f t="shared" si="10"/>
        <v>62865000.000000007</v>
      </c>
      <c r="I15" s="218">
        <f t="shared" si="2"/>
        <v>153670000</v>
      </c>
      <c r="J15" s="315"/>
      <c r="K15" s="316"/>
      <c r="L15" s="315"/>
      <c r="M15" s="315"/>
      <c r="N15" s="1288"/>
      <c r="O15" s="218">
        <f t="shared" si="9"/>
        <v>0</v>
      </c>
      <c r="P15" s="489"/>
      <c r="Q15" s="525"/>
      <c r="R15" s="1291"/>
      <c r="S15" s="528">
        <f t="shared" si="6"/>
        <v>76835000</v>
      </c>
      <c r="T15" s="316">
        <f>+'BT 2HO'!AB66</f>
        <v>46019</v>
      </c>
      <c r="U15" s="315">
        <f>+'BT 2HO'!AE66</f>
        <v>76835000</v>
      </c>
      <c r="V15" s="316"/>
      <c r="W15" s="315"/>
      <c r="X15" s="321"/>
      <c r="Y15" s="315">
        <f>+'BT 2HO'!BG66+'BT 2HO'!BN66</f>
        <v>76835000</v>
      </c>
      <c r="AA15" s="359" t="b">
        <f t="shared" si="3"/>
        <v>1</v>
      </c>
      <c r="AB15" s="320" t="b">
        <f t="shared" si="4"/>
        <v>1</v>
      </c>
      <c r="AC15" s="320"/>
    </row>
    <row r="16" spans="2:29" hidden="1">
      <c r="B16" s="1266"/>
      <c r="C16" s="215" t="str">
        <f>+'BT 2HO'!C71</f>
        <v>Wolchool Metal</v>
      </c>
      <c r="D16" s="308">
        <v>1100000</v>
      </c>
      <c r="E16" s="374">
        <f>+'BT 2HO'!D71</f>
        <v>161</v>
      </c>
      <c r="F16" s="311">
        <f t="shared" si="0"/>
        <v>132523.80952380956</v>
      </c>
      <c r="G16" s="218">
        <f t="shared" si="1"/>
        <v>0</v>
      </c>
      <c r="H16" s="218">
        <f t="shared" si="10"/>
        <v>79695000</v>
      </c>
      <c r="I16" s="218">
        <f t="shared" si="2"/>
        <v>194810000</v>
      </c>
      <c r="J16" s="315"/>
      <c r="K16" s="316"/>
      <c r="L16" s="315"/>
      <c r="M16" s="315"/>
      <c r="N16" s="1288"/>
      <c r="O16" s="218">
        <f t="shared" si="9"/>
        <v>0</v>
      </c>
      <c r="P16" s="489"/>
      <c r="Q16" s="525"/>
      <c r="R16" s="1291"/>
      <c r="S16" s="528">
        <f t="shared" si="6"/>
        <v>97405000</v>
      </c>
      <c r="T16" s="316">
        <f>+'BT 2HO'!AB71</f>
        <v>46019</v>
      </c>
      <c r="U16" s="315">
        <f>+'BT 2HO'!AE71</f>
        <v>97405000</v>
      </c>
      <c r="V16" s="316"/>
      <c r="W16" s="315"/>
      <c r="X16" s="321"/>
      <c r="Y16" s="315">
        <f>+'BT 2HO'!BG71+'BT 2HO'!BN71</f>
        <v>97405000</v>
      </c>
      <c r="AA16" s="359" t="b">
        <f t="shared" si="3"/>
        <v>1</v>
      </c>
      <c r="AB16" s="320" t="b">
        <f t="shared" si="4"/>
        <v>1</v>
      </c>
      <c r="AC16" s="320"/>
    </row>
    <row r="17" spans="2:30" hidden="1">
      <c r="B17" s="1266"/>
      <c r="C17" s="215" t="str">
        <f>+'BT 2HO'!C76</f>
        <v>Unitech Korea</v>
      </c>
      <c r="D17" s="308">
        <v>1100000</v>
      </c>
      <c r="E17" s="374">
        <f>+'BT 2HO'!D76</f>
        <v>269</v>
      </c>
      <c r="F17" s="311">
        <f t="shared" si="0"/>
        <v>221421.76870748299</v>
      </c>
      <c r="G17" s="218">
        <f t="shared" si="1"/>
        <v>0</v>
      </c>
      <c r="H17" s="218">
        <f>+E17*500000000/1000*1.1</f>
        <v>147950000</v>
      </c>
      <c r="I17" s="218">
        <f t="shared" si="2"/>
        <v>325490000</v>
      </c>
      <c r="J17" s="315"/>
      <c r="K17" s="316"/>
      <c r="L17" s="315"/>
      <c r="M17" s="315"/>
      <c r="N17" s="1289"/>
      <c r="O17" s="218">
        <f t="shared" si="9"/>
        <v>0</v>
      </c>
      <c r="P17" s="489"/>
      <c r="Q17" s="525"/>
      <c r="R17" s="1292"/>
      <c r="S17" s="528">
        <f t="shared" si="6"/>
        <v>162745000</v>
      </c>
      <c r="T17" s="316">
        <f>+'BT 2HO'!AB76</f>
        <v>46019</v>
      </c>
      <c r="U17" s="315">
        <f>+'BT 2HO'!AE76</f>
        <v>162745000</v>
      </c>
      <c r="V17" s="316"/>
      <c r="W17" s="315"/>
      <c r="X17" s="321"/>
      <c r="Y17" s="315">
        <f>+'BT 2HO'!BG76+'BT 2HO'!BN76</f>
        <v>162745000</v>
      </c>
      <c r="AA17" s="359" t="b">
        <f t="shared" si="3"/>
        <v>1</v>
      </c>
      <c r="AB17" s="320" t="b">
        <f t="shared" si="4"/>
        <v>1</v>
      </c>
      <c r="AC17" s="320"/>
    </row>
    <row r="18" spans="2:30">
      <c r="B18" s="1266"/>
      <c r="C18" s="1268" t="s">
        <v>17</v>
      </c>
      <c r="D18" s="1269"/>
      <c r="E18" s="1279">
        <f>SUM(E4:E17)</f>
        <v>4375.1400000000003</v>
      </c>
      <c r="F18" s="1272">
        <f>SUM(F4:F17)</f>
        <v>3601305.7142857155</v>
      </c>
      <c r="G18" s="322"/>
      <c r="H18" s="315"/>
      <c r="I18" s="315"/>
      <c r="J18" s="322"/>
      <c r="K18" s="316"/>
      <c r="L18" s="322"/>
      <c r="M18" s="322">
        <f>M19/1470</f>
        <v>0</v>
      </c>
      <c r="N18" s="481">
        <f>N19/1470</f>
        <v>0</v>
      </c>
      <c r="O18" s="322">
        <f>O19/1470</f>
        <v>947392.95918367349</v>
      </c>
      <c r="P18" s="489"/>
      <c r="Q18" s="481">
        <f>Q19/1470</f>
        <v>947392.95918367349</v>
      </c>
      <c r="R18" s="533">
        <f>R19/1470</f>
        <v>947392.95918367349</v>
      </c>
      <c r="S18" s="529">
        <f>S19/1470</f>
        <v>446136.0544217687</v>
      </c>
      <c r="T18" s="316"/>
      <c r="U18" s="322">
        <f>U19/1470</f>
        <v>446136.0544217687</v>
      </c>
      <c r="V18" s="316"/>
      <c r="W18" s="322">
        <f>W19/1470</f>
        <v>40168.707482993195</v>
      </c>
      <c r="X18" s="321"/>
      <c r="Y18" s="322">
        <f>Y19/1470</f>
        <v>2167607.9931972791</v>
      </c>
      <c r="AA18" s="321"/>
      <c r="AB18" s="320"/>
    </row>
    <row r="19" spans="2:30">
      <c r="B19" s="1267"/>
      <c r="C19" s="1270"/>
      <c r="D19" s="1271"/>
      <c r="E19" s="1280"/>
      <c r="F19" s="1273"/>
      <c r="G19" s="235"/>
      <c r="H19" s="235"/>
      <c r="I19" s="235"/>
      <c r="J19" s="235"/>
      <c r="K19" s="296"/>
      <c r="L19" s="235"/>
      <c r="M19" s="235">
        <f>+SUM(M4:M17)</f>
        <v>0</v>
      </c>
      <c r="N19" s="482"/>
      <c r="O19" s="235">
        <f>+SUM(O4:O17)</f>
        <v>1392667650</v>
      </c>
      <c r="P19" s="490"/>
      <c r="Q19" s="482">
        <f>+SUM(Q4:Q17)</f>
        <v>1392667650</v>
      </c>
      <c r="R19" s="534">
        <f>+O19-N19</f>
        <v>1392667650</v>
      </c>
      <c r="S19" s="530">
        <f>+SUM(S4:S17)</f>
        <v>655820000</v>
      </c>
      <c r="T19" s="296"/>
      <c r="U19" s="235">
        <f>+SUM(U4:U17)</f>
        <v>655820000</v>
      </c>
      <c r="V19" s="296"/>
      <c r="W19" s="235">
        <f>+SUM(W4:W17)</f>
        <v>59048000</v>
      </c>
      <c r="X19" s="236"/>
      <c r="Y19" s="235">
        <f>+SUM(Y4:Y17)</f>
        <v>3186383750</v>
      </c>
      <c r="AA19" s="236"/>
      <c r="AB19" s="320"/>
      <c r="AD19" s="320"/>
    </row>
    <row r="20" spans="2:30">
      <c r="B20" s="1265" t="s">
        <v>192</v>
      </c>
      <c r="C20" s="215" t="str">
        <f>+'BT 3HO'!C11</f>
        <v>Seun Steel Gyeongju</v>
      </c>
      <c r="D20" s="306">
        <v>1100000</v>
      </c>
      <c r="E20" s="230">
        <f>+'BT 3HO'!D11</f>
        <v>709.29499999999996</v>
      </c>
      <c r="F20" s="310">
        <f t="shared" ref="F20:F28" si="11">D20*E20*1.1/$AC$1</f>
        <v>583841.46258503408</v>
      </c>
      <c r="G20" s="218">
        <f t="shared" ref="G20:G27" si="12">+L20+Q20</f>
        <v>0</v>
      </c>
      <c r="H20" s="218">
        <f t="shared" ref="H20:H27" si="13">+E20*500000000/1000*1.1</f>
        <v>390112250.00000006</v>
      </c>
      <c r="I20" s="218">
        <f t="shared" ref="I20:I27" si="14">+J20+L20+Q20+U20+Y20+W20</f>
        <v>936269400</v>
      </c>
      <c r="J20" s="227">
        <f>+'BT 3HO'!R15</f>
        <v>78022450</v>
      </c>
      <c r="K20" s="297"/>
      <c r="L20" s="227"/>
      <c r="M20" s="227"/>
      <c r="N20" s="1287"/>
      <c r="O20" s="218">
        <f t="shared" ref="O20:O28" si="15">+Q20</f>
        <v>0</v>
      </c>
      <c r="P20" s="491"/>
      <c r="Q20" s="526"/>
      <c r="R20" s="1290"/>
      <c r="S20" s="528">
        <f t="shared" ref="S20:S28" si="16">+U20</f>
        <v>429123475</v>
      </c>
      <c r="T20" s="297">
        <f>+'BT 3HO'!AB11</f>
        <v>46020</v>
      </c>
      <c r="U20" s="228">
        <f>+'BT 3HO'!AE11</f>
        <v>429123475</v>
      </c>
      <c r="V20" s="297"/>
      <c r="W20" s="225"/>
      <c r="X20" s="226"/>
      <c r="Y20" s="227">
        <f>+'BT 3HO'!BG11+'BT 3HO'!BN11</f>
        <v>429123475</v>
      </c>
      <c r="AA20" s="359" t="b">
        <f t="shared" ref="AA20:AA27" si="17">+D20*E20*1.1=(M20+O20+S20+W20+Y20)</f>
        <v>1</v>
      </c>
      <c r="AB20" s="320" t="b">
        <f t="shared" ref="AB20:AB27" si="18">+D20*E20*1.1=M20+Q20+U20+W20+Y20</f>
        <v>1</v>
      </c>
    </row>
    <row r="21" spans="2:30">
      <c r="B21" s="1266"/>
      <c r="C21" s="215" t="str">
        <f>+'BT 3HO'!C16</f>
        <v>Oneel</v>
      </c>
      <c r="D21" s="309">
        <v>1100000</v>
      </c>
      <c r="E21" s="223">
        <f>+'BT 3HO'!D16</f>
        <v>522.60500000000002</v>
      </c>
      <c r="F21" s="311">
        <f t="shared" si="11"/>
        <v>430171.46258503402</v>
      </c>
      <c r="G21" s="218">
        <f t="shared" si="12"/>
        <v>57486550</v>
      </c>
      <c r="H21" s="218">
        <f t="shared" si="13"/>
        <v>287432750</v>
      </c>
      <c r="I21" s="218">
        <f t="shared" si="14"/>
        <v>747325150</v>
      </c>
      <c r="J21" s="218">
        <f>+'BT 3HO'!R20</f>
        <v>57486550</v>
      </c>
      <c r="K21" s="295">
        <f>+'BT 3HO'!U17</f>
        <v>45855</v>
      </c>
      <c r="L21" s="381">
        <f>+'BT 3HO'!Y17+'BT 3HO'!Y18</f>
        <v>57486550</v>
      </c>
      <c r="M21" s="218"/>
      <c r="N21" s="1288"/>
      <c r="O21" s="218">
        <f t="shared" si="15"/>
        <v>0</v>
      </c>
      <c r="P21" s="488"/>
      <c r="Q21" s="524"/>
      <c r="R21" s="1291"/>
      <c r="S21" s="528">
        <f t="shared" si="16"/>
        <v>316176025</v>
      </c>
      <c r="T21" s="295">
        <f>+'BT 3HO'!AB16</f>
        <v>46020</v>
      </c>
      <c r="U21" s="218">
        <f>+'BT 3HO'!AE16</f>
        <v>316176025</v>
      </c>
      <c r="V21" s="295"/>
      <c r="W21" s="219"/>
      <c r="X21" s="222"/>
      <c r="Y21" s="218">
        <f>+'BT 3HO'!BG16+'BT 3HO'!BN16</f>
        <v>316176025</v>
      </c>
      <c r="AA21" s="359" t="b">
        <f t="shared" si="17"/>
        <v>1</v>
      </c>
      <c r="AB21" s="320" t="b">
        <f t="shared" si="18"/>
        <v>1</v>
      </c>
    </row>
    <row r="22" spans="2:30">
      <c r="B22" s="1266"/>
      <c r="C22" s="215" t="str">
        <f>+'BT 3HO'!C21</f>
        <v>LSG</v>
      </c>
      <c r="D22" s="309">
        <v>1100000</v>
      </c>
      <c r="E22" s="223">
        <f>+'BT 3HO'!D21</f>
        <v>499.11</v>
      </c>
      <c r="F22" s="311">
        <f t="shared" si="11"/>
        <v>410832.04081632651</v>
      </c>
      <c r="G22" s="218">
        <f t="shared" si="12"/>
        <v>0</v>
      </c>
      <c r="H22" s="218">
        <f t="shared" si="13"/>
        <v>274510500</v>
      </c>
      <c r="I22" s="218">
        <f t="shared" si="14"/>
        <v>850982550</v>
      </c>
      <c r="J22" s="218">
        <f>+'BT 3HO'!Q25+'BT 3HO'!X25+'BT 3HO'!AE22+'BT 3HO'!AE23</f>
        <v>247059450</v>
      </c>
      <c r="K22" s="295"/>
      <c r="L22" s="381">
        <v>0</v>
      </c>
      <c r="M22" s="218"/>
      <c r="N22" s="1288"/>
      <c r="O22" s="218">
        <f t="shared" si="15"/>
        <v>0</v>
      </c>
      <c r="P22" s="488"/>
      <c r="Q22" s="524"/>
      <c r="R22" s="1291"/>
      <c r="S22" s="528">
        <f t="shared" si="16"/>
        <v>301961550</v>
      </c>
      <c r="T22" s="295">
        <f>+'BT 3HO'!AB21</f>
        <v>46020</v>
      </c>
      <c r="U22" s="218">
        <f>+'BT 3HO'!AE21</f>
        <v>301961550</v>
      </c>
      <c r="V22" s="295"/>
      <c r="W22" s="219"/>
      <c r="X22" s="222"/>
      <c r="Y22" s="218">
        <f>+'BT 3HO'!BG21+'BT 3HO'!BN21</f>
        <v>301961550</v>
      </c>
      <c r="AA22" s="359" t="b">
        <f t="shared" si="17"/>
        <v>1</v>
      </c>
      <c r="AB22" s="320" t="b">
        <f t="shared" si="18"/>
        <v>1</v>
      </c>
    </row>
    <row r="23" spans="2:30">
      <c r="B23" s="1266"/>
      <c r="C23" s="215" t="str">
        <f>+'BT 3HO'!C26</f>
        <v>Hanseo Motors</v>
      </c>
      <c r="D23" s="309">
        <v>1100000</v>
      </c>
      <c r="E23" s="223">
        <f>+'BT 3HO'!D26</f>
        <v>142.875</v>
      </c>
      <c r="F23" s="311">
        <f t="shared" si="11"/>
        <v>117604.59183673469</v>
      </c>
      <c r="G23" s="218">
        <f t="shared" si="12"/>
        <v>0</v>
      </c>
      <c r="H23" s="218">
        <f t="shared" si="13"/>
        <v>78581250</v>
      </c>
      <c r="I23" s="218">
        <f t="shared" si="14"/>
        <v>243601875</v>
      </c>
      <c r="J23" s="218">
        <f>+'BT 3HO'!Q30+'BT 3HO'!X30+'BT 3HO'!AF27+'BT 3HO'!AF28</f>
        <v>70723125</v>
      </c>
      <c r="K23" s="295"/>
      <c r="L23" s="381">
        <v>0</v>
      </c>
      <c r="M23" s="218"/>
      <c r="N23" s="1288"/>
      <c r="O23" s="218">
        <f t="shared" si="15"/>
        <v>0</v>
      </c>
      <c r="P23" s="488"/>
      <c r="Q23" s="524"/>
      <c r="R23" s="1291"/>
      <c r="S23" s="528">
        <f t="shared" si="16"/>
        <v>86439375</v>
      </c>
      <c r="T23" s="295">
        <f>+'BT 3HO'!AB26</f>
        <v>46020</v>
      </c>
      <c r="U23" s="218">
        <f>+'BT 3HO'!AE26</f>
        <v>86439375</v>
      </c>
      <c r="V23" s="295"/>
      <c r="W23" s="219"/>
      <c r="X23" s="222"/>
      <c r="Y23" s="218">
        <f>+'BT 3HO'!BG26+'BT 3HO'!BN26</f>
        <v>86439375</v>
      </c>
      <c r="AA23" s="359" t="b">
        <f t="shared" si="17"/>
        <v>1</v>
      </c>
      <c r="AB23" s="320" t="b">
        <f t="shared" si="18"/>
        <v>1</v>
      </c>
    </row>
    <row r="24" spans="2:30">
      <c r="B24" s="1266"/>
      <c r="C24" s="215" t="str">
        <f>+'BT 3HO'!C31</f>
        <v>Daechon Headquarters</v>
      </c>
      <c r="D24" s="309">
        <v>1100000</v>
      </c>
      <c r="E24" s="223">
        <f>+'BT 3HO'!D31</f>
        <v>897.89</v>
      </c>
      <c r="F24" s="311">
        <f t="shared" si="11"/>
        <v>739079.52380952379</v>
      </c>
      <c r="G24" s="218">
        <f t="shared" si="12"/>
        <v>0</v>
      </c>
      <c r="H24" s="218">
        <f t="shared" si="13"/>
        <v>493839500.00000006</v>
      </c>
      <c r="I24" s="218">
        <f t="shared" si="14"/>
        <v>1185214800</v>
      </c>
      <c r="J24" s="218">
        <f>+'BT 3HO'!R35</f>
        <v>98767900</v>
      </c>
      <c r="K24" s="295"/>
      <c r="L24" s="383"/>
      <c r="M24" s="218"/>
      <c r="N24" s="1288"/>
      <c r="O24" s="218">
        <f t="shared" si="15"/>
        <v>0</v>
      </c>
      <c r="P24" s="488"/>
      <c r="Q24" s="524"/>
      <c r="R24" s="1291"/>
      <c r="S24" s="528">
        <f t="shared" si="16"/>
        <v>543223450</v>
      </c>
      <c r="T24" s="295">
        <f>+'BT 3HO'!AB31</f>
        <v>46020</v>
      </c>
      <c r="U24" s="218">
        <f>+'BT 3HO'!AE31</f>
        <v>543223450</v>
      </c>
      <c r="V24" s="295"/>
      <c r="W24" s="218"/>
      <c r="X24" s="222"/>
      <c r="Y24" s="218">
        <f>+'BT 3HO'!BG31+'BT 3HO'!BN31</f>
        <v>543223450</v>
      </c>
      <c r="AA24" s="359" t="b">
        <f t="shared" si="17"/>
        <v>1</v>
      </c>
      <c r="AB24" s="320" t="b">
        <f t="shared" si="18"/>
        <v>1</v>
      </c>
    </row>
    <row r="25" spans="2:30">
      <c r="B25" s="1266"/>
      <c r="C25" s="215" t="str">
        <f>+'BT 3HO'!C36</f>
        <v>Changseong High Tech</v>
      </c>
      <c r="D25" s="309">
        <v>1100000</v>
      </c>
      <c r="E25" s="223">
        <f>+'BT 3HO'!D36</f>
        <v>166.37</v>
      </c>
      <c r="F25" s="311">
        <f t="shared" si="11"/>
        <v>136944.01360544219</v>
      </c>
      <c r="G25" s="218">
        <f t="shared" si="12"/>
        <v>18300700</v>
      </c>
      <c r="H25" s="218">
        <f t="shared" si="13"/>
        <v>91503500</v>
      </c>
      <c r="I25" s="218">
        <f t="shared" si="14"/>
        <v>237909100</v>
      </c>
      <c r="J25" s="218">
        <f>+'BT 3HO'!R40</f>
        <v>18300700</v>
      </c>
      <c r="K25" s="295">
        <f>+'BT 3HO'!U37</f>
        <v>45855</v>
      </c>
      <c r="L25" s="381">
        <f>+'BT 3HO'!Y37+'BT 3HO'!Y38</f>
        <v>18300700</v>
      </c>
      <c r="M25" s="218"/>
      <c r="N25" s="1288"/>
      <c r="O25" s="218">
        <f t="shared" si="15"/>
        <v>0</v>
      </c>
      <c r="P25" s="488"/>
      <c r="Q25" s="524"/>
      <c r="R25" s="1291"/>
      <c r="S25" s="528">
        <f t="shared" si="16"/>
        <v>100653850</v>
      </c>
      <c r="T25" s="295">
        <f>+'BT 3HO'!AB36</f>
        <v>46020</v>
      </c>
      <c r="U25" s="218">
        <f>+'BT 3HO'!AE36</f>
        <v>100653850</v>
      </c>
      <c r="V25" s="295"/>
      <c r="W25" s="218"/>
      <c r="X25" s="222"/>
      <c r="Y25" s="218">
        <f>+'BT 3HO'!BG36+'BT 3HO'!BN36</f>
        <v>100653850</v>
      </c>
      <c r="AA25" s="359" t="b">
        <f t="shared" si="17"/>
        <v>1</v>
      </c>
      <c r="AB25" s="320" t="b">
        <f t="shared" si="18"/>
        <v>1</v>
      </c>
    </row>
    <row r="26" spans="2:30">
      <c r="B26" s="1266"/>
      <c r="C26" s="215" t="str">
        <f>+'BT 3HO'!C41</f>
        <v>Daechon Busan</v>
      </c>
      <c r="D26" s="309">
        <v>1100000</v>
      </c>
      <c r="E26" s="318">
        <f>+'BT 3HO'!D41</f>
        <v>1155.7</v>
      </c>
      <c r="F26" s="319">
        <f t="shared" si="11"/>
        <v>951290.47619047621</v>
      </c>
      <c r="G26" s="218">
        <f t="shared" si="12"/>
        <v>0</v>
      </c>
      <c r="H26" s="218">
        <f t="shared" si="13"/>
        <v>635635000</v>
      </c>
      <c r="I26" s="218">
        <f t="shared" si="14"/>
        <v>1536700000</v>
      </c>
      <c r="J26" s="315">
        <f>+'BT 3HO'!R45</f>
        <v>138303000</v>
      </c>
      <c r="K26" s="316"/>
      <c r="L26" s="382"/>
      <c r="M26" s="315"/>
      <c r="N26" s="1288"/>
      <c r="O26" s="218">
        <f t="shared" si="15"/>
        <v>0</v>
      </c>
      <c r="P26" s="489"/>
      <c r="Q26" s="525"/>
      <c r="R26" s="1291"/>
      <c r="S26" s="528">
        <f t="shared" si="16"/>
        <v>699198500</v>
      </c>
      <c r="T26" s="316">
        <f>+'BT 3HO'!AB41</f>
        <v>46020</v>
      </c>
      <c r="U26" s="315">
        <f>+'BT 3HO'!AE41</f>
        <v>699198500</v>
      </c>
      <c r="V26" s="316"/>
      <c r="W26" s="315"/>
      <c r="X26" s="318"/>
      <c r="Y26" s="315">
        <f>+'BT 3HO'!BG41+'BT 3HO'!BN41</f>
        <v>699198500</v>
      </c>
      <c r="AA26" s="359" t="b">
        <f t="shared" si="17"/>
        <v>1</v>
      </c>
      <c r="AB26" s="320" t="b">
        <f t="shared" si="18"/>
        <v>1</v>
      </c>
    </row>
    <row r="27" spans="2:30">
      <c r="B27" s="1266"/>
      <c r="C27" s="215" t="str">
        <f>+'BT 3HO'!C46</f>
        <v>E-Tech</v>
      </c>
      <c r="D27" s="309">
        <v>1100000</v>
      </c>
      <c r="E27" s="318">
        <f>+'BT 3HO'!D46</f>
        <v>148.47999999999999</v>
      </c>
      <c r="F27" s="319">
        <f t="shared" si="11"/>
        <v>122218.23129251701</v>
      </c>
      <c r="G27" s="218">
        <f t="shared" si="12"/>
        <v>16332800</v>
      </c>
      <c r="H27" s="218">
        <f t="shared" si="13"/>
        <v>81664000</v>
      </c>
      <c r="I27" s="218">
        <f t="shared" si="14"/>
        <v>195993600</v>
      </c>
      <c r="J27" s="315"/>
      <c r="K27" s="316">
        <f>+'BT 3HO'!N47</f>
        <v>45855</v>
      </c>
      <c r="L27" s="382">
        <f>+'BT 3HO'!Q47+'BT 3HO'!Q48</f>
        <v>16332800</v>
      </c>
      <c r="M27" s="315"/>
      <c r="N27" s="1288"/>
      <c r="O27" s="218">
        <f t="shared" si="15"/>
        <v>0</v>
      </c>
      <c r="P27" s="489"/>
      <c r="Q27" s="525"/>
      <c r="R27" s="1291"/>
      <c r="S27" s="528">
        <f t="shared" si="16"/>
        <v>89830400</v>
      </c>
      <c r="T27" s="316">
        <f>+'BT 3HO'!AB46</f>
        <v>46020</v>
      </c>
      <c r="U27" s="315">
        <f>+'BT 3HO'!AE46</f>
        <v>89830400</v>
      </c>
      <c r="V27" s="316"/>
      <c r="W27" s="315"/>
      <c r="X27" s="318"/>
      <c r="Y27" s="315">
        <f>+'BT 3HO'!BG46+'BT 3HO'!BN46</f>
        <v>89830400</v>
      </c>
      <c r="AA27" s="359" t="b">
        <f t="shared" si="17"/>
        <v>1</v>
      </c>
      <c r="AB27" s="320" t="b">
        <f t="shared" si="18"/>
        <v>1</v>
      </c>
    </row>
    <row r="28" spans="2:30">
      <c r="B28" s="1266"/>
      <c r="C28" s="215" t="str">
        <f>+'BT 3HO'!C51</f>
        <v>Dongsung Metal</v>
      </c>
      <c r="D28" s="309">
        <v>1100000</v>
      </c>
      <c r="E28" s="450">
        <f>+'BT 3HO'!D51</f>
        <v>495.81</v>
      </c>
      <c r="F28" s="319">
        <f t="shared" si="11"/>
        <v>408115.71428571426</v>
      </c>
      <c r="M28" s="315"/>
      <c r="N28" s="1288"/>
      <c r="O28" s="218">
        <f t="shared" si="15"/>
        <v>0</v>
      </c>
      <c r="P28" s="489"/>
      <c r="Q28" s="525"/>
      <c r="R28" s="1291"/>
      <c r="S28" s="528">
        <f t="shared" si="16"/>
        <v>0</v>
      </c>
      <c r="T28" s="316"/>
      <c r="U28" s="315"/>
      <c r="V28" s="316"/>
      <c r="W28" s="315"/>
      <c r="X28" s="318"/>
      <c r="Y28" s="315"/>
      <c r="AA28" s="221"/>
      <c r="AB28" s="320"/>
    </row>
    <row r="29" spans="2:30">
      <c r="B29" s="1266"/>
      <c r="C29" s="1268" t="s">
        <v>17</v>
      </c>
      <c r="D29" s="1269"/>
      <c r="E29" s="1279">
        <f>SUM(E20:E28)</f>
        <v>4738.1350000000002</v>
      </c>
      <c r="F29" s="1272">
        <f>SUM(F20:F28)</f>
        <v>3900097.5170068028</v>
      </c>
      <c r="G29" s="322"/>
      <c r="H29" s="315"/>
      <c r="I29" s="315"/>
      <c r="J29" s="322"/>
      <c r="K29" s="316"/>
      <c r="L29" s="322"/>
      <c r="M29" s="322">
        <f>M30/1470</f>
        <v>0</v>
      </c>
      <c r="N29" s="481">
        <f>N30/1470</f>
        <v>0</v>
      </c>
      <c r="O29" s="322">
        <f>O30/1470</f>
        <v>0</v>
      </c>
      <c r="P29" s="489"/>
      <c r="Q29" s="481">
        <f>Q30/1470</f>
        <v>0</v>
      </c>
      <c r="R29" s="535"/>
      <c r="S29" s="529">
        <f>S30/1470</f>
        <v>1745990.9013605441</v>
      </c>
      <c r="T29" s="316"/>
      <c r="U29" s="322">
        <f>U30/1470</f>
        <v>1745990.9013605441</v>
      </c>
      <c r="V29" s="316"/>
      <c r="W29" s="322">
        <f>W30/1470</f>
        <v>0</v>
      </c>
      <c r="X29" s="318"/>
      <c r="Y29" s="322">
        <f>Y30/1470</f>
        <v>1745990.9013605441</v>
      </c>
      <c r="AA29" s="318"/>
      <c r="AB29" s="320"/>
    </row>
    <row r="30" spans="2:30">
      <c r="B30" s="1267"/>
      <c r="C30" s="1270"/>
      <c r="D30" s="1271"/>
      <c r="E30" s="1280"/>
      <c r="F30" s="1273"/>
      <c r="G30" s="235"/>
      <c r="H30" s="235"/>
      <c r="I30" s="235"/>
      <c r="J30" s="235"/>
      <c r="K30" s="296"/>
      <c r="L30" s="235"/>
      <c r="M30" s="235">
        <f>+SUM(M20:M28)</f>
        <v>0</v>
      </c>
      <c r="N30" s="482"/>
      <c r="O30" s="235">
        <f>+SUM(O20:O28)</f>
        <v>0</v>
      </c>
      <c r="P30" s="490"/>
      <c r="Q30" s="482">
        <f>+SUM(Q20:Q28)</f>
        <v>0</v>
      </c>
      <c r="R30" s="536"/>
      <c r="S30" s="530">
        <f>+SUM(S20:S28)</f>
        <v>2566606625</v>
      </c>
      <c r="T30" s="296"/>
      <c r="U30" s="235">
        <f>+SUM(U20:U28)</f>
        <v>2566606625</v>
      </c>
      <c r="V30" s="296"/>
      <c r="W30" s="235">
        <f>+SUM(W20:W28)</f>
        <v>0</v>
      </c>
      <c r="X30" s="236"/>
      <c r="Y30" s="235">
        <f>+SUM(Y20:Y28)</f>
        <v>2566606625</v>
      </c>
      <c r="AA30" s="236"/>
      <c r="AB30" s="320"/>
    </row>
    <row r="31" spans="2:30" ht="12.75" customHeight="1">
      <c r="B31" s="1265" t="s">
        <v>327</v>
      </c>
      <c r="C31" s="473" t="str">
        <f>+'BT 4HO'!C11</f>
        <v>Nuriplan(UnisonHKR)</v>
      </c>
      <c r="D31" s="308">
        <v>1100000</v>
      </c>
      <c r="E31" s="374">
        <f>+'BT 4HO'!D11</f>
        <v>2521.92</v>
      </c>
      <c r="F31" s="311">
        <f t="shared" ref="F31:F38" si="19">D31*E31*1.1/$AC$1</f>
        <v>2075866.1224489799</v>
      </c>
      <c r="G31" s="218">
        <f t="shared" ref="G31:G38" si="20">+L31+Q31</f>
        <v>0</v>
      </c>
      <c r="H31" s="218">
        <f>+E31*450000000/1000*1.1</f>
        <v>1248350400</v>
      </c>
      <c r="I31" s="218">
        <f t="shared" ref="I31:I38" si="21">+J31+L31+Q31+U31+Y31+W31</f>
        <v>3051523200</v>
      </c>
      <c r="J31" s="315"/>
      <c r="K31" s="316"/>
      <c r="L31" s="315"/>
      <c r="M31" s="315">
        <f>+J31+L31</f>
        <v>0</v>
      </c>
      <c r="N31" s="483"/>
      <c r="O31" s="218">
        <f t="shared" ref="O31:O38" si="22">+Q31</f>
        <v>0</v>
      </c>
      <c r="P31" s="489"/>
      <c r="Q31" s="525"/>
      <c r="R31" s="1290"/>
      <c r="S31" s="528">
        <f t="shared" ref="S31:S38" si="23">+U31</f>
        <v>0</v>
      </c>
      <c r="T31" s="316"/>
      <c r="U31" s="315"/>
      <c r="V31" s="316"/>
      <c r="W31" s="315"/>
      <c r="X31" s="321"/>
      <c r="Y31" s="315">
        <f>+'BT 4HO'!AE11+'BT 4HO'!BG11+'BT 4HO'!BN11</f>
        <v>3051523200</v>
      </c>
      <c r="AA31" s="359" t="b">
        <f t="shared" ref="AA31:AA38" si="24">+D31*E31*1.1=(M31+O31+S31+W31+Y31)</f>
        <v>1</v>
      </c>
      <c r="AB31" s="320" t="b">
        <f t="shared" ref="AB31:AB38" si="25">+D31*E31*1.1=M31+Q31+U31+W31+Y31</f>
        <v>1</v>
      </c>
    </row>
    <row r="32" spans="2:30">
      <c r="B32" s="1266"/>
      <c r="C32" s="473" t="str">
        <f>+'BT 4HO'!C16</f>
        <v>MKENG</v>
      </c>
      <c r="D32" s="308">
        <v>1100000</v>
      </c>
      <c r="E32" s="374">
        <f>+'BT 4HO'!D16</f>
        <v>435.23</v>
      </c>
      <c r="F32" s="311">
        <f t="shared" si="19"/>
        <v>358250.5442176871</v>
      </c>
      <c r="G32" s="218">
        <f t="shared" si="20"/>
        <v>0</v>
      </c>
      <c r="H32" s="218">
        <f>+E32*450000000/1000*1.1</f>
        <v>215438850.00000003</v>
      </c>
      <c r="I32" s="218">
        <f t="shared" si="21"/>
        <v>526628300</v>
      </c>
      <c r="J32" s="315"/>
      <c r="K32" s="316"/>
      <c r="L32" s="315"/>
      <c r="M32" s="315">
        <f>+J32+L32</f>
        <v>0</v>
      </c>
      <c r="N32" s="483"/>
      <c r="O32" s="218">
        <f t="shared" si="22"/>
        <v>0</v>
      </c>
      <c r="P32" s="489"/>
      <c r="Q32" s="525"/>
      <c r="R32" s="1291"/>
      <c r="S32" s="528">
        <f t="shared" si="23"/>
        <v>0</v>
      </c>
      <c r="T32" s="316"/>
      <c r="U32" s="315"/>
      <c r="V32" s="316"/>
      <c r="W32" s="315"/>
      <c r="X32" s="321"/>
      <c r="Y32" s="315">
        <f>+'BT 4HO'!AE16+'BT 4HO'!BG16+'BT 4HO'!BN16</f>
        <v>526628300</v>
      </c>
      <c r="AA32" s="359" t="b">
        <f t="shared" si="24"/>
        <v>1</v>
      </c>
      <c r="AB32" s="320" t="b">
        <f t="shared" si="25"/>
        <v>1</v>
      </c>
    </row>
    <row r="33" spans="2:28">
      <c r="B33" s="1266"/>
      <c r="C33" s="473" t="str">
        <f>+'BT 4HO'!C21</f>
        <v>Sangmyung Enfra</v>
      </c>
      <c r="D33" s="308">
        <v>1100000</v>
      </c>
      <c r="E33" s="374">
        <f>+'BT 4HO'!D21</f>
        <v>383.4</v>
      </c>
      <c r="F33" s="311">
        <f t="shared" si="19"/>
        <v>315587.75510204083</v>
      </c>
      <c r="G33" s="218">
        <f t="shared" si="20"/>
        <v>0</v>
      </c>
      <c r="H33" s="218">
        <f>+E33*450000000/1000*1.1</f>
        <v>189783000.00000003</v>
      </c>
      <c r="I33" s="218">
        <f t="shared" si="21"/>
        <v>463914000</v>
      </c>
      <c r="J33" s="315"/>
      <c r="K33" s="316"/>
      <c r="L33" s="315"/>
      <c r="M33" s="315">
        <f>+J33+L33</f>
        <v>0</v>
      </c>
      <c r="N33" s="483"/>
      <c r="O33" s="218">
        <f t="shared" si="22"/>
        <v>0</v>
      </c>
      <c r="P33" s="489"/>
      <c r="Q33" s="525"/>
      <c r="R33" s="1291"/>
      <c r="S33" s="528">
        <f t="shared" si="23"/>
        <v>0</v>
      </c>
      <c r="T33" s="316"/>
      <c r="U33" s="315"/>
      <c r="V33" s="316"/>
      <c r="W33" s="315"/>
      <c r="X33" s="321"/>
      <c r="Y33" s="315">
        <f>+'BT 4HO'!AE21+'BT 4HO'!BG21+'BT 4HO'!BN21</f>
        <v>463914000</v>
      </c>
      <c r="AA33" s="359" t="b">
        <f t="shared" si="24"/>
        <v>1</v>
      </c>
      <c r="AB33" s="320" t="b">
        <f t="shared" si="25"/>
        <v>1</v>
      </c>
    </row>
    <row r="34" spans="2:28">
      <c r="B34" s="1266"/>
      <c r="C34" s="473" t="str">
        <f>+'BT 4HO'!C26</f>
        <v>Woori One</v>
      </c>
      <c r="D34" s="309">
        <v>1100000</v>
      </c>
      <c r="E34" s="374">
        <f>+'BT 4HO'!D26</f>
        <v>221</v>
      </c>
      <c r="F34" s="311">
        <f t="shared" si="19"/>
        <v>181911.56462585035</v>
      </c>
      <c r="G34" s="218">
        <f t="shared" si="20"/>
        <v>0</v>
      </c>
      <c r="H34" s="218">
        <f>+E34*500000000/1000*1.1</f>
        <v>121550000.00000001</v>
      </c>
      <c r="I34" s="218">
        <f t="shared" si="21"/>
        <v>267410000</v>
      </c>
      <c r="J34" s="315"/>
      <c r="K34" s="316"/>
      <c r="L34" s="315"/>
      <c r="M34" s="315">
        <f t="shared" ref="M34:M38" si="26">+J34+L34</f>
        <v>0</v>
      </c>
      <c r="N34" s="483"/>
      <c r="O34" s="218">
        <f t="shared" si="22"/>
        <v>0</v>
      </c>
      <c r="P34" s="489"/>
      <c r="Q34" s="525"/>
      <c r="R34" s="1291"/>
      <c r="S34" s="528">
        <f t="shared" si="23"/>
        <v>0</v>
      </c>
      <c r="T34" s="316"/>
      <c r="U34" s="315"/>
      <c r="V34" s="316"/>
      <c r="W34" s="315"/>
      <c r="X34" s="321"/>
      <c r="Y34" s="315">
        <f>+'BT 4HO'!AE26+'BT 4HO'!BG26+'BT 4HO'!BN26</f>
        <v>267410000</v>
      </c>
      <c r="AA34" s="359" t="b">
        <f t="shared" si="24"/>
        <v>1</v>
      </c>
      <c r="AB34" s="320" t="b">
        <f t="shared" si="25"/>
        <v>1</v>
      </c>
    </row>
    <row r="35" spans="2:28">
      <c r="B35" s="1266"/>
      <c r="C35" s="473" t="str">
        <f>+'BT 4HO'!C31</f>
        <v>Eurowinspia</v>
      </c>
      <c r="D35" s="309">
        <v>1100000</v>
      </c>
      <c r="E35" s="374">
        <f>+'BT 4HO'!D31</f>
        <v>1207</v>
      </c>
      <c r="F35" s="311">
        <f t="shared" si="19"/>
        <v>993517.00680272107</v>
      </c>
      <c r="G35" s="218">
        <f t="shared" si="20"/>
        <v>0</v>
      </c>
      <c r="H35" s="218">
        <f t="shared" ref="H35:H38" si="27">+E35*500000000/1000*1.1</f>
        <v>663850000</v>
      </c>
      <c r="I35" s="218">
        <f t="shared" si="21"/>
        <v>1460470000</v>
      </c>
      <c r="J35" s="315"/>
      <c r="K35" s="316"/>
      <c r="L35" s="315"/>
      <c r="M35" s="315">
        <f t="shared" si="26"/>
        <v>0</v>
      </c>
      <c r="N35" s="483"/>
      <c r="O35" s="218">
        <f t="shared" si="22"/>
        <v>0</v>
      </c>
      <c r="P35" s="489"/>
      <c r="Q35" s="525"/>
      <c r="R35" s="1291"/>
      <c r="S35" s="528">
        <f t="shared" si="23"/>
        <v>0</v>
      </c>
      <c r="T35" s="316"/>
      <c r="U35" s="315"/>
      <c r="V35" s="316"/>
      <c r="W35" s="315"/>
      <c r="X35" s="321"/>
      <c r="Y35" s="315">
        <f>+'BT 4HO'!AE31+'BT 4HO'!BG31+'BT 4HO'!BN31</f>
        <v>1460470000</v>
      </c>
      <c r="AA35" s="359" t="b">
        <f t="shared" si="24"/>
        <v>1</v>
      </c>
      <c r="AB35" s="320" t="b">
        <f t="shared" si="25"/>
        <v>1</v>
      </c>
    </row>
    <row r="36" spans="2:28">
      <c r="B36" s="1266"/>
      <c r="C36" s="473" t="str">
        <f>+'BT 4HO'!C36</f>
        <v>RMK</v>
      </c>
      <c r="D36" s="309">
        <v>1100000</v>
      </c>
      <c r="E36" s="374">
        <f>+'BT 4HO'!D36</f>
        <v>991</v>
      </c>
      <c r="F36" s="311">
        <f t="shared" si="19"/>
        <v>815721.0884353742</v>
      </c>
      <c r="G36" s="218">
        <f t="shared" si="20"/>
        <v>0</v>
      </c>
      <c r="H36" s="218">
        <f t="shared" si="27"/>
        <v>545050000</v>
      </c>
      <c r="I36" s="218">
        <f t="shared" si="21"/>
        <v>1199110000</v>
      </c>
      <c r="J36" s="315"/>
      <c r="K36" s="316"/>
      <c r="L36" s="315"/>
      <c r="M36" s="315">
        <f t="shared" si="26"/>
        <v>0</v>
      </c>
      <c r="N36" s="483"/>
      <c r="O36" s="218">
        <f t="shared" si="22"/>
        <v>0</v>
      </c>
      <c r="P36" s="489"/>
      <c r="Q36" s="525"/>
      <c r="R36" s="1291"/>
      <c r="S36" s="528">
        <f t="shared" si="23"/>
        <v>0</v>
      </c>
      <c r="T36" s="316"/>
      <c r="U36" s="315"/>
      <c r="V36" s="316">
        <f>+'BT 4HO'!AB36</f>
        <v>46050</v>
      </c>
      <c r="W36" s="315">
        <f>+'BT 4HO'!AE36</f>
        <v>599555000</v>
      </c>
      <c r="X36" s="321"/>
      <c r="Y36" s="315">
        <f>+'BT 4HO'!BG36+'BT 4HO'!BN36</f>
        <v>599555000</v>
      </c>
      <c r="AA36" s="359" t="b">
        <f t="shared" si="24"/>
        <v>1</v>
      </c>
      <c r="AB36" s="320" t="b">
        <f t="shared" si="25"/>
        <v>1</v>
      </c>
    </row>
    <row r="37" spans="2:28">
      <c r="B37" s="1266"/>
      <c r="C37" s="473" t="str">
        <f>+'BT 4HO'!C41</f>
        <v>Samwon PNP</v>
      </c>
      <c r="D37" s="309">
        <v>1100000</v>
      </c>
      <c r="E37" s="374">
        <f>+'BT 4HO'!D41</f>
        <v>461</v>
      </c>
      <c r="F37" s="311">
        <f t="shared" si="19"/>
        <v>379462.58503401361</v>
      </c>
      <c r="G37" s="218">
        <f t="shared" si="20"/>
        <v>0</v>
      </c>
      <c r="H37" s="218">
        <f t="shared" si="27"/>
        <v>253550000.00000003</v>
      </c>
      <c r="I37" s="218">
        <f t="shared" si="21"/>
        <v>557810000</v>
      </c>
      <c r="J37" s="315"/>
      <c r="K37" s="316"/>
      <c r="L37" s="315"/>
      <c r="M37" s="315">
        <f t="shared" si="26"/>
        <v>0</v>
      </c>
      <c r="N37" s="483"/>
      <c r="O37" s="218">
        <f t="shared" si="22"/>
        <v>0</v>
      </c>
      <c r="P37" s="489"/>
      <c r="Q37" s="525"/>
      <c r="R37" s="1291"/>
      <c r="S37" s="528">
        <f t="shared" si="23"/>
        <v>0</v>
      </c>
      <c r="T37" s="316"/>
      <c r="U37" s="315"/>
      <c r="V37" s="316"/>
      <c r="W37" s="315"/>
      <c r="X37" s="321"/>
      <c r="Y37" s="315">
        <f>+'BT 4HO'!AE41+'BT 4HO'!BG41+'BT 4HO'!BN41</f>
        <v>557810000</v>
      </c>
      <c r="AA37" s="359" t="b">
        <f t="shared" si="24"/>
        <v>1</v>
      </c>
      <c r="AB37" s="320" t="b">
        <f t="shared" si="25"/>
        <v>1</v>
      </c>
    </row>
    <row r="38" spans="2:28">
      <c r="B38" s="1266"/>
      <c r="C38" s="215" t="str">
        <f>+'BT 4HO'!C46</f>
        <v>Daesung Fruit Industry</v>
      </c>
      <c r="D38" s="309">
        <v>1100000</v>
      </c>
      <c r="E38" s="374">
        <f>+'BT 4HO'!D46</f>
        <v>315</v>
      </c>
      <c r="F38" s="311">
        <f t="shared" si="19"/>
        <v>259285.71428571432</v>
      </c>
      <c r="G38" s="218">
        <f t="shared" si="20"/>
        <v>0</v>
      </c>
      <c r="H38" s="218">
        <f t="shared" si="27"/>
        <v>173250000</v>
      </c>
      <c r="I38" s="218">
        <f t="shared" si="21"/>
        <v>381150000</v>
      </c>
      <c r="J38" s="315"/>
      <c r="K38" s="316"/>
      <c r="L38" s="315"/>
      <c r="M38" s="315">
        <f t="shared" si="26"/>
        <v>0</v>
      </c>
      <c r="N38" s="483"/>
      <c r="O38" s="218">
        <f t="shared" si="22"/>
        <v>0</v>
      </c>
      <c r="P38" s="489"/>
      <c r="Q38" s="525"/>
      <c r="R38" s="1291"/>
      <c r="S38" s="528">
        <f t="shared" si="23"/>
        <v>0</v>
      </c>
      <c r="T38" s="316"/>
      <c r="U38" s="315"/>
      <c r="V38" s="316">
        <f>+'BT 4HO'!AB46</f>
        <v>46050</v>
      </c>
      <c r="W38" s="315">
        <f>+'BT 4HO'!AE46</f>
        <v>190575000</v>
      </c>
      <c r="X38" s="321"/>
      <c r="Y38" s="315">
        <f>+'BT 4HO'!BG46+'BT 4HO'!BN46</f>
        <v>190575000</v>
      </c>
      <c r="AA38" s="359" t="b">
        <f t="shared" si="24"/>
        <v>1</v>
      </c>
      <c r="AB38" s="320" t="b">
        <f t="shared" si="25"/>
        <v>1</v>
      </c>
    </row>
    <row r="39" spans="2:28">
      <c r="B39" s="1266"/>
      <c r="C39" s="473" t="str">
        <f>+'BT 4HO'!C51</f>
        <v>Ilsan Metal</v>
      </c>
      <c r="D39" s="309">
        <v>1100000</v>
      </c>
      <c r="E39" s="374">
        <f>+'BT 4HO'!D51</f>
        <v>156</v>
      </c>
      <c r="F39" s="311">
        <f t="shared" ref="F39:F41" si="28">D39*E39*1.1/$AC$1</f>
        <v>128408.16326530614</v>
      </c>
      <c r="G39" s="218">
        <f t="shared" ref="G39:G41" si="29">+L39+Q39</f>
        <v>0</v>
      </c>
      <c r="H39" s="218">
        <f t="shared" ref="H39:H41" si="30">+E39*500000000/1000*1.1</f>
        <v>85800000</v>
      </c>
      <c r="I39" s="218">
        <f t="shared" ref="I39:I41" si="31">+J39+L39+Q39+U39+Y39+W39</f>
        <v>188760000</v>
      </c>
      <c r="J39" s="315"/>
      <c r="K39" s="316"/>
      <c r="L39" s="315"/>
      <c r="M39" s="315">
        <f t="shared" ref="M39:M41" si="32">+J39+L39</f>
        <v>0</v>
      </c>
      <c r="N39" s="483"/>
      <c r="O39" s="218">
        <f t="shared" ref="O39:O41" si="33">+Q39</f>
        <v>0</v>
      </c>
      <c r="P39" s="489"/>
      <c r="Q39" s="525"/>
      <c r="R39" s="1291"/>
      <c r="S39" s="528">
        <f t="shared" ref="S39:S41" si="34">+U39</f>
        <v>0</v>
      </c>
      <c r="T39" s="316"/>
      <c r="U39" s="315"/>
      <c r="V39" s="316">
        <f>+'BT 4HO'!AB51</f>
        <v>46050</v>
      </c>
      <c r="W39" s="315">
        <f>+'BT 4HO'!AE51</f>
        <v>94380000</v>
      </c>
      <c r="X39" s="321"/>
      <c r="Y39" s="315">
        <f>+'BT 4HO'!BG51+'BT 4HO'!BN51</f>
        <v>94380000</v>
      </c>
      <c r="AA39" s="359" t="b">
        <f t="shared" ref="AA39:AA41" si="35">+D39*E39*1.1=(M39+O39+S39+W39+Y39)</f>
        <v>1</v>
      </c>
      <c r="AB39" s="320" t="b">
        <f t="shared" ref="AB39:AB41" si="36">+D39*E39*1.1=M39+Q39+U39+W39+Y39</f>
        <v>1</v>
      </c>
    </row>
    <row r="40" spans="2:28">
      <c r="B40" s="1266"/>
      <c r="C40" s="473" t="str">
        <f>+'BT 4HO'!C56</f>
        <v>Ilshin Industry(HQ)</v>
      </c>
      <c r="D40" s="309">
        <v>1100000</v>
      </c>
      <c r="E40" s="374">
        <f>+'BT 4HO'!D56</f>
        <v>1000</v>
      </c>
      <c r="F40" s="311">
        <f t="shared" si="28"/>
        <v>823129.25170068024</v>
      </c>
      <c r="G40" s="218">
        <f t="shared" si="29"/>
        <v>0</v>
      </c>
      <c r="H40" s="218">
        <f t="shared" si="30"/>
        <v>550000000</v>
      </c>
      <c r="I40" s="218">
        <f t="shared" si="31"/>
        <v>1210000000</v>
      </c>
      <c r="J40" s="315"/>
      <c r="K40" s="316"/>
      <c r="L40" s="315"/>
      <c r="M40" s="315">
        <f t="shared" si="32"/>
        <v>0</v>
      </c>
      <c r="N40" s="483"/>
      <c r="O40" s="218">
        <f t="shared" si="33"/>
        <v>0</v>
      </c>
      <c r="P40" s="489"/>
      <c r="Q40" s="525"/>
      <c r="R40" s="1291"/>
      <c r="S40" s="528">
        <f t="shared" si="34"/>
        <v>0</v>
      </c>
      <c r="T40" s="316"/>
      <c r="U40" s="315"/>
      <c r="V40" s="316">
        <f>+'BT 4HO'!AB56</f>
        <v>46050</v>
      </c>
      <c r="W40" s="315">
        <f>+'BT 4HO'!AE56</f>
        <v>605000000</v>
      </c>
      <c r="X40" s="321"/>
      <c r="Y40" s="315">
        <f>+'BT 4HO'!BG56+'BT 4HO'!BN56</f>
        <v>605000000</v>
      </c>
      <c r="AA40" s="359" t="b">
        <f t="shared" si="35"/>
        <v>1</v>
      </c>
      <c r="AB40" s="320" t="b">
        <f t="shared" si="36"/>
        <v>1</v>
      </c>
    </row>
    <row r="41" spans="2:28">
      <c r="B41" s="1266"/>
      <c r="C41" s="473" t="str">
        <f>+'BT 4HO'!C61</f>
        <v>Ilshin Industry(Branch)</v>
      </c>
      <c r="D41" s="309">
        <v>1100000</v>
      </c>
      <c r="E41" s="374">
        <f>+'BT 4HO'!D61</f>
        <v>200</v>
      </c>
      <c r="F41" s="311">
        <f t="shared" si="28"/>
        <v>164625.85034013606</v>
      </c>
      <c r="G41" s="218">
        <f t="shared" si="29"/>
        <v>0</v>
      </c>
      <c r="H41" s="218">
        <f t="shared" si="30"/>
        <v>110000000.00000001</v>
      </c>
      <c r="I41" s="218">
        <f t="shared" si="31"/>
        <v>242000000</v>
      </c>
      <c r="J41" s="315"/>
      <c r="K41" s="316"/>
      <c r="L41" s="315"/>
      <c r="M41" s="315">
        <f t="shared" si="32"/>
        <v>0</v>
      </c>
      <c r="N41" s="483"/>
      <c r="O41" s="218">
        <f t="shared" si="33"/>
        <v>0</v>
      </c>
      <c r="P41" s="489"/>
      <c r="Q41" s="525"/>
      <c r="R41" s="1292"/>
      <c r="S41" s="528">
        <f t="shared" si="34"/>
        <v>0</v>
      </c>
      <c r="T41" s="316"/>
      <c r="U41" s="315"/>
      <c r="V41" s="316">
        <f>+'BT 4HO'!AB61</f>
        <v>46050</v>
      </c>
      <c r="W41" s="315">
        <f>+'BT 4HO'!AE61</f>
        <v>121000000</v>
      </c>
      <c r="X41" s="321"/>
      <c r="Y41" s="315">
        <f>+'BT 4HO'!BG61+'BT 4HO'!BN61</f>
        <v>121000000</v>
      </c>
      <c r="AA41" s="359" t="b">
        <f t="shared" si="35"/>
        <v>1</v>
      </c>
      <c r="AB41" s="320" t="b">
        <f t="shared" si="36"/>
        <v>1</v>
      </c>
    </row>
    <row r="42" spans="2:28">
      <c r="B42" s="1266"/>
      <c r="C42" s="1268" t="s">
        <v>17</v>
      </c>
      <c r="D42" s="1269"/>
      <c r="E42" s="1279">
        <f>SUM(E31:E41)</f>
        <v>7891.55</v>
      </c>
      <c r="F42" s="1272">
        <f>SUM(F31:F41)</f>
        <v>6495765.6462585041</v>
      </c>
      <c r="G42" s="322"/>
      <c r="H42" s="315"/>
      <c r="I42" s="315"/>
      <c r="J42" s="322"/>
      <c r="K42" s="316"/>
      <c r="L42" s="322"/>
      <c r="M42" s="322">
        <f>M43/1470</f>
        <v>0</v>
      </c>
      <c r="N42" s="481">
        <f>N43/1470</f>
        <v>0</v>
      </c>
      <c r="O42" s="322">
        <f>O43/1470</f>
        <v>0</v>
      </c>
      <c r="P42" s="489"/>
      <c r="Q42" s="481">
        <f>Q43/1470</f>
        <v>0</v>
      </c>
      <c r="R42" s="533">
        <f>R43/1470</f>
        <v>0</v>
      </c>
      <c r="S42" s="529">
        <f>S43/1470</f>
        <v>0</v>
      </c>
      <c r="T42" s="316"/>
      <c r="U42" s="322">
        <f>U43/1470</f>
        <v>0</v>
      </c>
      <c r="V42" s="316"/>
      <c r="W42" s="322">
        <f>W43/1470</f>
        <v>1095585.0340136054</v>
      </c>
      <c r="X42" s="318"/>
      <c r="Y42" s="322">
        <f>Y43/1470</f>
        <v>5400180.6122448975</v>
      </c>
      <c r="AA42" s="318"/>
      <c r="AB42" s="320"/>
    </row>
    <row r="43" spans="2:28">
      <c r="B43" s="1267"/>
      <c r="C43" s="1270"/>
      <c r="D43" s="1271"/>
      <c r="E43" s="1280"/>
      <c r="F43" s="1273"/>
      <c r="G43" s="235"/>
      <c r="H43" s="235"/>
      <c r="I43" s="235"/>
      <c r="J43" s="235"/>
      <c r="K43" s="296"/>
      <c r="L43" s="235"/>
      <c r="M43" s="235">
        <f>+SUM(M31:M41)</f>
        <v>0</v>
      </c>
      <c r="N43" s="482"/>
      <c r="O43" s="235">
        <f>+SUM(O31:O41)</f>
        <v>0</v>
      </c>
      <c r="P43" s="490"/>
      <c r="Q43" s="235">
        <f>+SUM(Q31:Q41)</f>
        <v>0</v>
      </c>
      <c r="R43" s="536"/>
      <c r="S43" s="235">
        <f>+SUM(S31:S41)</f>
        <v>0</v>
      </c>
      <c r="T43" s="296"/>
      <c r="U43" s="235">
        <f>+SUM(U31:U41)</f>
        <v>0</v>
      </c>
      <c r="V43" s="296"/>
      <c r="W43" s="235">
        <f>+SUM(W31:W41)</f>
        <v>1610510000</v>
      </c>
      <c r="X43" s="236"/>
      <c r="Y43" s="235">
        <f>+SUM(Y31:Y41)</f>
        <v>7938265500</v>
      </c>
      <c r="AA43" s="236"/>
      <c r="AB43" s="320"/>
    </row>
    <row r="44" spans="2:28" ht="12.75" customHeight="1">
      <c r="B44" s="1265" t="s">
        <v>193</v>
      </c>
      <c r="C44" s="215" t="str">
        <f>+'BT 6HO'!C11</f>
        <v>Esun</v>
      </c>
      <c r="D44" s="306">
        <v>1100000</v>
      </c>
      <c r="E44" s="223">
        <f>+'BT 6HO'!D11</f>
        <v>150</v>
      </c>
      <c r="F44" s="311">
        <f t="shared" ref="F44:F52" si="37">D44*E44*1.1/$AC$1</f>
        <v>123469.38775510204</v>
      </c>
      <c r="G44" s="218">
        <f t="shared" ref="G44:G52" si="38">+L44+Q44</f>
        <v>0</v>
      </c>
      <c r="H44" s="218">
        <f>+E44*500000000/1000*1.1</f>
        <v>82500000</v>
      </c>
      <c r="I44" s="218">
        <f t="shared" ref="I44:I52" si="39">+J44+L44+Q44+U44+Y44+W44</f>
        <v>198000000</v>
      </c>
      <c r="J44" s="220">
        <f>+'BT 6HO'!R15</f>
        <v>16500000</v>
      </c>
      <c r="K44" s="295"/>
      <c r="L44" s="220"/>
      <c r="M44" s="220"/>
      <c r="N44" s="1293"/>
      <c r="O44" s="218">
        <f t="shared" ref="O44:O52" si="40">+Q44</f>
        <v>0</v>
      </c>
      <c r="P44" s="488"/>
      <c r="Q44" s="523"/>
      <c r="R44" s="1295"/>
      <c r="S44" s="528">
        <f t="shared" ref="S44:S52" si="41">+U44</f>
        <v>90750000</v>
      </c>
      <c r="T44" s="316">
        <f>+'BT 6HO'!AB11</f>
        <v>46019</v>
      </c>
      <c r="U44" s="220">
        <f>+'BT 6HO'!AE11</f>
        <v>90750000</v>
      </c>
      <c r="V44" s="295"/>
      <c r="W44" s="218"/>
      <c r="X44" s="222"/>
      <c r="Y44" s="218">
        <f>+'BT 6HO'!BG11+'BT 6HO'!BN11</f>
        <v>90750000</v>
      </c>
      <c r="AA44" s="359" t="b">
        <f t="shared" ref="AA44" si="42">+D44*E44*1.1=(M44+O44+S44+W44+Y44)</f>
        <v>1</v>
      </c>
      <c r="AB44" s="320" t="b">
        <f t="shared" ref="AB44" si="43">+D44*E44*1.1=M44+Q44+U44+W44+Y44</f>
        <v>1</v>
      </c>
    </row>
    <row r="45" spans="2:28" ht="12.75" customHeight="1">
      <c r="B45" s="1266"/>
      <c r="C45" s="215" t="str">
        <f>+'BT 6HO'!C16</f>
        <v>Sejin SMC</v>
      </c>
      <c r="D45" s="306">
        <v>1100000</v>
      </c>
      <c r="E45" s="374">
        <f>+'BT 6HO'!D16</f>
        <v>144.15</v>
      </c>
      <c r="F45" s="311">
        <f t="shared" si="37"/>
        <v>118654.08163265306</v>
      </c>
      <c r="G45" s="218">
        <f t="shared" si="38"/>
        <v>0</v>
      </c>
      <c r="H45" s="218">
        <f t="shared" ref="H45:H52" si="44">+E45*500000000/1000*1.1</f>
        <v>79282500</v>
      </c>
      <c r="I45" s="218">
        <f t="shared" si="39"/>
        <v>0</v>
      </c>
      <c r="J45" s="220">
        <f>+'BT 6HO'!R16</f>
        <v>0</v>
      </c>
      <c r="K45" s="295"/>
      <c r="L45" s="220"/>
      <c r="M45" s="451"/>
      <c r="N45" s="1294"/>
      <c r="O45" s="218">
        <f t="shared" si="40"/>
        <v>0</v>
      </c>
      <c r="P45" s="489"/>
      <c r="Q45" s="527"/>
      <c r="R45" s="1296"/>
      <c r="S45" s="528">
        <f t="shared" si="41"/>
        <v>0</v>
      </c>
      <c r="T45" s="316"/>
      <c r="U45" s="317"/>
      <c r="V45" s="316"/>
      <c r="W45" s="315"/>
      <c r="X45" s="318"/>
      <c r="Y45" s="315"/>
      <c r="AA45" s="359" t="b">
        <f t="shared" ref="AA45:AA52" si="45">+D45*E45*1.1=(M45+O45+S45+W45+Y45)</f>
        <v>0</v>
      </c>
      <c r="AB45" s="320"/>
    </row>
    <row r="46" spans="2:28" ht="12.75" customHeight="1">
      <c r="B46" s="1266"/>
      <c r="C46" s="215" t="str">
        <f>+'BT 6HO'!C21</f>
        <v>Seoyong</v>
      </c>
      <c r="D46" s="306">
        <v>1100000</v>
      </c>
      <c r="E46" s="374">
        <f>+'BT 6HO'!D21</f>
        <v>138.43</v>
      </c>
      <c r="F46" s="311">
        <f t="shared" si="37"/>
        <v>113945.78231292516</v>
      </c>
      <c r="G46" s="218">
        <f t="shared" si="38"/>
        <v>0</v>
      </c>
      <c r="H46" s="218">
        <f t="shared" si="44"/>
        <v>76136500</v>
      </c>
      <c r="I46" s="218">
        <f t="shared" si="39"/>
        <v>9513900</v>
      </c>
      <c r="J46" s="220">
        <f>+'BT 6HO'!R17</f>
        <v>9513900</v>
      </c>
      <c r="K46" s="295"/>
      <c r="L46" s="220"/>
      <c r="M46" s="451"/>
      <c r="N46" s="1294"/>
      <c r="O46" s="218">
        <f t="shared" si="40"/>
        <v>0</v>
      </c>
      <c r="P46" s="489"/>
      <c r="Q46" s="527"/>
      <c r="R46" s="1296"/>
      <c r="S46" s="528">
        <f t="shared" si="41"/>
        <v>0</v>
      </c>
      <c r="T46" s="316"/>
      <c r="U46" s="317"/>
      <c r="V46" s="316"/>
      <c r="W46" s="315"/>
      <c r="X46" s="318"/>
      <c r="Y46" s="315"/>
      <c r="AA46" s="359" t="b">
        <f t="shared" si="45"/>
        <v>0</v>
      </c>
      <c r="AB46" s="320"/>
    </row>
    <row r="47" spans="2:28" ht="12.75" customHeight="1">
      <c r="B47" s="1266"/>
      <c r="C47" s="215" t="str">
        <f>+'BT 6HO'!C26</f>
        <v>Cosmo chemical</v>
      </c>
      <c r="D47" s="309">
        <v>1100000</v>
      </c>
      <c r="E47" s="223">
        <f>+'BT 6HO'!D26</f>
        <v>2444.8000000000002</v>
      </c>
      <c r="F47" s="319">
        <f t="shared" si="37"/>
        <v>2012386.3945578234</v>
      </c>
      <c r="G47" s="218">
        <f t="shared" si="38"/>
        <v>0</v>
      </c>
      <c r="H47" s="218">
        <f t="shared" si="44"/>
        <v>1344640000</v>
      </c>
      <c r="I47" s="218">
        <f t="shared" si="39"/>
        <v>2958208000</v>
      </c>
      <c r="J47" s="218"/>
      <c r="K47" s="295"/>
      <c r="L47" s="381"/>
      <c r="M47" s="218"/>
      <c r="N47" s="1294"/>
      <c r="O47" s="218">
        <f>+Q47</f>
        <v>0</v>
      </c>
      <c r="P47" s="489"/>
      <c r="Q47" s="523"/>
      <c r="R47" s="1296"/>
      <c r="S47" s="528">
        <f t="shared" si="41"/>
        <v>0</v>
      </c>
      <c r="T47" s="295"/>
      <c r="U47" s="218"/>
      <c r="V47" s="295">
        <f>+'BT 6HO'!AB26</f>
        <v>46051</v>
      </c>
      <c r="W47" s="218">
        <f>+'BT 6HO'!AE26</f>
        <v>1479104000</v>
      </c>
      <c r="X47" s="222"/>
      <c r="Y47" s="218">
        <f>+'BT 6HO'!BG26+'BT 6HO'!BN26</f>
        <v>1479104000</v>
      </c>
      <c r="AA47" s="359" t="b">
        <f t="shared" si="45"/>
        <v>1</v>
      </c>
      <c r="AB47" s="320" t="b">
        <f t="shared" ref="AB47:AB52" si="46">+D47*E47*1.1=M47+Q47+U47+W47+Y47</f>
        <v>1</v>
      </c>
    </row>
    <row r="48" spans="2:28" ht="12.75" customHeight="1">
      <c r="B48" s="1266"/>
      <c r="C48" s="215" t="str">
        <f>+'BT 6HO'!C31</f>
        <v>SEAh ESAB 1</v>
      </c>
      <c r="D48" s="309">
        <v>1100000</v>
      </c>
      <c r="E48" s="318">
        <f>+'BT 6HO'!D31</f>
        <v>304.16500000000002</v>
      </c>
      <c r="F48" s="319">
        <f t="shared" si="37"/>
        <v>250367.10884353743</v>
      </c>
      <c r="G48" s="218">
        <f t="shared" si="38"/>
        <v>0</v>
      </c>
      <c r="H48" s="218">
        <f t="shared" si="44"/>
        <v>167290750</v>
      </c>
      <c r="I48" s="218">
        <f t="shared" si="39"/>
        <v>368039650</v>
      </c>
      <c r="J48" s="315"/>
      <c r="K48" s="316"/>
      <c r="L48" s="382"/>
      <c r="M48" s="315"/>
      <c r="N48" s="1294"/>
      <c r="O48" s="218">
        <f t="shared" si="40"/>
        <v>0</v>
      </c>
      <c r="P48" s="489"/>
      <c r="Q48" s="527"/>
      <c r="R48" s="1296"/>
      <c r="S48" s="528">
        <f t="shared" si="41"/>
        <v>0</v>
      </c>
      <c r="T48" s="316"/>
      <c r="U48" s="315"/>
      <c r="V48" s="316"/>
      <c r="W48" s="315"/>
      <c r="X48" s="318"/>
      <c r="Y48" s="315">
        <f>+'BT 6HO'!AE31+'BT 6HO'!BG31+'BT 6HO'!BN31</f>
        <v>368039650</v>
      </c>
      <c r="AA48" s="359" t="b">
        <f t="shared" si="45"/>
        <v>1</v>
      </c>
      <c r="AB48" s="320" t="b">
        <f t="shared" si="46"/>
        <v>1</v>
      </c>
    </row>
    <row r="49" spans="2:28" ht="12.75" customHeight="1">
      <c r="B49" s="1266"/>
      <c r="C49" s="215" t="str">
        <f>+'BT 6HO'!C36</f>
        <v>SEAh ESAB 2</v>
      </c>
      <c r="D49" s="309">
        <v>1100000</v>
      </c>
      <c r="E49" s="318">
        <f>+'BT 6HO'!D36</f>
        <v>605.15499999999997</v>
      </c>
      <c r="F49" s="319">
        <f t="shared" si="37"/>
        <v>498120.78231292515</v>
      </c>
      <c r="G49" s="218">
        <f t="shared" si="38"/>
        <v>0</v>
      </c>
      <c r="H49" s="218">
        <f t="shared" si="44"/>
        <v>332835250</v>
      </c>
      <c r="I49" s="218">
        <f t="shared" si="39"/>
        <v>732237550</v>
      </c>
      <c r="J49" s="315"/>
      <c r="K49" s="316"/>
      <c r="L49" s="382"/>
      <c r="M49" s="315"/>
      <c r="N49" s="1294"/>
      <c r="O49" s="218">
        <f t="shared" si="40"/>
        <v>0</v>
      </c>
      <c r="P49" s="489"/>
      <c r="Q49" s="527"/>
      <c r="R49" s="1296"/>
      <c r="S49" s="528">
        <f t="shared" si="41"/>
        <v>0</v>
      </c>
      <c r="T49" s="316"/>
      <c r="U49" s="315"/>
      <c r="V49" s="316"/>
      <c r="W49" s="315"/>
      <c r="X49" s="318"/>
      <c r="Y49" s="315">
        <f>+'BT 6HO'!AE36+'BT 6HO'!BG36+'BT 6HO'!BN36</f>
        <v>732237550</v>
      </c>
      <c r="AA49" s="359" t="b">
        <f t="shared" si="45"/>
        <v>1</v>
      </c>
      <c r="AB49" s="320" t="b">
        <f t="shared" si="46"/>
        <v>1</v>
      </c>
    </row>
    <row r="50" spans="2:28" ht="12.75" customHeight="1">
      <c r="B50" s="1266"/>
      <c r="C50" s="215" t="str">
        <f>+'BT 6HO'!C41</f>
        <v>Kuma Pipe</v>
      </c>
      <c r="D50" s="309">
        <v>1100000</v>
      </c>
      <c r="E50" s="318">
        <f>+'BT 6HO'!D41</f>
        <v>651.51</v>
      </c>
      <c r="F50" s="319">
        <f t="shared" si="37"/>
        <v>536276.93877551029</v>
      </c>
      <c r="G50" s="218">
        <f t="shared" si="38"/>
        <v>0</v>
      </c>
      <c r="H50" s="218">
        <f t="shared" si="44"/>
        <v>358330500</v>
      </c>
      <c r="I50" s="218">
        <f t="shared" si="39"/>
        <v>788327100</v>
      </c>
      <c r="J50" s="315"/>
      <c r="K50" s="316"/>
      <c r="L50" s="382"/>
      <c r="M50" s="315"/>
      <c r="N50" s="1294"/>
      <c r="O50" s="218">
        <f t="shared" si="40"/>
        <v>0</v>
      </c>
      <c r="P50" s="489"/>
      <c r="Q50" s="527"/>
      <c r="R50" s="1296"/>
      <c r="S50" s="528">
        <f t="shared" si="41"/>
        <v>0</v>
      </c>
      <c r="T50" s="316"/>
      <c r="U50" s="315"/>
      <c r="V50" s="316"/>
      <c r="W50" s="315"/>
      <c r="X50" s="318"/>
      <c r="Y50" s="315">
        <f>+'BT 6HO'!AE41+'BT 6HO'!BG41+'BT 6HO'!BN41</f>
        <v>788327100</v>
      </c>
      <c r="AA50" s="359" t="b">
        <f t="shared" si="45"/>
        <v>1</v>
      </c>
      <c r="AB50" s="320" t="b">
        <f t="shared" si="46"/>
        <v>1</v>
      </c>
    </row>
    <row r="51" spans="2:28" ht="12.75" customHeight="1">
      <c r="B51" s="1266"/>
      <c r="C51" s="215" t="str">
        <f>+'BT 6HO'!C46</f>
        <v>Shinsung Logistics &amp; Development</v>
      </c>
      <c r="D51" s="309">
        <v>1100000</v>
      </c>
      <c r="E51" s="318">
        <f>+'BT 6HO'!D46</f>
        <v>999.68</v>
      </c>
      <c r="F51" s="319">
        <f t="shared" si="37"/>
        <v>822865.85034013609</v>
      </c>
      <c r="G51" s="218">
        <f t="shared" si="38"/>
        <v>0</v>
      </c>
      <c r="H51" s="218">
        <f t="shared" si="44"/>
        <v>549824000</v>
      </c>
      <c r="I51" s="218">
        <f t="shared" si="39"/>
        <v>1209612800</v>
      </c>
      <c r="J51" s="315"/>
      <c r="K51" s="316"/>
      <c r="L51" s="315"/>
      <c r="M51" s="315"/>
      <c r="N51" s="1294"/>
      <c r="O51" s="218">
        <f t="shared" si="40"/>
        <v>0</v>
      </c>
      <c r="P51" s="489"/>
      <c r="Q51" s="525"/>
      <c r="R51" s="1296"/>
      <c r="S51" s="528">
        <f t="shared" si="41"/>
        <v>0</v>
      </c>
      <c r="T51" s="316"/>
      <c r="U51" s="315"/>
      <c r="V51" s="316"/>
      <c r="W51" s="315"/>
      <c r="X51" s="318"/>
      <c r="Y51" s="315">
        <f>+'BT 6HO'!AE46+'BT 6HO'!BG46+'BT 6HO'!BN46</f>
        <v>1209612800</v>
      </c>
      <c r="AA51" s="359" t="b">
        <f t="shared" si="45"/>
        <v>1</v>
      </c>
      <c r="AB51" s="320" t="b">
        <f t="shared" si="46"/>
        <v>1</v>
      </c>
    </row>
    <row r="52" spans="2:28" ht="12.75" customHeight="1">
      <c r="B52" s="1266"/>
      <c r="C52" s="215" t="str">
        <f>+'BT 6HO'!C51</f>
        <v>Youngpoong Paper</v>
      </c>
      <c r="D52" s="309">
        <v>1100000</v>
      </c>
      <c r="E52" s="223">
        <f>+'BT 6HO'!D51</f>
        <v>2508.8000000000002</v>
      </c>
      <c r="F52" s="319">
        <f t="shared" si="37"/>
        <v>2065066.666666667</v>
      </c>
      <c r="G52" s="218">
        <f t="shared" si="38"/>
        <v>0</v>
      </c>
      <c r="H52" s="218">
        <f t="shared" si="44"/>
        <v>1379840000</v>
      </c>
      <c r="I52" s="218">
        <f t="shared" si="39"/>
        <v>3035648000</v>
      </c>
      <c r="J52" s="315"/>
      <c r="K52" s="316"/>
      <c r="L52" s="315"/>
      <c r="M52" s="315"/>
      <c r="N52" s="1294"/>
      <c r="O52" s="218">
        <f t="shared" si="40"/>
        <v>0</v>
      </c>
      <c r="P52" s="489"/>
      <c r="Q52" s="525"/>
      <c r="R52" s="1296"/>
      <c r="S52" s="528">
        <f t="shared" si="41"/>
        <v>0</v>
      </c>
      <c r="T52" s="316"/>
      <c r="U52" s="315"/>
      <c r="V52" s="316"/>
      <c r="W52" s="315"/>
      <c r="X52" s="318"/>
      <c r="Y52" s="315">
        <f>+'BT 6HO'!AE51+'BT 6HO'!BG51+'BT 6HO'!BN51</f>
        <v>3035648000</v>
      </c>
      <c r="AA52" s="359" t="b">
        <f t="shared" si="45"/>
        <v>1</v>
      </c>
      <c r="AB52" s="320" t="b">
        <f t="shared" si="46"/>
        <v>1</v>
      </c>
    </row>
    <row r="53" spans="2:28">
      <c r="B53" s="1266"/>
      <c r="C53" s="1268" t="s">
        <v>17</v>
      </c>
      <c r="D53" s="1269"/>
      <c r="E53" s="1279">
        <f>+SUM(E44:E52)</f>
        <v>7946.6900000000005</v>
      </c>
      <c r="F53" s="1272">
        <f>+SUM(F44:F52)</f>
        <v>6541152.99319728</v>
      </c>
      <c r="G53" s="322">
        <f>G54/1470</f>
        <v>0</v>
      </c>
      <c r="H53" s="315"/>
      <c r="I53" s="315"/>
      <c r="J53" s="322">
        <f>J54/1470</f>
        <v>11224.489795918367</v>
      </c>
      <c r="K53" s="316"/>
      <c r="L53" s="322">
        <f>L54/1470</f>
        <v>0</v>
      </c>
      <c r="M53" s="322">
        <f>M54/1470</f>
        <v>0</v>
      </c>
      <c r="N53" s="481">
        <f>N54/1470</f>
        <v>0</v>
      </c>
      <c r="O53" s="322">
        <f>O54/1470</f>
        <v>0</v>
      </c>
      <c r="P53" s="489"/>
      <c r="Q53" s="481">
        <f>Q54/1470</f>
        <v>0</v>
      </c>
      <c r="R53" s="533">
        <f>R54/1470</f>
        <v>0</v>
      </c>
      <c r="S53" s="529">
        <f>S54/1470</f>
        <v>61734.693877551021</v>
      </c>
      <c r="T53" s="316"/>
      <c r="U53" s="322">
        <f>U54/1470</f>
        <v>61734.693877551021</v>
      </c>
      <c r="V53" s="316"/>
      <c r="W53" s="322">
        <f>W54/1470</f>
        <v>1006193.1972789116</v>
      </c>
      <c r="X53" s="318"/>
      <c r="Y53" s="322">
        <f>Y54/1470</f>
        <v>5240625.2380952379</v>
      </c>
      <c r="AA53" s="318"/>
      <c r="AB53" s="320"/>
    </row>
    <row r="54" spans="2:28">
      <c r="B54" s="1266"/>
      <c r="C54" s="1270"/>
      <c r="D54" s="1271"/>
      <c r="E54" s="1280"/>
      <c r="F54" s="1273"/>
      <c r="G54" s="235">
        <f>+SUM(G44)</f>
        <v>0</v>
      </c>
      <c r="H54" s="235">
        <f>+SUM(H44)</f>
        <v>82500000</v>
      </c>
      <c r="I54" s="235">
        <f>+SUM(I44)</f>
        <v>198000000</v>
      </c>
      <c r="J54" s="235">
        <f>+SUM(J44)</f>
        <v>16500000</v>
      </c>
      <c r="K54" s="296"/>
      <c r="L54" s="235">
        <f>+SUM(L44)</f>
        <v>0</v>
      </c>
      <c r="M54" s="235">
        <f>+SUM(M44:M52)</f>
        <v>0</v>
      </c>
      <c r="N54" s="482"/>
      <c r="O54" s="235">
        <f>+SUM(O44:O52)</f>
        <v>0</v>
      </c>
      <c r="P54" s="490"/>
      <c r="Q54" s="482">
        <f>+SUM(Q44:Q52)</f>
        <v>0</v>
      </c>
      <c r="R54" s="534"/>
      <c r="S54" s="530">
        <f>+SUM(S44:S52)</f>
        <v>90750000</v>
      </c>
      <c r="T54" s="296"/>
      <c r="U54" s="235">
        <f>+SUM(U44:U52)</f>
        <v>90750000</v>
      </c>
      <c r="V54" s="296"/>
      <c r="W54" s="235">
        <f>+SUM(W44:W52)</f>
        <v>1479104000</v>
      </c>
      <c r="X54" s="236"/>
      <c r="Y54" s="235">
        <f>+SUM(Y44:Y52)</f>
        <v>7703719100</v>
      </c>
      <c r="AA54" s="236"/>
      <c r="AB54" s="320"/>
    </row>
    <row r="55" spans="2:28" ht="12.75" customHeight="1">
      <c r="B55" s="1265" t="s">
        <v>194</v>
      </c>
      <c r="C55" s="215" t="str">
        <f>+'BT 7HO'!C11</f>
        <v>Eco Inshutech</v>
      </c>
      <c r="D55" s="306">
        <v>1100000</v>
      </c>
      <c r="E55" s="224">
        <f>+'BT 7HO'!D11</f>
        <v>225.78</v>
      </c>
      <c r="F55" s="310">
        <f t="shared" ref="F55:F62" si="47">D55*E55*1.1/$AC$1</f>
        <v>185846.12244897959</v>
      </c>
      <c r="G55" s="218">
        <f>+L55+Q55</f>
        <v>0</v>
      </c>
      <c r="H55" s="218">
        <f t="shared" ref="H55:H58" si="48">+E55*500000000/1000*1.1</f>
        <v>124179000.00000001</v>
      </c>
      <c r="I55" s="218">
        <f>+J55+L55+Q55+U55+Y55+W55</f>
        <v>431197800</v>
      </c>
      <c r="J55" s="218">
        <f>+'BT 7HO'!R15+'BT 7HO'!Y15+'BT 7HO'!AF15</f>
        <v>158004000</v>
      </c>
      <c r="K55" s="295"/>
      <c r="L55" s="218"/>
      <c r="M55" s="218"/>
      <c r="N55" s="1287"/>
      <c r="O55" s="218">
        <f t="shared" ref="O55:O62" si="49">+Q55</f>
        <v>0</v>
      </c>
      <c r="P55" s="488"/>
      <c r="Q55" s="524"/>
      <c r="R55" s="1290"/>
      <c r="S55" s="528">
        <f t="shared" ref="S55:S62" si="50">+U55</f>
        <v>136596900</v>
      </c>
      <c r="T55" s="295">
        <f>+'BT 7HO'!AB11</f>
        <v>46020</v>
      </c>
      <c r="U55" s="218">
        <f>+'BT 7HO'!AE11</f>
        <v>136596900</v>
      </c>
      <c r="V55" s="295"/>
      <c r="W55" s="219"/>
      <c r="X55" s="222"/>
      <c r="Y55" s="218">
        <f>+'BT 7HO'!BG11+'BT 7HO'!BN11</f>
        <v>136596900</v>
      </c>
      <c r="AA55" s="359" t="b">
        <f t="shared" ref="AA55:AA62" si="51">+D55*E55*1.1=(M55+O55+S55+W55+Y55)</f>
        <v>1</v>
      </c>
      <c r="AB55" s="320" t="b">
        <f t="shared" ref="AB55:AB62" si="52">+D55*E55*1.1=M55+Q55+U55+W55+Y55</f>
        <v>1</v>
      </c>
    </row>
    <row r="56" spans="2:28">
      <c r="B56" s="1266"/>
      <c r="C56" s="215" t="str">
        <f>+'BT 7HO'!C16</f>
        <v>Younggwang Industry</v>
      </c>
      <c r="D56" s="309">
        <v>1100000</v>
      </c>
      <c r="E56" s="224">
        <f>+'BT 7HO'!D16</f>
        <v>545.46</v>
      </c>
      <c r="F56" s="311">
        <f t="shared" si="47"/>
        <v>448984.08163265308</v>
      </c>
      <c r="G56" s="218">
        <f>+L56+Q56</f>
        <v>0</v>
      </c>
      <c r="H56" s="218">
        <f t="shared" si="48"/>
        <v>300003000.00000012</v>
      </c>
      <c r="I56" s="218">
        <f>+J56+L56+Q56+U56+Y56+W56</f>
        <v>799885700</v>
      </c>
      <c r="J56" s="218">
        <f>+'BT 7HO'!R20+'BT 7HO'!Y20</f>
        <v>139879100</v>
      </c>
      <c r="K56" s="295"/>
      <c r="L56" s="218"/>
      <c r="M56" s="218"/>
      <c r="N56" s="1288"/>
      <c r="O56" s="218">
        <f>+Q56</f>
        <v>0</v>
      </c>
      <c r="P56" s="488"/>
      <c r="Q56" s="524"/>
      <c r="R56" s="1291"/>
      <c r="S56" s="528">
        <f t="shared" si="50"/>
        <v>330003300</v>
      </c>
      <c r="T56" s="295">
        <f>+'BT 7HO'!AB16</f>
        <v>46020</v>
      </c>
      <c r="U56" s="218">
        <f>+'BT 7HO'!AE16</f>
        <v>330003300</v>
      </c>
      <c r="V56" s="295"/>
      <c r="W56" s="219"/>
      <c r="X56" s="222"/>
      <c r="Y56" s="218">
        <f>+'BT 7HO'!BG16+'BT 7HO'!BN16</f>
        <v>330003300</v>
      </c>
      <c r="AA56" s="359" t="b">
        <f t="shared" si="51"/>
        <v>1</v>
      </c>
      <c r="AB56" s="320" t="b">
        <f t="shared" si="52"/>
        <v>1</v>
      </c>
    </row>
    <row r="57" spans="2:28">
      <c r="B57" s="1266"/>
      <c r="C57" s="215" t="str">
        <f>+'BT 7HO'!C21</f>
        <v>BNB Composite(Drop)</v>
      </c>
      <c r="D57" s="309">
        <v>1100000</v>
      </c>
      <c r="E57" s="224">
        <f>+'BT 7HO'!D21</f>
        <v>207.36</v>
      </c>
      <c r="F57" s="311">
        <f t="shared" si="47"/>
        <v>170684.08163265311</v>
      </c>
      <c r="G57" s="218">
        <f>+L57+Q57</f>
        <v>26822400</v>
      </c>
      <c r="H57" s="218">
        <f t="shared" si="48"/>
        <v>114048000.00000001</v>
      </c>
      <c r="I57" s="218">
        <f>+J57+L57+Q57+U57+Y57+W57</f>
        <v>304550400</v>
      </c>
      <c r="J57" s="218">
        <f>+'BT 7HO'!R25</f>
        <v>26822400</v>
      </c>
      <c r="K57" s="295">
        <f>+'BT 7HO'!U22</f>
        <v>45855</v>
      </c>
      <c r="L57" s="381">
        <f>+'BT 7HO'!Y22+'BT 7HO'!Y23</f>
        <v>26822400</v>
      </c>
      <c r="M57" s="218"/>
      <c r="N57" s="1288"/>
      <c r="O57" s="218">
        <f t="shared" si="49"/>
        <v>0</v>
      </c>
      <c r="P57" s="488"/>
      <c r="Q57" s="524"/>
      <c r="R57" s="1291"/>
      <c r="S57" s="528">
        <f t="shared" si="50"/>
        <v>125452800</v>
      </c>
      <c r="T57" s="295">
        <f>+'BT 7HO'!AB21</f>
        <v>46020</v>
      </c>
      <c r="U57" s="218">
        <f>+'BT 7HO'!AE21</f>
        <v>125452800</v>
      </c>
      <c r="V57" s="295"/>
      <c r="W57" s="219"/>
      <c r="X57" s="222"/>
      <c r="Y57" s="218">
        <f>+'BT 7HO'!BG21+'BT 7HO'!BN21</f>
        <v>125452800</v>
      </c>
      <c r="AA57" s="359" t="b">
        <f t="shared" si="51"/>
        <v>1</v>
      </c>
      <c r="AB57" s="320" t="b">
        <f t="shared" si="52"/>
        <v>1</v>
      </c>
    </row>
    <row r="58" spans="2:28">
      <c r="B58" s="1266"/>
      <c r="C58" s="215" t="str">
        <f>+'BT 7HO'!C26</f>
        <v>MPM Trade</v>
      </c>
      <c r="D58" s="309">
        <v>1100000</v>
      </c>
      <c r="E58" s="224">
        <f>+'BT 7HO'!D26</f>
        <v>210.82</v>
      </c>
      <c r="F58" s="311">
        <f t="shared" si="47"/>
        <v>173532.10884353743</v>
      </c>
      <c r="G58" s="218">
        <f>+L58+Q58</f>
        <v>0</v>
      </c>
      <c r="H58" s="218">
        <f t="shared" si="48"/>
        <v>115951000.00000001</v>
      </c>
      <c r="I58" s="218">
        <f>+J58+L58+Q58+U58+Y58+W58</f>
        <v>301472600</v>
      </c>
      <c r="J58" s="218">
        <f>+'BT 7HO'!R30+'BT 7HO'!Y30</f>
        <v>46380400</v>
      </c>
      <c r="K58" s="295"/>
      <c r="L58" s="218"/>
      <c r="M58" s="218"/>
      <c r="N58" s="1288"/>
      <c r="O58" s="218">
        <f>+Q58</f>
        <v>0</v>
      </c>
      <c r="P58" s="488"/>
      <c r="Q58" s="524"/>
      <c r="R58" s="1291"/>
      <c r="S58" s="528">
        <f t="shared" si="50"/>
        <v>127546100</v>
      </c>
      <c r="T58" s="295">
        <f>+'BT 7HO'!AB26</f>
        <v>46020</v>
      </c>
      <c r="U58" s="218">
        <f>+'BT 7HO'!AE26</f>
        <v>127546100</v>
      </c>
      <c r="V58" s="295"/>
      <c r="W58" s="219"/>
      <c r="X58" s="222"/>
      <c r="Y58" s="218">
        <f>+'BT 7HO'!BG26+'BT 7HO'!BN26</f>
        <v>127546100</v>
      </c>
      <c r="AA58" s="359" t="b">
        <f t="shared" si="51"/>
        <v>1</v>
      </c>
      <c r="AB58" s="320" t="b">
        <f t="shared" si="52"/>
        <v>1</v>
      </c>
    </row>
    <row r="59" spans="2:28">
      <c r="B59" s="1266"/>
      <c r="C59" s="215" t="str">
        <f>+'BT 7HO'!C31</f>
        <v>Ajin P&amp;S</v>
      </c>
      <c r="D59" s="309">
        <v>1100000</v>
      </c>
      <c r="E59" s="224">
        <f>+'BT 7HO'!D31</f>
        <v>151.13</v>
      </c>
      <c r="F59" s="311">
        <f t="shared" si="47"/>
        <v>124399.52380952382</v>
      </c>
      <c r="G59" s="218"/>
      <c r="H59" s="218"/>
      <c r="I59" s="218"/>
      <c r="J59" s="218"/>
      <c r="K59" s="295"/>
      <c r="L59" s="218"/>
      <c r="M59" s="218"/>
      <c r="N59" s="1288"/>
      <c r="O59" s="218">
        <f t="shared" si="49"/>
        <v>0</v>
      </c>
      <c r="P59" s="489"/>
      <c r="Q59" s="525"/>
      <c r="R59" s="1291"/>
      <c r="S59" s="528">
        <f>+U59</f>
        <v>0</v>
      </c>
      <c r="T59" s="316"/>
      <c r="U59" s="323"/>
      <c r="V59" s="316">
        <f>+'BT 7HO'!AB31</f>
        <v>46051</v>
      </c>
      <c r="W59" s="315">
        <f>+'BT 7HO'!AE31</f>
        <v>91433650</v>
      </c>
      <c r="X59" s="318"/>
      <c r="Y59" s="315">
        <f>+'BT 7HO'!BG31+'BT 7HO'!BN31</f>
        <v>91433650</v>
      </c>
      <c r="AA59" s="359" t="b">
        <f t="shared" si="51"/>
        <v>1</v>
      </c>
      <c r="AB59" s="320" t="b">
        <f t="shared" si="52"/>
        <v>1</v>
      </c>
    </row>
    <row r="60" spans="2:28">
      <c r="B60" s="1266"/>
      <c r="C60" s="215" t="str">
        <f>+'BT 7HO'!C36</f>
        <v>Myunghyun Tech 1</v>
      </c>
      <c r="D60" s="309">
        <v>1100000</v>
      </c>
      <c r="E60" s="224">
        <f>+'BT 7HO'!D36</f>
        <v>71.680000000000007</v>
      </c>
      <c r="F60" s="311">
        <f t="shared" si="47"/>
        <v>59001.904761904785</v>
      </c>
      <c r="G60" s="218"/>
      <c r="H60" s="218"/>
      <c r="I60" s="218"/>
      <c r="J60" s="218"/>
      <c r="K60" s="295"/>
      <c r="L60" s="218"/>
      <c r="M60" s="218"/>
      <c r="N60" s="1288"/>
      <c r="O60" s="218">
        <f t="shared" si="49"/>
        <v>0</v>
      </c>
      <c r="P60" s="489"/>
      <c r="Q60" s="525"/>
      <c r="R60" s="1291"/>
      <c r="S60" s="528">
        <f t="shared" si="50"/>
        <v>0</v>
      </c>
      <c r="T60" s="316"/>
      <c r="U60" s="315"/>
      <c r="V60" s="316">
        <f>+'BT 7HO'!AB36</f>
        <v>46051</v>
      </c>
      <c r="W60" s="315">
        <f>+'BT 7HO'!AE36</f>
        <v>43366400</v>
      </c>
      <c r="X60" s="318"/>
      <c r="Y60" s="315">
        <f>+'BT 7HO'!BG36+'BT 7HO'!BN36</f>
        <v>43366400</v>
      </c>
      <c r="AA60" s="359" t="b">
        <f t="shared" si="51"/>
        <v>1</v>
      </c>
      <c r="AB60" s="320" t="b">
        <f t="shared" si="52"/>
        <v>1</v>
      </c>
    </row>
    <row r="61" spans="2:28">
      <c r="B61" s="1266"/>
      <c r="C61" s="215" t="str">
        <f>+'BT 7HO'!C41</f>
        <v>Myunghyun Tech 2</v>
      </c>
      <c r="D61" s="309">
        <v>1100000</v>
      </c>
      <c r="E61" s="224">
        <f>+'BT 7HO'!D41</f>
        <v>38.4</v>
      </c>
      <c r="F61" s="311">
        <f t="shared" si="47"/>
        <v>31608.163265306128</v>
      </c>
      <c r="G61" s="218"/>
      <c r="H61" s="218"/>
      <c r="I61" s="218"/>
      <c r="J61" s="218"/>
      <c r="K61" s="295"/>
      <c r="L61" s="218"/>
      <c r="M61" s="218"/>
      <c r="N61" s="1288"/>
      <c r="O61" s="218">
        <f t="shared" si="49"/>
        <v>0</v>
      </c>
      <c r="P61" s="489"/>
      <c r="Q61" s="525"/>
      <c r="R61" s="1291"/>
      <c r="S61" s="528">
        <f t="shared" si="50"/>
        <v>0</v>
      </c>
      <c r="T61" s="316"/>
      <c r="U61" s="315"/>
      <c r="V61" s="316">
        <f>+'BT 7HO'!AB41</f>
        <v>46051</v>
      </c>
      <c r="W61" s="315">
        <f>+'BT 7HO'!AE41</f>
        <v>23232000</v>
      </c>
      <c r="X61" s="318"/>
      <c r="Y61" s="315">
        <f>+'BT 7HO'!BG41+'BT 7HO'!BN41</f>
        <v>23232000</v>
      </c>
      <c r="AA61" s="359" t="b">
        <f t="shared" si="51"/>
        <v>1</v>
      </c>
      <c r="AB61" s="320" t="b">
        <f t="shared" si="52"/>
        <v>1</v>
      </c>
    </row>
    <row r="62" spans="2:28">
      <c r="B62" s="1266"/>
      <c r="C62" s="215" t="str">
        <f>+'BT 7HO'!C46</f>
        <v>Sehyun Chemical</v>
      </c>
      <c r="D62" s="309">
        <v>1100000</v>
      </c>
      <c r="E62" s="224">
        <f>+'BT 7HO'!D46</f>
        <v>158.75</v>
      </c>
      <c r="F62" s="311">
        <f t="shared" si="47"/>
        <v>130671.76870748302</v>
      </c>
      <c r="G62" s="218"/>
      <c r="H62" s="218"/>
      <c r="I62" s="218"/>
      <c r="J62" s="218"/>
      <c r="K62" s="295"/>
      <c r="L62" s="218"/>
      <c r="M62" s="218"/>
      <c r="N62" s="1289"/>
      <c r="O62" s="218">
        <f t="shared" si="49"/>
        <v>0</v>
      </c>
      <c r="P62" s="489"/>
      <c r="Q62" s="525"/>
      <c r="R62" s="1292"/>
      <c r="S62" s="528">
        <f t="shared" si="50"/>
        <v>0</v>
      </c>
      <c r="T62" s="316"/>
      <c r="U62" s="323"/>
      <c r="V62" s="316">
        <f>+'BT 7HO'!AB46</f>
        <v>46050</v>
      </c>
      <c r="W62" s="315">
        <f>+'BT 7HO'!AE46</f>
        <v>96043750</v>
      </c>
      <c r="X62" s="318"/>
      <c r="Y62" s="315">
        <f>+'BT 7HO'!BG46+'BT 7HO'!BN46</f>
        <v>96043750</v>
      </c>
      <c r="AA62" s="359" t="b">
        <f t="shared" si="51"/>
        <v>1</v>
      </c>
      <c r="AB62" s="320" t="b">
        <f t="shared" si="52"/>
        <v>1</v>
      </c>
    </row>
    <row r="63" spans="2:28">
      <c r="B63" s="1266"/>
      <c r="C63" s="1268" t="s">
        <v>17</v>
      </c>
      <c r="D63" s="1269"/>
      <c r="E63" s="1279">
        <f>SUM(E55:E62)</f>
        <v>1609.3800000000003</v>
      </c>
      <c r="F63" s="1272">
        <f>SUM(F55:F62)</f>
        <v>1324727.7551020409</v>
      </c>
      <c r="G63" s="322">
        <f>G64/1470</f>
        <v>18246.530612244896</v>
      </c>
      <c r="H63" s="315"/>
      <c r="I63" s="315"/>
      <c r="J63" s="322">
        <f>J64/1470</f>
        <v>252439.38775510204</v>
      </c>
      <c r="K63" s="316"/>
      <c r="L63" s="315"/>
      <c r="M63" s="322">
        <f>M64/1470</f>
        <v>0</v>
      </c>
      <c r="N63" s="481">
        <f>N64/1470</f>
        <v>0</v>
      </c>
      <c r="O63" s="322">
        <f>O64/1470</f>
        <v>0</v>
      </c>
      <c r="P63" s="489"/>
      <c r="Q63" s="481">
        <f>SUM(Q55:Q62)/1470</f>
        <v>0</v>
      </c>
      <c r="R63" s="535"/>
      <c r="S63" s="529">
        <f>S64/1470</f>
        <v>489523.19727891154</v>
      </c>
      <c r="T63" s="316"/>
      <c r="U63" s="323"/>
      <c r="V63" s="316"/>
      <c r="W63" s="323"/>
      <c r="X63" s="318"/>
      <c r="Y63" s="322">
        <f>Y64/1470</f>
        <v>662363.87755102036</v>
      </c>
      <c r="AA63" s="318"/>
      <c r="AB63" s="320"/>
    </row>
    <row r="64" spans="2:28">
      <c r="B64" s="1267"/>
      <c r="C64" s="1270"/>
      <c r="D64" s="1271"/>
      <c r="E64" s="1280"/>
      <c r="F64" s="1273"/>
      <c r="G64" s="235">
        <f>+SUM(G55:G58)</f>
        <v>26822400</v>
      </c>
      <c r="H64" s="235">
        <f>+SUM(H55:H58)</f>
        <v>654181000.00000012</v>
      </c>
      <c r="I64" s="235">
        <f>+SUM(I55:I58)</f>
        <v>1837106500</v>
      </c>
      <c r="J64" s="235">
        <f>+SUM(J55:J58)</f>
        <v>371085900</v>
      </c>
      <c r="K64" s="296"/>
      <c r="L64" s="235">
        <f>+SUM(L55:L58)</f>
        <v>26822400</v>
      </c>
      <c r="M64" s="235">
        <f>+SUM(M55:M62)</f>
        <v>0</v>
      </c>
      <c r="N64" s="482"/>
      <c r="O64" s="235">
        <f>+SUM(O55:O62)</f>
        <v>0</v>
      </c>
      <c r="P64" s="490"/>
      <c r="Q64" s="482">
        <f>+SUM(Q55:Q62)</f>
        <v>0</v>
      </c>
      <c r="R64" s="536"/>
      <c r="S64" s="530">
        <f>+SUM(S55:S62)</f>
        <v>719599100</v>
      </c>
      <c r="T64" s="296"/>
      <c r="U64" s="235">
        <f>+SUM(U55:U62)</f>
        <v>719599100</v>
      </c>
      <c r="V64" s="296"/>
      <c r="W64" s="235">
        <f>+SUM(W55:W62)</f>
        <v>254075800</v>
      </c>
      <c r="X64" s="236"/>
      <c r="Y64" s="235">
        <f>+SUM(Y55:Y62)</f>
        <v>973674900</v>
      </c>
      <c r="AA64" s="236"/>
      <c r="AB64" s="320"/>
    </row>
    <row r="65" spans="2:28">
      <c r="B65" s="347"/>
      <c r="C65" s="348"/>
      <c r="D65" s="348"/>
      <c r="E65" s="349"/>
      <c r="F65" s="350"/>
      <c r="G65" s="351">
        <f>G66/1470</f>
        <v>18246.530612244896</v>
      </c>
      <c r="H65" s="352"/>
      <c r="I65" s="352"/>
      <c r="J65" s="351">
        <f>J66/1470</f>
        <v>263663.87755102041</v>
      </c>
      <c r="K65" s="353"/>
      <c r="L65" s="351">
        <f>L66/1470</f>
        <v>18246.530612244896</v>
      </c>
      <c r="M65" s="351">
        <f>M66/1470</f>
        <v>0</v>
      </c>
      <c r="N65" s="484">
        <f>N66/1470</f>
        <v>0</v>
      </c>
      <c r="O65" s="384">
        <f>O66/1470</f>
        <v>947392.95918367349</v>
      </c>
      <c r="P65" s="492"/>
      <c r="Q65" s="484">
        <f>Q66/1470</f>
        <v>947392.95918367349</v>
      </c>
      <c r="R65" s="537">
        <f>R66/1470</f>
        <v>947392.95918367349</v>
      </c>
      <c r="S65" s="531">
        <f>S66/1470</f>
        <v>2743384.8469387754</v>
      </c>
      <c r="T65" s="353"/>
      <c r="U65" s="351">
        <f>U66/1470</f>
        <v>2743384.8469387754</v>
      </c>
      <c r="V65" s="353"/>
      <c r="W65" s="351">
        <f>W66/1470</f>
        <v>2314787.6190476189</v>
      </c>
      <c r="X65" s="354"/>
      <c r="Y65" s="351">
        <f>Y66/1470</f>
        <v>15216768.622448979</v>
      </c>
      <c r="AA65" s="324"/>
      <c r="AB65" s="320"/>
    </row>
    <row r="66" spans="2:28" ht="13.5" thickBot="1">
      <c r="B66" s="1255" t="s">
        <v>17</v>
      </c>
      <c r="C66" s="1256"/>
      <c r="D66" s="1256"/>
      <c r="E66" s="313">
        <f>+E18+E29+E42+E53+E63</f>
        <v>26560.895</v>
      </c>
      <c r="F66" s="312">
        <f>F18+F29+F53+F63+F42</f>
        <v>21863049.625850342</v>
      </c>
      <c r="G66" s="292">
        <f>+G19+G30+G54+G64</f>
        <v>26822400</v>
      </c>
      <c r="H66" s="292">
        <f>+H19+H30+H54+H64</f>
        <v>736681000.00000012</v>
      </c>
      <c r="I66" s="292">
        <f>+I19+I30+I54+I64</f>
        <v>2035106500</v>
      </c>
      <c r="J66" s="292">
        <f>+J19+J30+J54+J64</f>
        <v>387585900</v>
      </c>
      <c r="K66" s="293"/>
      <c r="L66" s="292">
        <f>+L19+L30+L54+L64</f>
        <v>26822400</v>
      </c>
      <c r="M66" s="292">
        <f>+M19+M30+M54+M64+M43</f>
        <v>0</v>
      </c>
      <c r="N66" s="485">
        <f>+N19+N30+N54+N64+N43</f>
        <v>0</v>
      </c>
      <c r="O66" s="292">
        <f>+O19+O30+O54+O64+O43</f>
        <v>1392667650</v>
      </c>
      <c r="P66" s="493"/>
      <c r="Q66" s="485">
        <f>+Q19+Q30+Q54+Q64+Q43</f>
        <v>1392667650</v>
      </c>
      <c r="R66" s="538">
        <f>+R54+R19</f>
        <v>1392667650</v>
      </c>
      <c r="S66" s="532">
        <f>+S19+S30+S54+S64+S43</f>
        <v>4032775725</v>
      </c>
      <c r="T66" s="293"/>
      <c r="U66" s="292">
        <f>+U19+U30+U54+U64+U43</f>
        <v>4032775725</v>
      </c>
      <c r="V66" s="293"/>
      <c r="W66" s="292">
        <f>+W19+W30+W54+W64+W43</f>
        <v>3402737800</v>
      </c>
      <c r="X66" s="293"/>
      <c r="Y66" s="292">
        <f>+Y19+Y30+Y54+Y64+Y43</f>
        <v>22368649875</v>
      </c>
      <c r="AA66" s="293"/>
      <c r="AB66" s="320"/>
    </row>
    <row r="67" spans="2:28">
      <c r="E67" s="215"/>
      <c r="F67" s="215"/>
      <c r="K67" s="215"/>
      <c r="N67" s="320"/>
      <c r="P67" s="215"/>
      <c r="R67" s="320"/>
      <c r="T67" s="215"/>
      <c r="X67" s="215"/>
    </row>
    <row r="68" spans="2:28" ht="13.5">
      <c r="C68" s="373"/>
      <c r="D68" s="373"/>
      <c r="E68" s="215"/>
      <c r="F68" s="215"/>
      <c r="K68" s="215"/>
      <c r="M68" s="320"/>
      <c r="N68" s="320"/>
      <c r="P68" s="215"/>
      <c r="T68" s="215"/>
      <c r="X68" s="215"/>
    </row>
    <row r="69" spans="2:28" ht="13.5">
      <c r="C69" s="373"/>
      <c r="D69" s="373"/>
      <c r="E69" s="215"/>
      <c r="F69" s="215"/>
      <c r="J69" s="320"/>
      <c r="K69" s="215"/>
      <c r="L69" s="320"/>
      <c r="M69" s="320"/>
      <c r="N69" s="320"/>
      <c r="P69" s="215"/>
      <c r="Q69" s="320"/>
      <c r="T69" s="215"/>
      <c r="U69" s="320"/>
      <c r="W69" s="320"/>
      <c r="X69" s="215"/>
      <c r="Y69" s="320"/>
    </row>
    <row r="70" spans="2:28" ht="13.5">
      <c r="C70" s="320" t="s">
        <v>328</v>
      </c>
      <c r="D70" s="373"/>
      <c r="E70" s="215"/>
      <c r="F70" s="475"/>
      <c r="J70" s="320"/>
      <c r="K70" s="215"/>
      <c r="L70" s="320"/>
      <c r="M70" s="320"/>
      <c r="N70" s="375"/>
      <c r="P70" s="215"/>
      <c r="Q70" s="473"/>
      <c r="T70" s="215"/>
      <c r="X70" s="215"/>
      <c r="Y70" s="320"/>
    </row>
    <row r="71" spans="2:28" ht="13.5">
      <c r="C71" s="320" t="s">
        <v>329</v>
      </c>
      <c r="D71" s="373"/>
      <c r="E71" s="215"/>
      <c r="F71" s="215"/>
      <c r="J71" s="320"/>
      <c r="K71" s="215"/>
      <c r="M71" s="320"/>
      <c r="N71" s="375"/>
      <c r="P71" s="576">
        <f>R18/F18</f>
        <v>0.26306929606824003</v>
      </c>
      <c r="Q71" s="458"/>
      <c r="T71" s="215"/>
      <c r="X71" s="215"/>
    </row>
    <row r="72" spans="2:28" ht="13.5">
      <c r="D72" s="373"/>
      <c r="E72" s="215"/>
      <c r="F72" s="215"/>
      <c r="J72" s="375"/>
      <c r="K72" s="215"/>
      <c r="M72" s="375"/>
      <c r="P72" s="215"/>
      <c r="Q72" s="474"/>
      <c r="T72" s="215"/>
      <c r="X72" s="215"/>
    </row>
    <row r="73" spans="2:28" ht="13.5">
      <c r="D73" s="373"/>
      <c r="E73" s="215"/>
      <c r="O73" s="583"/>
    </row>
  </sheetData>
  <sheetProtection selectLockedCells="1" selectUnlockedCells="1"/>
  <mergeCells count="50">
    <mergeCell ref="J2:J3"/>
    <mergeCell ref="K2:L2"/>
    <mergeCell ref="M2:M3"/>
    <mergeCell ref="N2:N3"/>
    <mergeCell ref="B2:B3"/>
    <mergeCell ref="C2:C3"/>
    <mergeCell ref="D2:D3"/>
    <mergeCell ref="E2:E3"/>
    <mergeCell ref="F2:F3"/>
    <mergeCell ref="G2:G3"/>
    <mergeCell ref="X2:Y3"/>
    <mergeCell ref="AA2:AA3"/>
    <mergeCell ref="B4:B19"/>
    <mergeCell ref="N4:N17"/>
    <mergeCell ref="R4:R17"/>
    <mergeCell ref="C18:D19"/>
    <mergeCell ref="E18:E19"/>
    <mergeCell ref="F18:F19"/>
    <mergeCell ref="O2:O3"/>
    <mergeCell ref="P2:Q2"/>
    <mergeCell ref="R2:R3"/>
    <mergeCell ref="S2:S3"/>
    <mergeCell ref="T2:U2"/>
    <mergeCell ref="V2:W2"/>
    <mergeCell ref="H2:H3"/>
    <mergeCell ref="I2:I3"/>
    <mergeCell ref="E42:E43"/>
    <mergeCell ref="F42:F43"/>
    <mergeCell ref="B20:B30"/>
    <mergeCell ref="N20:N28"/>
    <mergeCell ref="R20:R28"/>
    <mergeCell ref="C29:D30"/>
    <mergeCell ref="E29:E30"/>
    <mergeCell ref="F29:F30"/>
    <mergeCell ref="R31:R41"/>
    <mergeCell ref="B31:B43"/>
    <mergeCell ref="C42:D43"/>
    <mergeCell ref="B66:D66"/>
    <mergeCell ref="F53:F54"/>
    <mergeCell ref="B55:B64"/>
    <mergeCell ref="N55:N62"/>
    <mergeCell ref="R55:R62"/>
    <mergeCell ref="C63:D64"/>
    <mergeCell ref="E63:E64"/>
    <mergeCell ref="F63:F64"/>
    <mergeCell ref="B44:B54"/>
    <mergeCell ref="N44:N52"/>
    <mergeCell ref="R44:R52"/>
    <mergeCell ref="C53:D54"/>
    <mergeCell ref="E53:E54"/>
  </mergeCells>
  <phoneticPr fontId="9" type="noConversion"/>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D16AE-8E53-4278-858B-D234F1E4F590}">
  <dimension ref="B1:V42"/>
  <sheetViews>
    <sheetView showGridLines="0" workbookViewId="0">
      <pane xSplit="3" ySplit="3" topLeftCell="D4" activePane="bottomRight" state="frozen"/>
      <selection pane="topRight" activeCell="D1" sqref="D1"/>
      <selection pane="bottomLeft" activeCell="A4" sqref="A4"/>
      <selection pane="bottomRight" activeCell="I34" sqref="I34"/>
    </sheetView>
  </sheetViews>
  <sheetFormatPr defaultColWidth="9.140625" defaultRowHeight="12.75"/>
  <cols>
    <col min="1" max="1" width="1.7109375" style="215" customWidth="1"/>
    <col min="2" max="2" width="12.5703125" style="215" customWidth="1"/>
    <col min="3" max="3" width="25.7109375" style="215" customWidth="1"/>
    <col min="4" max="4" width="14" style="215" customWidth="1"/>
    <col min="5" max="5" width="14.85546875" style="216" bestFit="1" customWidth="1"/>
    <col min="6" max="6" width="14.85546875" style="216" customWidth="1"/>
    <col min="7" max="7" width="19.42578125" style="215" customWidth="1"/>
    <col min="8" max="8" width="17.5703125" style="215" customWidth="1"/>
    <col min="9" max="10" width="14.5703125" style="215" customWidth="1"/>
    <col min="11" max="11" width="9" style="216" customWidth="1"/>
    <col min="12" max="12" width="16.28515625" style="215" customWidth="1"/>
    <col min="13" max="14" width="14.5703125" style="215" customWidth="1"/>
    <col min="15" max="15" width="22" style="215" customWidth="1"/>
    <col min="16" max="16" width="9" style="216" customWidth="1"/>
    <col min="17" max="17" width="17" style="215" customWidth="1"/>
    <col min="18" max="18" width="24.140625" style="215" bestFit="1" customWidth="1"/>
    <col min="19" max="19" width="17" style="216" customWidth="1"/>
    <col min="20" max="20" width="20.85546875" style="216" customWidth="1"/>
    <col min="21" max="21" width="15.85546875" style="215" bestFit="1" customWidth="1"/>
    <col min="22" max="22" width="12.28515625" style="215" bestFit="1" customWidth="1"/>
    <col min="23" max="16384" width="9.140625" style="215"/>
  </cols>
  <sheetData>
    <row r="1" spans="2:21">
      <c r="B1" s="215" t="s">
        <v>330</v>
      </c>
      <c r="U1" s="474">
        <v>1470</v>
      </c>
    </row>
    <row r="2" spans="2:21" ht="27" customHeight="1">
      <c r="B2" s="1259" t="s">
        <v>165</v>
      </c>
      <c r="C2" s="1259" t="s">
        <v>268</v>
      </c>
      <c r="D2" s="1259" t="s">
        <v>269</v>
      </c>
      <c r="E2" s="1259" t="s">
        <v>270</v>
      </c>
      <c r="F2" s="1307" t="s">
        <v>271</v>
      </c>
      <c r="G2" s="1307" t="s">
        <v>314</v>
      </c>
      <c r="H2" s="1259" t="s">
        <v>315</v>
      </c>
      <c r="I2" s="1259" t="s">
        <v>17</v>
      </c>
      <c r="J2" s="1259" t="s">
        <v>316</v>
      </c>
      <c r="K2" s="1305" t="s">
        <v>317</v>
      </c>
      <c r="L2" s="1306"/>
      <c r="M2" s="1307" t="s">
        <v>318</v>
      </c>
      <c r="N2" s="1307" t="s">
        <v>331</v>
      </c>
      <c r="O2" s="1307" t="s">
        <v>332</v>
      </c>
      <c r="P2" s="1310" t="s">
        <v>333</v>
      </c>
      <c r="Q2" s="1311"/>
      <c r="R2" s="1257" t="s">
        <v>334</v>
      </c>
      <c r="S2" s="1257" t="s">
        <v>335</v>
      </c>
      <c r="T2" s="1257" t="s">
        <v>336</v>
      </c>
    </row>
    <row r="3" spans="2:21" ht="27" customHeight="1">
      <c r="B3" s="1260"/>
      <c r="C3" s="1260"/>
      <c r="D3" s="1260"/>
      <c r="E3" s="1260"/>
      <c r="F3" s="1251"/>
      <c r="G3" s="1251"/>
      <c r="H3" s="1260"/>
      <c r="I3" s="1260"/>
      <c r="J3" s="1260"/>
      <c r="K3" s="234" t="s">
        <v>188</v>
      </c>
      <c r="L3" s="234" t="s">
        <v>283</v>
      </c>
      <c r="M3" s="1251"/>
      <c r="N3" s="1251"/>
      <c r="O3" s="1251"/>
      <c r="P3" s="577" t="s">
        <v>188</v>
      </c>
      <c r="Q3" s="577" t="s">
        <v>283</v>
      </c>
      <c r="R3" s="1258"/>
      <c r="S3" s="1258"/>
      <c r="T3" s="1258"/>
    </row>
    <row r="4" spans="2:21" ht="12.75" customHeight="1">
      <c r="B4" s="1265" t="s">
        <v>172</v>
      </c>
      <c r="C4" s="473" t="str">
        <f>+'BT 2HO'!C11</f>
        <v>Jinyoung Metal Factory_1</v>
      </c>
      <c r="D4" s="307">
        <v>350000</v>
      </c>
      <c r="E4" s="230">
        <f>+'BT 2HO'!D11</f>
        <v>817.21</v>
      </c>
      <c r="F4" s="310">
        <f t="shared" ref="F4:F17" si="0">D4*E4*1.1/$U$1</f>
        <v>214031.19047619047</v>
      </c>
      <c r="G4" s="231">
        <f t="shared" ref="G4:G17" si="1">+L4+Q4</f>
        <v>0</v>
      </c>
      <c r="H4" s="231">
        <f>+E4*350000000/1000*1.1</f>
        <v>314625850</v>
      </c>
      <c r="I4" s="231"/>
      <c r="J4" s="231"/>
      <c r="K4" s="294"/>
      <c r="L4" s="342">
        <v>0</v>
      </c>
      <c r="M4" s="231">
        <f>+'BT 2HO'!K15</f>
        <v>316888650</v>
      </c>
      <c r="N4" s="1245"/>
      <c r="O4" s="218">
        <f>+Q4</f>
        <v>0</v>
      </c>
      <c r="P4" s="294"/>
      <c r="Q4" s="231"/>
      <c r="R4" s="463"/>
      <c r="S4" s="603"/>
      <c r="T4" s="603"/>
      <c r="U4" s="320"/>
    </row>
    <row r="5" spans="2:21">
      <c r="B5" s="1266"/>
      <c r="C5" s="473" t="str">
        <f>+'BT 2HO'!C16</f>
        <v>Jinyoung Metal Factory_2</v>
      </c>
      <c r="D5" s="579">
        <v>350000</v>
      </c>
      <c r="E5" s="580">
        <f>+'BT 2HO'!D16</f>
        <v>240.69</v>
      </c>
      <c r="F5" s="311">
        <f t="shared" si="0"/>
        <v>63037.857142857152</v>
      </c>
      <c r="G5" s="227"/>
      <c r="H5" s="227"/>
      <c r="I5" s="227"/>
      <c r="J5" s="227"/>
      <c r="K5" s="581"/>
      <c r="L5" s="228"/>
      <c r="M5" s="227">
        <f>+'BT 2HO'!K20</f>
        <v>144402220</v>
      </c>
      <c r="N5" s="1246"/>
      <c r="O5" s="218">
        <f t="shared" ref="O5:O17" si="2">+Q5</f>
        <v>0</v>
      </c>
      <c r="P5" s="581"/>
      <c r="Q5" s="227"/>
      <c r="R5" s="594"/>
      <c r="S5" s="604"/>
      <c r="T5" s="604"/>
      <c r="U5" s="320"/>
    </row>
    <row r="6" spans="2:21">
      <c r="B6" s="1266"/>
      <c r="C6" s="215" t="str">
        <f>+'BT 2HO'!C21</f>
        <v>Kairos</v>
      </c>
      <c r="D6" s="308">
        <v>350000</v>
      </c>
      <c r="E6" s="224">
        <f>+'BT 2HO'!D21</f>
        <v>386.24</v>
      </c>
      <c r="F6" s="311">
        <f t="shared" si="0"/>
        <v>101158.09523809524</v>
      </c>
      <c r="G6" s="218">
        <f t="shared" si="1"/>
        <v>71225000</v>
      </c>
      <c r="H6" s="218">
        <f>+E6*350000000/1000*1.1</f>
        <v>148702400</v>
      </c>
      <c r="I6" s="218"/>
      <c r="J6" s="218">
        <f>+'BT 2HO'!R22+'BT 2HO'!R23+'BT 2HO'!Y22+'BT 2HO'!Y23</f>
        <v>62524000</v>
      </c>
      <c r="K6" s="295">
        <f>+'BT 2HO'!AB22</f>
        <v>45855</v>
      </c>
      <c r="L6" s="380">
        <f>+'BT 2HO'!AF22+'BT 2HO'!AF23</f>
        <v>71225000</v>
      </c>
      <c r="M6" s="218">
        <f>+'BT 2HO'!K22+'BT 2HO'!K23</f>
        <v>133749000</v>
      </c>
      <c r="N6" s="1246"/>
      <c r="O6" s="218">
        <f t="shared" si="2"/>
        <v>0</v>
      </c>
      <c r="P6" s="295"/>
      <c r="Q6" s="218"/>
      <c r="R6" s="359"/>
      <c r="S6" s="605"/>
      <c r="T6" s="605"/>
    </row>
    <row r="7" spans="2:21" ht="13.5">
      <c r="B7" s="1266"/>
      <c r="C7" s="215" t="str">
        <f>+'BT 2HO'!C26</f>
        <v>Doori Industry</v>
      </c>
      <c r="D7" s="308">
        <v>450000</v>
      </c>
      <c r="E7" s="224">
        <f>+'BT 2HO'!D26</f>
        <v>210</v>
      </c>
      <c r="F7" s="311">
        <f t="shared" si="0"/>
        <v>70714.285714285725</v>
      </c>
      <c r="G7" s="218">
        <f t="shared" si="1"/>
        <v>62370000</v>
      </c>
      <c r="H7" s="218">
        <f t="shared" ref="H7:H16" si="3">+E7*450000000/1000*1.1</f>
        <v>103950000.00000001</v>
      </c>
      <c r="I7" s="218"/>
      <c r="J7" s="218">
        <f>+'BT 2HO'!Q30</f>
        <v>31185000</v>
      </c>
      <c r="K7" s="295">
        <f>+'BT 2HO'!U27</f>
        <v>45855</v>
      </c>
      <c r="L7" s="380">
        <f>+'BT 2HO'!X30</f>
        <v>10395000</v>
      </c>
      <c r="M7" s="218">
        <f>+'BT 2HO'!K27+'BT 2HO'!K28</f>
        <v>93555000</v>
      </c>
      <c r="N7" s="1246"/>
      <c r="O7" s="218">
        <f t="shared" si="2"/>
        <v>51975000</v>
      </c>
      <c r="P7" s="295">
        <f>+'BT 2HO'!AB27</f>
        <v>45991</v>
      </c>
      <c r="Q7" s="218">
        <f>+'BT 2HO'!AE27+'BT 2HO'!AE28</f>
        <v>51975000</v>
      </c>
      <c r="R7" s="359" t="s">
        <v>337</v>
      </c>
      <c r="S7" s="605">
        <v>45869</v>
      </c>
      <c r="T7" s="605"/>
    </row>
    <row r="8" spans="2:21" ht="13.5">
      <c r="B8" s="1266"/>
      <c r="C8" s="215" t="str">
        <f>+'BT 2HO'!C31</f>
        <v>Geumjeong Techno</v>
      </c>
      <c r="D8" s="308">
        <v>450000</v>
      </c>
      <c r="E8" s="223">
        <f>+'BT 2HO'!D31</f>
        <v>122</v>
      </c>
      <c r="F8" s="311">
        <f t="shared" si="0"/>
        <v>41081.632653061228</v>
      </c>
      <c r="G8" s="218">
        <f t="shared" si="1"/>
        <v>6039000</v>
      </c>
      <c r="H8" s="218">
        <f t="shared" si="3"/>
        <v>60390000.000000007</v>
      </c>
      <c r="I8" s="218"/>
      <c r="J8" s="218">
        <f>+'BT 2HO'!Q35</f>
        <v>18117000</v>
      </c>
      <c r="K8" s="295">
        <f>+'BT 2HO'!U32</f>
        <v>45855</v>
      </c>
      <c r="L8" s="381">
        <f>+'BT 2HO'!X35</f>
        <v>6039000</v>
      </c>
      <c r="M8" s="218">
        <f>+'BT 2HO'!K32+'BT 2HO'!K33</f>
        <v>54351000</v>
      </c>
      <c r="N8" s="1246"/>
      <c r="O8" s="218">
        <f t="shared" si="2"/>
        <v>0</v>
      </c>
      <c r="P8" s="589"/>
      <c r="Q8" s="590"/>
      <c r="R8" s="597" t="s">
        <v>337</v>
      </c>
      <c r="S8" s="595">
        <v>45861</v>
      </c>
      <c r="T8" s="595">
        <f>+'BT 2HO'!AC32</f>
        <v>45922</v>
      </c>
      <c r="U8" s="320"/>
    </row>
    <row r="9" spans="2:21" ht="13.5">
      <c r="B9" s="1266"/>
      <c r="C9" s="215" t="str">
        <f>+'BT 2HO'!C36</f>
        <v>Epyeonan nursing home(Drop)</v>
      </c>
      <c r="D9" s="308">
        <v>450000</v>
      </c>
      <c r="E9" s="223">
        <f>+'BT 2HO'!D36</f>
        <v>172</v>
      </c>
      <c r="F9" s="311">
        <f t="shared" si="0"/>
        <v>57918.367346938772</v>
      </c>
      <c r="G9" s="218">
        <f t="shared" si="1"/>
        <v>8514000</v>
      </c>
      <c r="H9" s="218">
        <f t="shared" si="3"/>
        <v>85140000</v>
      </c>
      <c r="I9" s="218"/>
      <c r="J9" s="218">
        <f>+'BT 2HO'!Q40</f>
        <v>25542000</v>
      </c>
      <c r="K9" s="295"/>
      <c r="L9" s="381"/>
      <c r="M9" s="218">
        <f>+'BT 2HO'!K40</f>
        <v>25542000</v>
      </c>
      <c r="N9" s="1246"/>
      <c r="O9" s="218">
        <f t="shared" si="2"/>
        <v>8514000</v>
      </c>
      <c r="P9" s="295">
        <f>+'BT 2HO'!U37</f>
        <v>45991</v>
      </c>
      <c r="Q9" s="220">
        <f>+'BT 2HO'!X37+'BT 2HO'!X38</f>
        <v>8514000</v>
      </c>
      <c r="R9" s="596" t="s">
        <v>338</v>
      </c>
      <c r="S9" s="610" t="s">
        <v>339</v>
      </c>
      <c r="T9" s="610"/>
    </row>
    <row r="10" spans="2:21" ht="13.5">
      <c r="B10" s="1266"/>
      <c r="C10" s="215" t="str">
        <f>+'BT 2HO'!C41</f>
        <v>Joongang Special Paper</v>
      </c>
      <c r="D10" s="308">
        <v>450000</v>
      </c>
      <c r="E10" s="223">
        <f>+'BT 2HO'!D41</f>
        <v>438</v>
      </c>
      <c r="F10" s="311">
        <f t="shared" si="0"/>
        <v>147489.79591836737</v>
      </c>
      <c r="G10" s="218">
        <f t="shared" si="1"/>
        <v>108405000</v>
      </c>
      <c r="H10" s="218">
        <f t="shared" si="3"/>
        <v>216810000.00000003</v>
      </c>
      <c r="I10" s="218"/>
      <c r="J10" s="218">
        <f>+'BT 2HO'!Q45</f>
        <v>65043000</v>
      </c>
      <c r="K10" s="295"/>
      <c r="L10" s="381"/>
      <c r="M10" s="218">
        <f>+'BT 2HO'!K45</f>
        <v>86724000</v>
      </c>
      <c r="N10" s="1246"/>
      <c r="O10" s="218">
        <f t="shared" si="2"/>
        <v>108405000</v>
      </c>
      <c r="P10" s="295">
        <f>+'BT 2HO'!AB42</f>
        <v>45991</v>
      </c>
      <c r="Q10" s="218">
        <f>+'BT 2HO'!AE42+'BT 2HO'!AE43</f>
        <v>108405000</v>
      </c>
      <c r="R10" s="359" t="s">
        <v>340</v>
      </c>
      <c r="S10" s="605" t="s">
        <v>341</v>
      </c>
      <c r="T10" s="605"/>
    </row>
    <row r="11" spans="2:21" ht="13.5">
      <c r="B11" s="1266"/>
      <c r="C11" s="215" t="str">
        <f>+'BT 2HO'!C46</f>
        <v>Sambo Green Filter</v>
      </c>
      <c r="D11" s="308">
        <v>450000</v>
      </c>
      <c r="E11" s="223">
        <f>+'BT 2HO'!D46</f>
        <v>171</v>
      </c>
      <c r="F11" s="311">
        <f t="shared" si="0"/>
        <v>57581.632653061228</v>
      </c>
      <c r="G11" s="218">
        <f t="shared" si="1"/>
        <v>0</v>
      </c>
      <c r="H11" s="218">
        <f t="shared" si="3"/>
        <v>84645000</v>
      </c>
      <c r="I11" s="218"/>
      <c r="J11" s="218">
        <f>+'BT 2HO'!Q50</f>
        <v>25393500</v>
      </c>
      <c r="K11" s="295"/>
      <c r="L11" s="381"/>
      <c r="M11" s="218">
        <f>+'BT 2HO'!K47+'BT 2HO'!K48</f>
        <v>76180500</v>
      </c>
      <c r="N11" s="1246"/>
      <c r="O11" s="218">
        <f t="shared" si="2"/>
        <v>0</v>
      </c>
      <c r="P11" s="589"/>
      <c r="Q11" s="591"/>
      <c r="R11" s="597" t="s">
        <v>337</v>
      </c>
      <c r="S11" s="595">
        <v>45917</v>
      </c>
      <c r="T11" s="595">
        <f>+'BT 2HO'!AC47</f>
        <v>45931</v>
      </c>
    </row>
    <row r="12" spans="2:21" ht="13.5">
      <c r="B12" s="1266"/>
      <c r="C12" s="215" t="str">
        <f>+'BT 2HO'!C51</f>
        <v>Fusei Menix 1 &amp; 2</v>
      </c>
      <c r="D12" s="308">
        <v>450000</v>
      </c>
      <c r="E12" s="223">
        <f>+'BT 2HO'!D51</f>
        <v>527</v>
      </c>
      <c r="F12" s="311">
        <f t="shared" si="0"/>
        <v>177459.18367346941</v>
      </c>
      <c r="G12" s="218">
        <f t="shared" si="1"/>
        <v>26086500</v>
      </c>
      <c r="H12" s="218">
        <f t="shared" si="3"/>
        <v>260865000.00000003</v>
      </c>
      <c r="I12" s="218"/>
      <c r="J12" s="218">
        <f>+'BT 2HO'!Q55</f>
        <v>78259500</v>
      </c>
      <c r="K12" s="295"/>
      <c r="L12" s="381"/>
      <c r="M12" s="218">
        <f>+'BT 2HO'!K52+'BT 2HO'!K53</f>
        <v>104346000</v>
      </c>
      <c r="N12" s="1246"/>
      <c r="O12" s="218">
        <f t="shared" si="2"/>
        <v>26086500</v>
      </c>
      <c r="P12" s="295">
        <f>+'BT 2HO'!U52</f>
        <v>45991</v>
      </c>
      <c r="Q12" s="220">
        <f>+'BT 2HO'!X52+'BT 2HO'!X53</f>
        <v>26086500</v>
      </c>
      <c r="R12" s="359" t="s">
        <v>340</v>
      </c>
      <c r="S12" s="605">
        <v>45917</v>
      </c>
      <c r="T12" s="605"/>
    </row>
    <row r="13" spans="2:21" ht="13.5">
      <c r="B13" s="1266"/>
      <c r="C13" s="215" t="str">
        <f>+'BT 2HO'!C56</f>
        <v>Shincheon Food</v>
      </c>
      <c r="D13" s="308">
        <v>450000</v>
      </c>
      <c r="E13" s="223">
        <f>+'BT 2HO'!D56</f>
        <v>234</v>
      </c>
      <c r="F13" s="311">
        <f t="shared" si="0"/>
        <v>78795.918367346952</v>
      </c>
      <c r="G13" s="218">
        <f t="shared" si="1"/>
        <v>0</v>
      </c>
      <c r="H13" s="218">
        <f t="shared" si="3"/>
        <v>115830000.00000001</v>
      </c>
      <c r="I13" s="218"/>
      <c r="J13" s="218">
        <f>+'BT 2HO'!Q60</f>
        <v>34749000</v>
      </c>
      <c r="K13" s="295"/>
      <c r="L13" s="381"/>
      <c r="M13" s="218">
        <f>+'BT 2HO'!K57+'BT 2HO'!K58</f>
        <v>104247000</v>
      </c>
      <c r="N13" s="1246"/>
      <c r="O13" s="218">
        <f t="shared" si="2"/>
        <v>0</v>
      </c>
      <c r="P13" s="589"/>
      <c r="Q13" s="590"/>
      <c r="R13" s="597" t="s">
        <v>337</v>
      </c>
      <c r="S13" s="595">
        <v>45915</v>
      </c>
      <c r="T13" s="595">
        <f>+'BT 2HO'!AC57</f>
        <v>45931</v>
      </c>
    </row>
    <row r="14" spans="2:21" ht="13.5">
      <c r="B14" s="1266"/>
      <c r="C14" s="473" t="str">
        <f>+'BT 2HO'!C61</f>
        <v>Giga steel</v>
      </c>
      <c r="D14" s="308">
        <v>450000</v>
      </c>
      <c r="E14" s="223">
        <f>+'BT 2HO'!D61</f>
        <v>500</v>
      </c>
      <c r="F14" s="311">
        <f t="shared" si="0"/>
        <v>168367.34693877553</v>
      </c>
      <c r="G14" s="218">
        <f t="shared" si="1"/>
        <v>74250000</v>
      </c>
      <c r="H14" s="218">
        <f t="shared" si="3"/>
        <v>247500000.00000003</v>
      </c>
      <c r="I14" s="218"/>
      <c r="J14" s="315"/>
      <c r="K14" s="316">
        <f>+'BT 2HO'!N62</f>
        <v>45855</v>
      </c>
      <c r="L14" s="382">
        <f>+'BT 2HO'!Q62+'BT 2HO'!Q63</f>
        <v>74250000</v>
      </c>
      <c r="M14" s="315">
        <f>+'BT 2HO'!K62+'BT 2HO'!K63</f>
        <v>222453000</v>
      </c>
      <c r="N14" s="1246"/>
      <c r="O14" s="218">
        <f t="shared" si="2"/>
        <v>0</v>
      </c>
      <c r="P14" s="592"/>
      <c r="Q14" s="593"/>
      <c r="R14" s="597" t="s">
        <v>337</v>
      </c>
      <c r="S14" s="606">
        <v>45916</v>
      </c>
      <c r="T14" s="606">
        <f>+'BT 2HO'!AC62</f>
        <v>45931</v>
      </c>
    </row>
    <row r="15" spans="2:21" ht="13.5">
      <c r="B15" s="1266"/>
      <c r="C15" s="215" t="str">
        <f>+'BT 2HO'!C66</f>
        <v>Mijin Precision</v>
      </c>
      <c r="D15" s="308">
        <v>450000</v>
      </c>
      <c r="E15" s="374">
        <f>+'BT 2HO'!D66</f>
        <v>127</v>
      </c>
      <c r="F15" s="311">
        <f t="shared" si="0"/>
        <v>42765.306122448987</v>
      </c>
      <c r="G15" s="218">
        <f t="shared" si="1"/>
        <v>6286500</v>
      </c>
      <c r="H15" s="218">
        <f t="shared" si="3"/>
        <v>62865000.000000007</v>
      </c>
      <c r="I15" s="218"/>
      <c r="J15" s="315"/>
      <c r="K15" s="316"/>
      <c r="L15" s="315"/>
      <c r="M15" s="315">
        <f>+'BT 2HO'!K67+'BT 2HO'!K68</f>
        <v>18859500</v>
      </c>
      <c r="N15" s="1246"/>
      <c r="O15" s="218">
        <f t="shared" si="2"/>
        <v>6286500</v>
      </c>
      <c r="P15" s="316">
        <f>+'BT 2HO'!U67</f>
        <v>45991</v>
      </c>
      <c r="Q15" s="317">
        <f>+'BT 2HO'!X67+'BT 2HO'!X68</f>
        <v>6286500</v>
      </c>
      <c r="R15" s="359" t="s">
        <v>342</v>
      </c>
      <c r="S15" s="611" t="s">
        <v>343</v>
      </c>
      <c r="T15" s="611"/>
    </row>
    <row r="16" spans="2:21" ht="13.5">
      <c r="B16" s="1266"/>
      <c r="C16" s="215" t="str">
        <f>+'BT 2HO'!C71</f>
        <v>Wolchool Metal</v>
      </c>
      <c r="D16" s="308">
        <v>450000</v>
      </c>
      <c r="E16" s="374">
        <f>+'BT 2HO'!D71</f>
        <v>161</v>
      </c>
      <c r="F16" s="311">
        <f t="shared" si="0"/>
        <v>54214.285714285717</v>
      </c>
      <c r="G16" s="218">
        <f t="shared" si="1"/>
        <v>7969500</v>
      </c>
      <c r="H16" s="218">
        <f t="shared" si="3"/>
        <v>79695000</v>
      </c>
      <c r="I16" s="218"/>
      <c r="J16" s="315"/>
      <c r="K16" s="316"/>
      <c r="L16" s="315"/>
      <c r="M16" s="315">
        <f>+'BT 2HO'!K72+'BT 2HO'!K73</f>
        <v>23908500</v>
      </c>
      <c r="N16" s="1246"/>
      <c r="O16" s="218">
        <f t="shared" si="2"/>
        <v>7969500</v>
      </c>
      <c r="P16" s="316">
        <f>+'BT 2HO'!U72</f>
        <v>45991</v>
      </c>
      <c r="Q16" s="317">
        <f>+'BT 2HO'!X72+'BT 2HO'!X73</f>
        <v>7969500</v>
      </c>
      <c r="R16" s="359" t="s">
        <v>342</v>
      </c>
      <c r="S16" s="611" t="s">
        <v>343</v>
      </c>
      <c r="T16" s="611"/>
    </row>
    <row r="17" spans="2:22" ht="13.5">
      <c r="B17" s="1266"/>
      <c r="C17" s="215" t="str">
        <f>+'BT 2HO'!C76</f>
        <v>Unitech Korea</v>
      </c>
      <c r="D17" s="308">
        <v>500000</v>
      </c>
      <c r="E17" s="374">
        <f>+'BT 2HO'!D76</f>
        <v>269</v>
      </c>
      <c r="F17" s="311">
        <f t="shared" si="0"/>
        <v>100646.25850340136</v>
      </c>
      <c r="G17" s="218">
        <f t="shared" si="1"/>
        <v>14795000</v>
      </c>
      <c r="H17" s="218">
        <f>+E17*500000000/1000*1.1</f>
        <v>147950000</v>
      </c>
      <c r="I17" s="218"/>
      <c r="J17" s="315"/>
      <c r="K17" s="316"/>
      <c r="L17" s="315"/>
      <c r="M17" s="315">
        <f>+'BT 2HO'!K77+'BT 2HO'!K78</f>
        <v>59180000</v>
      </c>
      <c r="N17" s="1247"/>
      <c r="O17" s="218">
        <f t="shared" si="2"/>
        <v>14795000</v>
      </c>
      <c r="P17" s="316">
        <f>+'BT 2HO'!U77</f>
        <v>45991</v>
      </c>
      <c r="Q17" s="317">
        <f>+'BT 2HO'!X77+'BT 2HO'!X78</f>
        <v>14795000</v>
      </c>
      <c r="R17" s="359" t="s">
        <v>342</v>
      </c>
      <c r="S17" s="611" t="s">
        <v>343</v>
      </c>
      <c r="T17" s="611"/>
    </row>
    <row r="18" spans="2:22">
      <c r="B18" s="1266"/>
      <c r="C18" s="1268" t="s">
        <v>17</v>
      </c>
      <c r="D18" s="1269"/>
      <c r="E18" s="1279">
        <f>SUM(E4:E17)</f>
        <v>4375.1400000000003</v>
      </c>
      <c r="F18" s="1272">
        <f>SUM(F4:F17)</f>
        <v>1375261.1564625853</v>
      </c>
      <c r="G18" s="322"/>
      <c r="H18" s="315"/>
      <c r="I18" s="315"/>
      <c r="J18" s="322"/>
      <c r="K18" s="316"/>
      <c r="L18" s="322"/>
      <c r="M18" s="322">
        <f>M19/1470</f>
        <v>996181.20408163266</v>
      </c>
      <c r="N18" s="481">
        <f>N19/1470</f>
        <v>34.399319727891154</v>
      </c>
      <c r="O18" s="322">
        <f>O19/1470</f>
        <v>152402.38095238095</v>
      </c>
      <c r="P18" s="316"/>
      <c r="Q18" s="322">
        <f>Q19/1470</f>
        <v>152402.38095238095</v>
      </c>
      <c r="R18" s="578"/>
      <c r="S18" s="608"/>
      <c r="T18" s="608"/>
    </row>
    <row r="19" spans="2:22">
      <c r="B19" s="1267"/>
      <c r="C19" s="1270"/>
      <c r="D19" s="1271"/>
      <c r="E19" s="1280"/>
      <c r="F19" s="1273"/>
      <c r="G19" s="235"/>
      <c r="H19" s="235"/>
      <c r="I19" s="235"/>
      <c r="J19" s="235"/>
      <c r="K19" s="296"/>
      <c r="L19" s="235"/>
      <c r="M19" s="235">
        <f>+SUM(M4:M17)</f>
        <v>1464386370</v>
      </c>
      <c r="N19" s="482">
        <f>+'SPV Balance by bank_1'!E10</f>
        <v>50567</v>
      </c>
      <c r="O19" s="235">
        <f>+SUM(O4:O17)</f>
        <v>224031500</v>
      </c>
      <c r="P19" s="296"/>
      <c r="Q19" s="235">
        <f>+SUM(Q4:Q17)</f>
        <v>224031500</v>
      </c>
      <c r="R19" s="599"/>
      <c r="S19" s="609"/>
      <c r="T19" s="609"/>
      <c r="V19" s="320"/>
    </row>
    <row r="20" spans="2:22" ht="12.75" customHeight="1">
      <c r="B20" s="1265" t="s">
        <v>327</v>
      </c>
      <c r="C20" s="473" t="str">
        <f>+'BT 4HO'!C11</f>
        <v>Nuriplan(UnisonHKR)</v>
      </c>
      <c r="D20" s="308">
        <v>500000</v>
      </c>
      <c r="E20" s="374">
        <f>+'BT 4HO'!D11</f>
        <v>2521.92</v>
      </c>
      <c r="F20" s="311">
        <f t="shared" ref="F20:F30" si="4">D20*E20*1.1/$U$1</f>
        <v>943575.51020408166</v>
      </c>
      <c r="G20" s="218">
        <f t="shared" ref="G20:G30" si="5">+L20+Q20</f>
        <v>0</v>
      </c>
      <c r="H20" s="218">
        <f>+E20*450000000/1000*1.1</f>
        <v>1248350400</v>
      </c>
      <c r="I20" s="218"/>
      <c r="J20" s="315"/>
      <c r="K20" s="316"/>
      <c r="L20" s="315"/>
      <c r="M20" s="315">
        <f>+J20+L20</f>
        <v>0</v>
      </c>
      <c r="N20" s="1245"/>
      <c r="O20" s="218">
        <f t="shared" ref="O20:O30" si="6">+Q20</f>
        <v>0</v>
      </c>
      <c r="P20" s="316"/>
      <c r="Q20" s="317"/>
      <c r="R20" s="598"/>
      <c r="S20" s="607"/>
      <c r="T20" s="607"/>
    </row>
    <row r="21" spans="2:22">
      <c r="B21" s="1266"/>
      <c r="C21" s="473" t="str">
        <f>+'BT 4HO'!C16</f>
        <v>MKENG</v>
      </c>
      <c r="D21" s="308">
        <v>500000</v>
      </c>
      <c r="E21" s="374">
        <f>+'BT 4HO'!D16</f>
        <v>435.23</v>
      </c>
      <c r="F21" s="311">
        <f t="shared" si="4"/>
        <v>162841.15646258506</v>
      </c>
      <c r="G21" s="218">
        <f t="shared" si="5"/>
        <v>0</v>
      </c>
      <c r="H21" s="218">
        <f>+E21*450000000/1000*1.1</f>
        <v>215438850.00000003</v>
      </c>
      <c r="I21" s="218"/>
      <c r="J21" s="315"/>
      <c r="K21" s="316"/>
      <c r="L21" s="315"/>
      <c r="M21" s="315">
        <f>+J21+L21</f>
        <v>0</v>
      </c>
      <c r="N21" s="1246"/>
      <c r="O21" s="218">
        <f t="shared" si="6"/>
        <v>0</v>
      </c>
      <c r="P21" s="316"/>
      <c r="Q21" s="317"/>
      <c r="R21" s="598"/>
      <c r="S21" s="607"/>
      <c r="T21" s="607"/>
    </row>
    <row r="22" spans="2:22">
      <c r="B22" s="1266"/>
      <c r="C22" s="473" t="str">
        <f>+'BT 4HO'!C21</f>
        <v>Sangmyung Enfra</v>
      </c>
      <c r="D22" s="308">
        <v>500000</v>
      </c>
      <c r="E22" s="374">
        <f>+'BT 4HO'!D21</f>
        <v>383.4</v>
      </c>
      <c r="F22" s="311">
        <f t="shared" si="4"/>
        <v>143448.97959183675</v>
      </c>
      <c r="G22" s="218">
        <f t="shared" si="5"/>
        <v>0</v>
      </c>
      <c r="H22" s="218">
        <f>+E22*450000000/1000*1.1</f>
        <v>189783000.00000003</v>
      </c>
      <c r="I22" s="218"/>
      <c r="J22" s="315"/>
      <c r="K22" s="316"/>
      <c r="L22" s="315"/>
      <c r="M22" s="315">
        <f>+J22+L22</f>
        <v>0</v>
      </c>
      <c r="N22" s="1246"/>
      <c r="O22" s="218">
        <f t="shared" si="6"/>
        <v>0</v>
      </c>
      <c r="P22" s="316"/>
      <c r="Q22" s="317"/>
      <c r="R22" s="598"/>
      <c r="S22" s="607"/>
      <c r="T22" s="607"/>
    </row>
    <row r="23" spans="2:22">
      <c r="B23" s="1266"/>
      <c r="C23" s="473" t="str">
        <f>+'BT 4HO'!C26</f>
        <v>Woori One</v>
      </c>
      <c r="D23" s="309">
        <v>500000</v>
      </c>
      <c r="E23" s="374">
        <f>+'BT 4HO'!D26</f>
        <v>221</v>
      </c>
      <c r="F23" s="311">
        <f t="shared" si="4"/>
        <v>82687.074829931982</v>
      </c>
      <c r="G23" s="218">
        <f t="shared" si="5"/>
        <v>0</v>
      </c>
      <c r="H23" s="218">
        <f>+E23*500000000/1000*1.1</f>
        <v>121550000.00000001</v>
      </c>
      <c r="I23" s="218"/>
      <c r="J23" s="315"/>
      <c r="K23" s="316"/>
      <c r="L23" s="315"/>
      <c r="M23" s="315">
        <f t="shared" ref="M23:M30" si="7">+J23+L23</f>
        <v>0</v>
      </c>
      <c r="N23" s="1246"/>
      <c r="O23" s="218">
        <f t="shared" si="6"/>
        <v>0</v>
      </c>
      <c r="P23" s="316"/>
      <c r="Q23" s="317"/>
      <c r="R23" s="598"/>
      <c r="S23" s="607"/>
      <c r="T23" s="607"/>
    </row>
    <row r="24" spans="2:22">
      <c r="B24" s="1266"/>
      <c r="C24" s="473" t="str">
        <f>+'BT 4HO'!C31</f>
        <v>Eurowinspia</v>
      </c>
      <c r="D24" s="309">
        <v>500000</v>
      </c>
      <c r="E24" s="374">
        <f>+'BT 4HO'!D31</f>
        <v>1207</v>
      </c>
      <c r="F24" s="311">
        <f t="shared" si="4"/>
        <v>451598.63945578231</v>
      </c>
      <c r="G24" s="218">
        <f t="shared" si="5"/>
        <v>0</v>
      </c>
      <c r="H24" s="218">
        <f t="shared" ref="H24:H30" si="8">+E24*500000000/1000*1.1</f>
        <v>663850000</v>
      </c>
      <c r="I24" s="218"/>
      <c r="J24" s="315"/>
      <c r="K24" s="316"/>
      <c r="L24" s="315"/>
      <c r="M24" s="315">
        <f t="shared" si="7"/>
        <v>0</v>
      </c>
      <c r="N24" s="1246"/>
      <c r="O24" s="218">
        <f t="shared" si="6"/>
        <v>0</v>
      </c>
      <c r="P24" s="316"/>
      <c r="Q24" s="317"/>
      <c r="R24" s="598"/>
      <c r="S24" s="607"/>
      <c r="T24" s="607"/>
    </row>
    <row r="25" spans="2:22" ht="13.5">
      <c r="B25" s="1266"/>
      <c r="C25" s="473" t="str">
        <f>+'BT 4HO'!C36</f>
        <v>RMK</v>
      </c>
      <c r="D25" s="309">
        <v>500000</v>
      </c>
      <c r="E25" s="374">
        <f>+'BT 4HO'!D36</f>
        <v>991</v>
      </c>
      <c r="F25" s="311">
        <f t="shared" si="4"/>
        <v>370782.31292517006</v>
      </c>
      <c r="G25" s="218">
        <f t="shared" si="5"/>
        <v>163515000</v>
      </c>
      <c r="H25" s="218">
        <f t="shared" si="8"/>
        <v>545050000</v>
      </c>
      <c r="I25" s="218"/>
      <c r="J25" s="315"/>
      <c r="K25" s="316"/>
      <c r="L25" s="315"/>
      <c r="M25" s="315">
        <f t="shared" si="7"/>
        <v>0</v>
      </c>
      <c r="N25" s="1246"/>
      <c r="O25" s="218">
        <f t="shared" si="6"/>
        <v>163515000</v>
      </c>
      <c r="P25" s="316">
        <f>+'BT 4HO'!N37</f>
        <v>45991</v>
      </c>
      <c r="Q25" s="317">
        <f>+'BT 4HO'!Q37+'BT 4HO'!Q38</f>
        <v>163515000</v>
      </c>
      <c r="R25" s="596" t="s">
        <v>338</v>
      </c>
      <c r="S25" s="607">
        <v>45930</v>
      </c>
      <c r="T25" s="607"/>
      <c r="U25" s="574"/>
    </row>
    <row r="26" spans="2:22">
      <c r="B26" s="1266"/>
      <c r="C26" s="473" t="str">
        <f>+'BT 4HO'!C41</f>
        <v>Samwon PNP</v>
      </c>
      <c r="D26" s="309">
        <v>500000</v>
      </c>
      <c r="E26" s="374">
        <f>+'BT 4HO'!D41</f>
        <v>461</v>
      </c>
      <c r="F26" s="311">
        <f t="shared" si="4"/>
        <v>172482.99319727893</v>
      </c>
      <c r="G26" s="218">
        <f t="shared" si="5"/>
        <v>0</v>
      </c>
      <c r="H26" s="218">
        <f t="shared" si="8"/>
        <v>253550000.00000003</v>
      </c>
      <c r="I26" s="218"/>
      <c r="J26" s="315"/>
      <c r="K26" s="316"/>
      <c r="L26" s="315"/>
      <c r="M26" s="315">
        <f t="shared" si="7"/>
        <v>0</v>
      </c>
      <c r="N26" s="1246"/>
      <c r="O26" s="218">
        <f t="shared" si="6"/>
        <v>0</v>
      </c>
      <c r="P26" s="316"/>
      <c r="Q26" s="317"/>
      <c r="R26" s="598"/>
      <c r="S26" s="607"/>
      <c r="T26" s="607"/>
    </row>
    <row r="27" spans="2:22" ht="13.5">
      <c r="B27" s="1266"/>
      <c r="C27" s="215" t="str">
        <f>+'BT 4HO'!C46</f>
        <v>Daesung Fruit Industry</v>
      </c>
      <c r="D27" s="309">
        <v>500000</v>
      </c>
      <c r="E27" s="374">
        <f>+'BT 4HO'!D46</f>
        <v>315</v>
      </c>
      <c r="F27" s="311">
        <f t="shared" si="4"/>
        <v>117857.14285714286</v>
      </c>
      <c r="G27" s="218">
        <f t="shared" si="5"/>
        <v>51975000</v>
      </c>
      <c r="H27" s="218">
        <f t="shared" si="8"/>
        <v>173250000</v>
      </c>
      <c r="I27" s="218"/>
      <c r="J27" s="315"/>
      <c r="K27" s="316"/>
      <c r="L27" s="315"/>
      <c r="M27" s="315">
        <f t="shared" si="7"/>
        <v>0</v>
      </c>
      <c r="N27" s="1246"/>
      <c r="O27" s="218">
        <f t="shared" si="6"/>
        <v>51975000</v>
      </c>
      <c r="P27" s="316">
        <f>+'BT 4HO'!N47</f>
        <v>45991</v>
      </c>
      <c r="Q27" s="317">
        <f>+'BT 4HO'!Q47+'BT 4HO'!Q48</f>
        <v>51975000</v>
      </c>
      <c r="R27" s="359" t="s">
        <v>342</v>
      </c>
      <c r="S27" s="611" t="s">
        <v>343</v>
      </c>
      <c r="T27" s="612" t="s">
        <v>344</v>
      </c>
    </row>
    <row r="28" spans="2:22" ht="13.5">
      <c r="B28" s="1266"/>
      <c r="C28" s="473" t="str">
        <f>+'BT 4HO'!C51</f>
        <v>Ilsan Metal</v>
      </c>
      <c r="D28" s="309">
        <v>500000</v>
      </c>
      <c r="E28" s="374">
        <f>+'BT 4HO'!D51</f>
        <v>156</v>
      </c>
      <c r="F28" s="311">
        <f t="shared" si="4"/>
        <v>58367.34693877551</v>
      </c>
      <c r="G28" s="218">
        <f t="shared" si="5"/>
        <v>25740000</v>
      </c>
      <c r="H28" s="218">
        <f t="shared" si="8"/>
        <v>85800000</v>
      </c>
      <c r="I28" s="218"/>
      <c r="J28" s="315"/>
      <c r="K28" s="316"/>
      <c r="L28" s="315"/>
      <c r="M28" s="315">
        <f t="shared" si="7"/>
        <v>0</v>
      </c>
      <c r="N28" s="1246"/>
      <c r="O28" s="218">
        <f t="shared" si="6"/>
        <v>25740000</v>
      </c>
      <c r="P28" s="316">
        <f>+'BT 4HO'!N52</f>
        <v>45991</v>
      </c>
      <c r="Q28" s="317">
        <f>+'BT 4HO'!Q52+'BT 4HO'!Q53</f>
        <v>25740000</v>
      </c>
      <c r="R28" s="596" t="s">
        <v>338</v>
      </c>
      <c r="S28" s="607">
        <v>45952</v>
      </c>
      <c r="T28" s="607"/>
    </row>
    <row r="29" spans="2:22" ht="13.5">
      <c r="B29" s="1266"/>
      <c r="C29" s="473" t="str">
        <f>+'BT 4HO'!C56</f>
        <v>Ilshin Industry(HQ)</v>
      </c>
      <c r="D29" s="309">
        <v>500000</v>
      </c>
      <c r="E29" s="374">
        <f>+'BT 4HO'!D56</f>
        <v>1000</v>
      </c>
      <c r="F29" s="311">
        <f t="shared" si="4"/>
        <v>374149.65986394556</v>
      </c>
      <c r="G29" s="218">
        <f t="shared" si="5"/>
        <v>165000000</v>
      </c>
      <c r="H29" s="218">
        <f t="shared" si="8"/>
        <v>550000000</v>
      </c>
      <c r="I29" s="218"/>
      <c r="J29" s="315"/>
      <c r="K29" s="316"/>
      <c r="L29" s="315"/>
      <c r="M29" s="315">
        <f t="shared" si="7"/>
        <v>0</v>
      </c>
      <c r="N29" s="1246"/>
      <c r="O29" s="218">
        <f t="shared" si="6"/>
        <v>165000000</v>
      </c>
      <c r="P29" s="316">
        <f>+'BT 4HO'!N57</f>
        <v>45991</v>
      </c>
      <c r="Q29" s="317">
        <f>+'BT 4HO'!Q57+'BT 4HO'!Q58</f>
        <v>165000000</v>
      </c>
      <c r="R29" s="596" t="s">
        <v>338</v>
      </c>
      <c r="S29" s="607">
        <v>45952</v>
      </c>
      <c r="T29" s="607"/>
    </row>
    <row r="30" spans="2:22" ht="13.5">
      <c r="B30" s="1266"/>
      <c r="C30" s="473" t="str">
        <f>+'BT 4HO'!C61</f>
        <v>Ilshin Industry(Branch)</v>
      </c>
      <c r="D30" s="309">
        <v>500000</v>
      </c>
      <c r="E30" s="374">
        <f>+'BT 4HO'!D61</f>
        <v>200</v>
      </c>
      <c r="F30" s="311">
        <f t="shared" si="4"/>
        <v>74829.931972789127</v>
      </c>
      <c r="G30" s="218">
        <f t="shared" si="5"/>
        <v>33000000</v>
      </c>
      <c r="H30" s="218">
        <f t="shared" si="8"/>
        <v>110000000.00000001</v>
      </c>
      <c r="I30" s="218"/>
      <c r="J30" s="315"/>
      <c r="K30" s="316"/>
      <c r="L30" s="315"/>
      <c r="M30" s="315">
        <f t="shared" si="7"/>
        <v>0</v>
      </c>
      <c r="N30" s="1247"/>
      <c r="O30" s="218">
        <f t="shared" si="6"/>
        <v>33000000</v>
      </c>
      <c r="P30" s="316">
        <f>+'BT 4HO'!N62</f>
        <v>45991</v>
      </c>
      <c r="Q30" s="317">
        <f>+'BT 4HO'!Q62+'BT 4HO'!Q63</f>
        <v>33000000</v>
      </c>
      <c r="R30" s="596" t="s">
        <v>338</v>
      </c>
      <c r="S30" s="607">
        <v>45952</v>
      </c>
      <c r="T30" s="607"/>
    </row>
    <row r="31" spans="2:22">
      <c r="B31" s="1266"/>
      <c r="C31" s="1268" t="s">
        <v>17</v>
      </c>
      <c r="D31" s="1269"/>
      <c r="E31" s="1279">
        <f>SUM(E20:E27)</f>
        <v>6535.55</v>
      </c>
      <c r="F31" s="1272">
        <f>SUM(F20:F27)</f>
        <v>2445273.8095238097</v>
      </c>
      <c r="G31" s="322"/>
      <c r="H31" s="315"/>
      <c r="I31" s="315"/>
      <c r="J31" s="322"/>
      <c r="K31" s="316"/>
      <c r="L31" s="322"/>
      <c r="M31" s="322">
        <f>M32/1470</f>
        <v>0</v>
      </c>
      <c r="N31" s="481">
        <f>N32/1470</f>
        <v>414.35374149659862</v>
      </c>
      <c r="O31" s="322">
        <f>O32/1470</f>
        <v>298795.91836734692</v>
      </c>
      <c r="P31" s="316"/>
      <c r="Q31" s="322">
        <f>Q32/1470</f>
        <v>298795.91836734692</v>
      </c>
      <c r="R31" s="578"/>
      <c r="S31" s="608"/>
      <c r="T31" s="608"/>
    </row>
    <row r="32" spans="2:22">
      <c r="B32" s="1267"/>
      <c r="C32" s="1270"/>
      <c r="D32" s="1271"/>
      <c r="E32" s="1280"/>
      <c r="F32" s="1273"/>
      <c r="G32" s="235"/>
      <c r="H32" s="235"/>
      <c r="I32" s="235"/>
      <c r="J32" s="235"/>
      <c r="K32" s="296"/>
      <c r="L32" s="235"/>
      <c r="M32" s="235">
        <f>+SUM(M20:M27)</f>
        <v>0</v>
      </c>
      <c r="N32" s="482">
        <f>+'SPV Balance by bank_1'!E16</f>
        <v>609100</v>
      </c>
      <c r="O32" s="235">
        <f>+SUM(O20:O30)</f>
        <v>439230000</v>
      </c>
      <c r="P32" s="296"/>
      <c r="Q32" s="235">
        <f>+SUM(Q20:Q30)</f>
        <v>439230000</v>
      </c>
      <c r="R32" s="599"/>
      <c r="S32" s="609"/>
      <c r="T32" s="609"/>
    </row>
    <row r="33" spans="3:20">
      <c r="E33" s="215"/>
      <c r="F33" s="215"/>
      <c r="K33" s="215"/>
      <c r="N33" s="320"/>
      <c r="P33" s="215"/>
    </row>
    <row r="34" spans="3:20" ht="13.5">
      <c r="C34" s="373"/>
      <c r="D34" s="373"/>
      <c r="E34" s="215"/>
      <c r="F34" s="215"/>
      <c r="K34" s="215"/>
      <c r="M34" s="320"/>
      <c r="N34" s="320"/>
      <c r="P34" s="215"/>
    </row>
    <row r="35" spans="3:20" ht="13.5">
      <c r="C35" s="373"/>
      <c r="D35" s="373"/>
      <c r="E35" s="215"/>
      <c r="F35" s="215"/>
      <c r="J35" s="320"/>
      <c r="K35" s="215"/>
      <c r="L35" s="320"/>
      <c r="M35" s="320"/>
      <c r="N35" s="320"/>
      <c r="P35" s="215"/>
      <c r="Q35" s="320"/>
      <c r="R35" s="320"/>
      <c r="S35" s="600"/>
      <c r="T35" s="600"/>
    </row>
    <row r="36" spans="3:20" ht="13.5">
      <c r="C36" s="320"/>
      <c r="D36" s="373"/>
      <c r="E36" s="215"/>
      <c r="F36" s="475"/>
      <c r="J36" s="320"/>
      <c r="K36" s="215"/>
      <c r="L36" s="320"/>
      <c r="M36" s="320"/>
      <c r="N36" s="375"/>
      <c r="P36" s="215"/>
      <c r="Q36" s="473"/>
      <c r="R36" s="473"/>
      <c r="S36" s="601"/>
      <c r="T36" s="601"/>
    </row>
    <row r="37" spans="3:20" ht="13.5">
      <c r="C37" s="320"/>
      <c r="D37" s="373"/>
      <c r="E37" s="215"/>
      <c r="F37" s="215"/>
      <c r="J37" s="320"/>
      <c r="K37" s="215"/>
      <c r="M37" s="320"/>
      <c r="N37" s="375"/>
      <c r="P37" s="215"/>
      <c r="Q37" s="458"/>
      <c r="R37" s="458"/>
      <c r="S37" s="602"/>
      <c r="T37" s="602"/>
    </row>
    <row r="38" spans="3:20" ht="13.5">
      <c r="D38" s="373"/>
      <c r="E38" s="215"/>
      <c r="F38" s="215"/>
      <c r="J38" s="375"/>
      <c r="K38" s="215"/>
      <c r="M38" s="375"/>
      <c r="P38" s="215"/>
      <c r="Q38" s="474"/>
      <c r="R38" s="474"/>
      <c r="S38" s="495"/>
      <c r="T38" s="495"/>
    </row>
    <row r="39" spans="3:20" ht="13.5">
      <c r="D39" s="373"/>
      <c r="E39" s="215"/>
    </row>
    <row r="40" spans="3:20" ht="13.5">
      <c r="D40" s="373"/>
      <c r="E40" s="215"/>
      <c r="Q40" s="320"/>
      <c r="R40" s="320"/>
      <c r="S40" s="600"/>
      <c r="T40" s="600"/>
    </row>
    <row r="41" spans="3:20" ht="13.5">
      <c r="D41" s="373"/>
      <c r="E41" s="215"/>
    </row>
    <row r="42" spans="3:20" ht="13.5">
      <c r="D42" s="373"/>
      <c r="E42" s="215"/>
    </row>
  </sheetData>
  <mergeCells count="27">
    <mergeCell ref="G2:G3"/>
    <mergeCell ref="B2:B3"/>
    <mergeCell ref="C2:C3"/>
    <mergeCell ref="D2:D3"/>
    <mergeCell ref="E2:E3"/>
    <mergeCell ref="F2:F3"/>
    <mergeCell ref="I2:I3"/>
    <mergeCell ref="J2:J3"/>
    <mergeCell ref="K2:L2"/>
    <mergeCell ref="M2:M3"/>
    <mergeCell ref="N2:N3"/>
    <mergeCell ref="S2:S3"/>
    <mergeCell ref="R2:R3"/>
    <mergeCell ref="T2:T3"/>
    <mergeCell ref="B20:B32"/>
    <mergeCell ref="N20:N30"/>
    <mergeCell ref="C31:D32"/>
    <mergeCell ref="E31:E32"/>
    <mergeCell ref="F31:F32"/>
    <mergeCell ref="B4:B19"/>
    <mergeCell ref="N4:N17"/>
    <mergeCell ref="C18:D19"/>
    <mergeCell ref="E18:E19"/>
    <mergeCell ref="F18:F19"/>
    <mergeCell ref="O2:O3"/>
    <mergeCell ref="P2:Q2"/>
    <mergeCell ref="H2:H3"/>
  </mergeCells>
  <phoneticPr fontId="9"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25EE3-16FD-4E7F-8710-CDF56091F9A8}">
  <dimension ref="B1:AD76"/>
  <sheetViews>
    <sheetView showGridLines="0" zoomScale="85" zoomScaleNormal="85" workbookViewId="0">
      <pane xSplit="5" ySplit="3" topLeftCell="F19" activePane="bottomRight" state="frozen"/>
      <selection activeCell="C36" sqref="B22:C54"/>
      <selection pane="topRight" activeCell="C36" sqref="B22:C54"/>
      <selection pane="bottomLeft" activeCell="C36" sqref="B22:C54"/>
      <selection pane="bottomRight" activeCell="C36" sqref="B22:C54"/>
    </sheetView>
  </sheetViews>
  <sheetFormatPr defaultColWidth="9.140625" defaultRowHeight="12.75"/>
  <cols>
    <col min="1" max="1" width="1.7109375" style="215" customWidth="1"/>
    <col min="2" max="2" width="12.5703125" style="215" customWidth="1"/>
    <col min="3" max="3" width="25.7109375" style="215" customWidth="1"/>
    <col min="4" max="4" width="14" style="215" customWidth="1"/>
    <col min="5" max="5" width="14.85546875" style="216" bestFit="1" customWidth="1"/>
    <col min="6" max="6" width="14.85546875" style="216" customWidth="1"/>
    <col min="7" max="7" width="19.42578125" style="215" customWidth="1"/>
    <col min="8" max="8" width="17.5703125" style="215" customWidth="1"/>
    <col min="9" max="10" width="14.5703125" style="215" customWidth="1"/>
    <col min="11" max="11" width="9" style="216" customWidth="1"/>
    <col min="12" max="12" width="16.28515625" style="215" customWidth="1"/>
    <col min="13" max="14" width="14.5703125" style="215" customWidth="1"/>
    <col min="15" max="15" width="22" style="215" customWidth="1"/>
    <col min="16" max="16" width="9" style="216" customWidth="1"/>
    <col min="17" max="17" width="17" style="215" customWidth="1"/>
    <col min="18" max="18" width="14.5703125" style="215" customWidth="1"/>
    <col min="19" max="19" width="21.42578125" style="215" customWidth="1"/>
    <col min="20" max="20" width="9" style="216" customWidth="1"/>
    <col min="21" max="21" width="17" style="215" customWidth="1"/>
    <col min="22" max="22" width="9" style="216" customWidth="1"/>
    <col min="23" max="23" width="17" style="215" customWidth="1"/>
    <col min="24" max="24" width="6.5703125" style="216" customWidth="1"/>
    <col min="25" max="25" width="17" style="215" customWidth="1"/>
    <col min="26" max="26" width="1.7109375" style="215" customWidth="1"/>
    <col min="27" max="27" width="11.7109375" style="215" bestFit="1" customWidth="1"/>
    <col min="28" max="28" width="13.28515625" style="215" customWidth="1"/>
    <col min="29" max="29" width="15.85546875" style="215" bestFit="1" customWidth="1"/>
    <col min="30" max="30" width="12.28515625" style="215" bestFit="1" customWidth="1"/>
    <col min="31" max="16384" width="9.140625" style="215"/>
  </cols>
  <sheetData>
    <row r="1" spans="2:29" ht="13.5" thickBot="1">
      <c r="B1" s="215" t="s">
        <v>330</v>
      </c>
      <c r="Y1" s="346" t="s">
        <v>312</v>
      </c>
      <c r="AB1" s="572" t="s">
        <v>37</v>
      </c>
      <c r="AC1" s="474">
        <v>1470</v>
      </c>
    </row>
    <row r="2" spans="2:29" ht="27" customHeight="1">
      <c r="B2" s="1261" t="s">
        <v>165</v>
      </c>
      <c r="C2" s="1261" t="s">
        <v>268</v>
      </c>
      <c r="D2" s="1259" t="s">
        <v>269</v>
      </c>
      <c r="E2" s="1261" t="s">
        <v>270</v>
      </c>
      <c r="F2" s="1307" t="s">
        <v>271</v>
      </c>
      <c r="G2" s="1248" t="s">
        <v>314</v>
      </c>
      <c r="H2" s="1259" t="s">
        <v>315</v>
      </c>
      <c r="I2" s="1259" t="s">
        <v>17</v>
      </c>
      <c r="J2" s="1259" t="s">
        <v>316</v>
      </c>
      <c r="K2" s="1261" t="s">
        <v>317</v>
      </c>
      <c r="L2" s="1261"/>
      <c r="M2" s="1307" t="s">
        <v>318</v>
      </c>
      <c r="N2" s="1308" t="s">
        <v>331</v>
      </c>
      <c r="O2" s="1248" t="s">
        <v>332</v>
      </c>
      <c r="P2" s="1305" t="s">
        <v>333</v>
      </c>
      <c r="Q2" s="1312"/>
      <c r="R2" s="1301" t="s">
        <v>345</v>
      </c>
      <c r="S2" s="1303" t="s">
        <v>323</v>
      </c>
      <c r="T2" s="1261" t="s">
        <v>324</v>
      </c>
      <c r="U2" s="1261"/>
      <c r="V2" s="1305" t="s">
        <v>325</v>
      </c>
      <c r="W2" s="1306"/>
      <c r="X2" s="1297" t="s">
        <v>326</v>
      </c>
      <c r="Y2" s="1298"/>
      <c r="AA2" s="1259" t="s">
        <v>282</v>
      </c>
    </row>
    <row r="3" spans="2:29" ht="27" customHeight="1">
      <c r="B3" s="1264"/>
      <c r="C3" s="1264"/>
      <c r="D3" s="1260"/>
      <c r="E3" s="1264"/>
      <c r="F3" s="1251"/>
      <c r="G3" s="1249"/>
      <c r="H3" s="1260"/>
      <c r="I3" s="1260"/>
      <c r="J3" s="1260"/>
      <c r="K3" s="234" t="s">
        <v>188</v>
      </c>
      <c r="L3" s="234" t="s">
        <v>283</v>
      </c>
      <c r="M3" s="1260"/>
      <c r="N3" s="1309"/>
      <c r="O3" s="1249"/>
      <c r="P3" s="486" t="s">
        <v>188</v>
      </c>
      <c r="Q3" s="521" t="s">
        <v>283</v>
      </c>
      <c r="R3" s="1302"/>
      <c r="S3" s="1304"/>
      <c r="T3" s="234" t="s">
        <v>188</v>
      </c>
      <c r="U3" s="234" t="s">
        <v>283</v>
      </c>
      <c r="V3" s="234" t="s">
        <v>188</v>
      </c>
      <c r="W3" s="234" t="s">
        <v>283</v>
      </c>
      <c r="X3" s="1299"/>
      <c r="Y3" s="1300"/>
      <c r="AA3" s="1260"/>
    </row>
    <row r="4" spans="2:29">
      <c r="B4" s="1265" t="s">
        <v>172</v>
      </c>
      <c r="C4" s="473" t="str">
        <f>+'BT 2HO'!C11</f>
        <v>Jinyoung Metal Factory_1</v>
      </c>
      <c r="D4" s="307">
        <v>350000</v>
      </c>
      <c r="E4" s="230">
        <f>+'BT 2HO'!D11</f>
        <v>817.21</v>
      </c>
      <c r="F4" s="310">
        <f>D4*E4*1.1/$AC$1</f>
        <v>214031.19047619047</v>
      </c>
      <c r="G4" s="231">
        <f t="shared" ref="G4:G17" si="0">+L4+Q4</f>
        <v>0</v>
      </c>
      <c r="H4" s="231">
        <f>+E4*350000000/1000*1.1</f>
        <v>314625850</v>
      </c>
      <c r="I4" s="231" t="e">
        <f t="shared" ref="I4:I17" si="1">+J4+L4+Q4+U4+Y4+W4</f>
        <v>#REF!</v>
      </c>
      <c r="J4" s="231" t="e">
        <f>+'BT 2HO'!#REF!+'BT 2HO'!#REF!</f>
        <v>#REF!</v>
      </c>
      <c r="K4" s="294"/>
      <c r="L4" s="342">
        <v>0</v>
      </c>
      <c r="M4" s="231">
        <f>+'BT 2HO'!K15</f>
        <v>316888650</v>
      </c>
      <c r="N4" s="1287"/>
      <c r="O4" s="218">
        <f>+Q4</f>
        <v>0</v>
      </c>
      <c r="P4" s="487"/>
      <c r="Q4" s="522"/>
      <c r="R4" s="1290"/>
      <c r="S4" s="528">
        <f>+U4</f>
        <v>0</v>
      </c>
      <c r="T4" s="294"/>
      <c r="U4" s="233"/>
      <c r="V4" s="294"/>
      <c r="W4" s="233"/>
      <c r="X4" s="232"/>
      <c r="Y4" s="231">
        <f>+'BT 2HO'!BN12+'BT 2HO'!BN13+298000</f>
        <v>31760585</v>
      </c>
      <c r="AA4" s="359" t="b">
        <f t="shared" ref="AA4:AA17" si="2">+D4*E4*1.1=(M4+O4+S4+W4+Y4)</f>
        <v>0</v>
      </c>
      <c r="AB4" s="320" t="b">
        <f t="shared" ref="AB4:AB17" si="3">+D4*E4*1.1=M4+Q4+U4+W4+Y4</f>
        <v>0</v>
      </c>
      <c r="AC4" s="320"/>
    </row>
    <row r="5" spans="2:29">
      <c r="B5" s="1266"/>
      <c r="C5" s="473" t="str">
        <f>+'BT 2HO'!C16</f>
        <v>Jinyoung Metal Factory_2</v>
      </c>
      <c r="D5" s="579">
        <v>350000</v>
      </c>
      <c r="E5" s="580">
        <f>+'BT 2HO'!D16</f>
        <v>240.69</v>
      </c>
      <c r="F5" s="311">
        <f t="shared" ref="F5:F17" si="4">D5*E5*1.1/$AC$1</f>
        <v>63037.857142857152</v>
      </c>
      <c r="G5" s="227"/>
      <c r="H5" s="227"/>
      <c r="I5" s="227"/>
      <c r="J5" s="227"/>
      <c r="K5" s="581"/>
      <c r="L5" s="228"/>
      <c r="M5" s="227">
        <f>+'BT 2HO'!K20</f>
        <v>144402220</v>
      </c>
      <c r="N5" s="1288"/>
      <c r="O5" s="218">
        <f t="shared" ref="O5:O17" si="5">+Q5</f>
        <v>0</v>
      </c>
      <c r="P5" s="582"/>
      <c r="Q5" s="526"/>
      <c r="R5" s="1291"/>
      <c r="S5" s="528">
        <f t="shared" ref="S5:S17" si="6">+U5</f>
        <v>0</v>
      </c>
      <c r="T5" s="581"/>
      <c r="U5" s="225"/>
      <c r="V5" s="581"/>
      <c r="W5" s="225"/>
      <c r="X5" s="226"/>
      <c r="Y5" s="227">
        <f>+'BT 2HO'!BN17+'BT 2HO'!BN18</f>
        <v>9266565</v>
      </c>
      <c r="AA5" s="359" t="b">
        <f t="shared" si="2"/>
        <v>0</v>
      </c>
      <c r="AB5" s="320" t="b">
        <f t="shared" ref="AB5" si="7">+D5*E5*1.1=M5+Q5+U5+W5+Y5</f>
        <v>0</v>
      </c>
      <c r="AC5" s="320"/>
    </row>
    <row r="6" spans="2:29">
      <c r="B6" s="1266"/>
      <c r="C6" s="215" t="str">
        <f>+'BT 2HO'!C21</f>
        <v>Kairos</v>
      </c>
      <c r="D6" s="308">
        <v>350000</v>
      </c>
      <c r="E6" s="224">
        <f>+'BT 2HO'!D21</f>
        <v>386.24</v>
      </c>
      <c r="F6" s="311">
        <f t="shared" si="4"/>
        <v>101158.09523809524</v>
      </c>
      <c r="G6" s="218">
        <f t="shared" si="0"/>
        <v>71225000</v>
      </c>
      <c r="H6" s="218">
        <f>+E6*350000000/1000*1.1</f>
        <v>148702400</v>
      </c>
      <c r="I6" s="218">
        <f t="shared" si="1"/>
        <v>148619240</v>
      </c>
      <c r="J6" s="218">
        <f>+'BT 2HO'!R22+'BT 2HO'!R23+'BT 2HO'!Y22+'BT 2HO'!Y23</f>
        <v>62524000</v>
      </c>
      <c r="K6" s="295">
        <f>+'BT 2HO'!AB22</f>
        <v>45855</v>
      </c>
      <c r="L6" s="380">
        <f>+'BT 2HO'!AF22+'BT 2HO'!AF23</f>
        <v>71225000</v>
      </c>
      <c r="M6" s="218">
        <f>+'BT 2HO'!K22+'BT 2HO'!K23</f>
        <v>133749000</v>
      </c>
      <c r="N6" s="1288"/>
      <c r="O6" s="218">
        <f t="shared" si="5"/>
        <v>0</v>
      </c>
      <c r="P6" s="488"/>
      <c r="Q6" s="523"/>
      <c r="R6" s="1291"/>
      <c r="S6" s="528">
        <f t="shared" si="6"/>
        <v>0</v>
      </c>
      <c r="T6" s="295"/>
      <c r="U6" s="219"/>
      <c r="V6" s="295"/>
      <c r="W6" s="219"/>
      <c r="X6" s="222"/>
      <c r="Y6" s="218">
        <f>+'BT 2HO'!BN22+'BT 2HO'!BN23</f>
        <v>14870240</v>
      </c>
      <c r="AA6" s="359" t="b">
        <f t="shared" si="2"/>
        <v>0</v>
      </c>
      <c r="AB6" s="320" t="b">
        <f t="shared" si="3"/>
        <v>0</v>
      </c>
    </row>
    <row r="7" spans="2:29">
      <c r="B7" s="1266"/>
      <c r="C7" s="215" t="str">
        <f>+'BT 2HO'!C26</f>
        <v>Doori Industry</v>
      </c>
      <c r="D7" s="308">
        <v>450000</v>
      </c>
      <c r="E7" s="224">
        <f>+'BT 2HO'!D26</f>
        <v>210</v>
      </c>
      <c r="F7" s="311">
        <f t="shared" si="4"/>
        <v>70714.285714285725</v>
      </c>
      <c r="G7" s="218">
        <f t="shared" si="0"/>
        <v>62370000</v>
      </c>
      <c r="H7" s="218">
        <f t="shared" ref="H7:H14" si="8">+E7*450000000/1000*1.1</f>
        <v>103950000.00000001</v>
      </c>
      <c r="I7" s="218">
        <f t="shared" si="1"/>
        <v>103950000</v>
      </c>
      <c r="J7" s="218">
        <f>+'BT 2HO'!Q30</f>
        <v>31185000</v>
      </c>
      <c r="K7" s="295">
        <f>+'BT 2HO'!U27</f>
        <v>45855</v>
      </c>
      <c r="L7" s="380">
        <f>+'BT 2HO'!X30</f>
        <v>10395000</v>
      </c>
      <c r="M7" s="218">
        <f>+'BT 2HO'!K27+'BT 2HO'!K28</f>
        <v>93555000</v>
      </c>
      <c r="N7" s="1288"/>
      <c r="O7" s="218">
        <f t="shared" si="5"/>
        <v>51975000</v>
      </c>
      <c r="P7" s="488">
        <f>+'BT 2HO'!AB27</f>
        <v>45991</v>
      </c>
      <c r="Q7" s="523">
        <f>+'BT 2HO'!AE27+'BT 2HO'!AE28</f>
        <v>51975000</v>
      </c>
      <c r="R7" s="1291"/>
      <c r="S7" s="528">
        <f t="shared" si="6"/>
        <v>0</v>
      </c>
      <c r="T7" s="295"/>
      <c r="U7" s="219"/>
      <c r="V7" s="295"/>
      <c r="W7" s="219"/>
      <c r="X7" s="222"/>
      <c r="Y7" s="218">
        <f>+'BT 2HO'!BN27+'BT 2HO'!BN28</f>
        <v>10395000</v>
      </c>
      <c r="AA7" s="359" t="b">
        <f t="shared" si="2"/>
        <v>0</v>
      </c>
      <c r="AB7" s="320" t="b">
        <f t="shared" si="3"/>
        <v>0</v>
      </c>
    </row>
    <row r="8" spans="2:29">
      <c r="B8" s="1266"/>
      <c r="C8" s="215" t="str">
        <f>+'BT 2HO'!C31</f>
        <v>Geumjeong Techno</v>
      </c>
      <c r="D8" s="308">
        <v>450000</v>
      </c>
      <c r="E8" s="223">
        <f>+'BT 2HO'!D31</f>
        <v>122</v>
      </c>
      <c r="F8" s="311">
        <f t="shared" si="4"/>
        <v>41081.632653061228</v>
      </c>
      <c r="G8" s="218">
        <f t="shared" si="0"/>
        <v>6039000</v>
      </c>
      <c r="H8" s="218">
        <f t="shared" si="8"/>
        <v>60390000.000000007</v>
      </c>
      <c r="I8" s="218">
        <f t="shared" si="1"/>
        <v>30195000</v>
      </c>
      <c r="J8" s="218">
        <f>+'BT 2HO'!Q35</f>
        <v>18117000</v>
      </c>
      <c r="K8" s="295">
        <f>+'BT 2HO'!U32</f>
        <v>45855</v>
      </c>
      <c r="L8" s="381">
        <f>+'BT 2HO'!X35</f>
        <v>6039000</v>
      </c>
      <c r="M8" s="218">
        <f>+'BT 2HO'!K32+'BT 2HO'!K33</f>
        <v>54351000</v>
      </c>
      <c r="N8" s="1288"/>
      <c r="O8" s="218">
        <f t="shared" si="5"/>
        <v>0</v>
      </c>
      <c r="P8" s="584"/>
      <c r="Q8" s="585"/>
      <c r="R8" s="1291"/>
      <c r="S8" s="528">
        <f t="shared" si="6"/>
        <v>0</v>
      </c>
      <c r="T8" s="295"/>
      <c r="U8" s="219"/>
      <c r="V8" s="295">
        <f>+'BT 2HO'!BK32</f>
        <v>46053</v>
      </c>
      <c r="W8" s="218">
        <f>+'BT 2HO'!BN32+'BT 2HO'!BN33</f>
        <v>6039000</v>
      </c>
      <c r="X8" s="222"/>
      <c r="Y8" s="218"/>
      <c r="AA8" s="359" t="b">
        <f t="shared" si="2"/>
        <v>1</v>
      </c>
      <c r="AB8" s="320" t="b">
        <f t="shared" si="3"/>
        <v>1</v>
      </c>
      <c r="AC8" s="320"/>
    </row>
    <row r="9" spans="2:29">
      <c r="B9" s="1266"/>
      <c r="C9" s="215" t="str">
        <f>+'BT 2HO'!C36</f>
        <v>Epyeonan nursing home(Drop)</v>
      </c>
      <c r="D9" s="308">
        <v>450000</v>
      </c>
      <c r="E9" s="223">
        <f>+'BT 2HO'!D36</f>
        <v>172</v>
      </c>
      <c r="F9" s="311">
        <f t="shared" si="4"/>
        <v>57918.367346938772</v>
      </c>
      <c r="G9" s="218">
        <f t="shared" si="0"/>
        <v>8514000</v>
      </c>
      <c r="H9" s="218">
        <f t="shared" si="8"/>
        <v>85140000</v>
      </c>
      <c r="I9" s="218">
        <f t="shared" si="1"/>
        <v>85140000</v>
      </c>
      <c r="J9" s="218">
        <f>+'BT 2HO'!Q40</f>
        <v>25542000</v>
      </c>
      <c r="K9" s="295"/>
      <c r="L9" s="381"/>
      <c r="M9" s="218">
        <f>+'BT 2HO'!K40</f>
        <v>25542000</v>
      </c>
      <c r="N9" s="1288"/>
      <c r="O9" s="218">
        <f t="shared" si="5"/>
        <v>8514000</v>
      </c>
      <c r="P9" s="488">
        <f>+'BT 2HO'!U37</f>
        <v>45991</v>
      </c>
      <c r="Q9" s="524">
        <f>+'BT 2HO'!X37+'BT 2HO'!X38</f>
        <v>8514000</v>
      </c>
      <c r="R9" s="1291"/>
      <c r="S9" s="528">
        <f t="shared" si="6"/>
        <v>42570000</v>
      </c>
      <c r="T9" s="295">
        <f>+'BT 2HO'!AB37</f>
        <v>46022</v>
      </c>
      <c r="U9" s="220">
        <f>+'BT 2HO'!AE37+'BT 2HO'!AE38</f>
        <v>42570000</v>
      </c>
      <c r="V9" s="295"/>
      <c r="W9" s="219"/>
      <c r="X9" s="222"/>
      <c r="Y9" s="218">
        <f>+'BT 2HO'!BN37+'BT 2HO'!BN38</f>
        <v>8514000</v>
      </c>
      <c r="AA9" s="359" t="b">
        <f t="shared" si="2"/>
        <v>1</v>
      </c>
      <c r="AB9" s="320" t="b">
        <f t="shared" si="3"/>
        <v>1</v>
      </c>
    </row>
    <row r="10" spans="2:29">
      <c r="B10" s="1266"/>
      <c r="C10" s="215" t="str">
        <f>+'BT 2HO'!C41</f>
        <v>Joongang Special Paper</v>
      </c>
      <c r="D10" s="308">
        <v>450000</v>
      </c>
      <c r="E10" s="223">
        <f>+'BT 2HO'!D41</f>
        <v>438</v>
      </c>
      <c r="F10" s="311">
        <f t="shared" si="4"/>
        <v>147489.79591836737</v>
      </c>
      <c r="G10" s="218">
        <f t="shared" si="0"/>
        <v>108405000</v>
      </c>
      <c r="H10" s="218">
        <f t="shared" si="8"/>
        <v>216810000.00000003</v>
      </c>
      <c r="I10" s="218">
        <f t="shared" si="1"/>
        <v>195129000</v>
      </c>
      <c r="J10" s="218">
        <f>+'BT 2HO'!Q45</f>
        <v>65043000</v>
      </c>
      <c r="K10" s="295"/>
      <c r="L10" s="381"/>
      <c r="M10" s="218">
        <f>+'BT 2HO'!K45</f>
        <v>86724000</v>
      </c>
      <c r="N10" s="1288"/>
      <c r="O10" s="218">
        <f t="shared" si="5"/>
        <v>108405000</v>
      </c>
      <c r="P10" s="488">
        <f>+'BT 2HO'!AB42</f>
        <v>45991</v>
      </c>
      <c r="Q10" s="523">
        <f>+'BT 2HO'!AE42+'BT 2HO'!AE43</f>
        <v>108405000</v>
      </c>
      <c r="R10" s="1291"/>
      <c r="S10" s="528">
        <f t="shared" si="6"/>
        <v>0</v>
      </c>
      <c r="T10" s="295"/>
      <c r="U10" s="220"/>
      <c r="V10" s="295"/>
      <c r="W10" s="219"/>
      <c r="X10" s="222"/>
      <c r="Y10" s="218">
        <f>+'BT 2HO'!BN42+'BT 2HO'!BN43</f>
        <v>21681000</v>
      </c>
      <c r="AA10" s="359" t="b">
        <f t="shared" si="2"/>
        <v>1</v>
      </c>
      <c r="AB10" s="320" t="b">
        <f t="shared" si="3"/>
        <v>1</v>
      </c>
    </row>
    <row r="11" spans="2:29">
      <c r="B11" s="1266"/>
      <c r="C11" s="215" t="str">
        <f>+'BT 2HO'!C46</f>
        <v>Sambo Green Filter</v>
      </c>
      <c r="D11" s="308">
        <v>450000</v>
      </c>
      <c r="E11" s="223">
        <f>+'BT 2HO'!D46</f>
        <v>171</v>
      </c>
      <c r="F11" s="311">
        <f t="shared" si="4"/>
        <v>57581.632653061228</v>
      </c>
      <c r="G11" s="218">
        <f t="shared" si="0"/>
        <v>0</v>
      </c>
      <c r="H11" s="218">
        <f t="shared" si="8"/>
        <v>84645000</v>
      </c>
      <c r="I11" s="218">
        <f t="shared" si="1"/>
        <v>33858000</v>
      </c>
      <c r="J11" s="218">
        <f>+'BT 2HO'!Q50</f>
        <v>25393500</v>
      </c>
      <c r="K11" s="295"/>
      <c r="L11" s="381"/>
      <c r="M11" s="218">
        <f>+'BT 2HO'!K47+'BT 2HO'!K48</f>
        <v>76180500</v>
      </c>
      <c r="N11" s="1288"/>
      <c r="O11" s="218">
        <f t="shared" si="5"/>
        <v>0</v>
      </c>
      <c r="P11" s="584"/>
      <c r="Q11" s="586"/>
      <c r="R11" s="1291"/>
      <c r="S11" s="528">
        <f t="shared" si="6"/>
        <v>0</v>
      </c>
      <c r="T11" s="295"/>
      <c r="U11" s="220"/>
      <c r="V11" s="295"/>
      <c r="W11" s="219"/>
      <c r="X11" s="222"/>
      <c r="Y11" s="218">
        <f>+'BT 2HO'!BN47+'BT 2HO'!BN48</f>
        <v>8464500</v>
      </c>
      <c r="AA11" s="359" t="b">
        <f t="shared" si="2"/>
        <v>1</v>
      </c>
      <c r="AB11" s="320" t="b">
        <f t="shared" si="3"/>
        <v>1</v>
      </c>
    </row>
    <row r="12" spans="2:29">
      <c r="B12" s="1266"/>
      <c r="C12" s="215" t="str">
        <f>+'BT 2HO'!C51</f>
        <v>Fusei Menix 1 &amp; 2</v>
      </c>
      <c r="D12" s="308">
        <v>450000</v>
      </c>
      <c r="E12" s="223">
        <f>+'BT 2HO'!D51</f>
        <v>527</v>
      </c>
      <c r="F12" s="311">
        <f t="shared" si="4"/>
        <v>177459.18367346941</v>
      </c>
      <c r="G12" s="218">
        <f t="shared" si="0"/>
        <v>26086500</v>
      </c>
      <c r="H12" s="218">
        <f t="shared" si="8"/>
        <v>260865000.00000003</v>
      </c>
      <c r="I12" s="218">
        <f t="shared" si="1"/>
        <v>260865000</v>
      </c>
      <c r="J12" s="218">
        <f>+'BT 2HO'!Q55</f>
        <v>78259500</v>
      </c>
      <c r="K12" s="295"/>
      <c r="L12" s="381"/>
      <c r="M12" s="218">
        <f>+'BT 2HO'!K52+'BT 2HO'!K53</f>
        <v>104346000</v>
      </c>
      <c r="N12" s="1288"/>
      <c r="O12" s="218">
        <f t="shared" si="5"/>
        <v>26086500</v>
      </c>
      <c r="P12" s="488">
        <f>+'BT 2HO'!U52</f>
        <v>45991</v>
      </c>
      <c r="Q12" s="524">
        <f>+'BT 2HO'!X52+'BT 2HO'!X53</f>
        <v>26086500</v>
      </c>
      <c r="R12" s="1291"/>
      <c r="S12" s="528">
        <f t="shared" si="6"/>
        <v>130432500</v>
      </c>
      <c r="T12" s="295">
        <f>+'BT 2HO'!AB52</f>
        <v>46022</v>
      </c>
      <c r="U12" s="220">
        <f>+'BT 2HO'!AE52+'BT 2HO'!AE53</f>
        <v>130432500</v>
      </c>
      <c r="V12" s="295"/>
      <c r="W12" s="220"/>
      <c r="X12" s="221"/>
      <c r="Y12" s="218">
        <f>+'BT 2HO'!BN52+'BT 2HO'!BN53</f>
        <v>26086500</v>
      </c>
      <c r="AA12" s="359" t="b">
        <f t="shared" si="2"/>
        <v>0</v>
      </c>
      <c r="AB12" s="320" t="b">
        <f t="shared" si="3"/>
        <v>0</v>
      </c>
    </row>
    <row r="13" spans="2:29">
      <c r="B13" s="1266"/>
      <c r="C13" s="215" t="str">
        <f>+'BT 2HO'!C56</f>
        <v>Shincheon Food</v>
      </c>
      <c r="D13" s="308">
        <v>450000</v>
      </c>
      <c r="E13" s="223">
        <f>+'BT 2HO'!D56</f>
        <v>234</v>
      </c>
      <c r="F13" s="311">
        <f t="shared" si="4"/>
        <v>78795.918367346952</v>
      </c>
      <c r="G13" s="218">
        <f t="shared" si="0"/>
        <v>0</v>
      </c>
      <c r="H13" s="218">
        <f t="shared" si="8"/>
        <v>115830000.00000001</v>
      </c>
      <c r="I13" s="218">
        <f t="shared" si="1"/>
        <v>46332000</v>
      </c>
      <c r="J13" s="218">
        <f>+'BT 2HO'!Q60</f>
        <v>34749000</v>
      </c>
      <c r="K13" s="295"/>
      <c r="L13" s="381"/>
      <c r="M13" s="218">
        <f>+'BT 2HO'!K57+'BT 2HO'!K58</f>
        <v>104247000</v>
      </c>
      <c r="N13" s="1288"/>
      <c r="O13" s="218">
        <f t="shared" si="5"/>
        <v>0</v>
      </c>
      <c r="P13" s="584"/>
      <c r="Q13" s="585"/>
      <c r="R13" s="1291"/>
      <c r="S13" s="528">
        <f t="shared" si="6"/>
        <v>0</v>
      </c>
      <c r="T13" s="295"/>
      <c r="U13" s="218"/>
      <c r="V13" s="295"/>
      <c r="W13" s="218"/>
      <c r="X13" s="221"/>
      <c r="Y13" s="218">
        <f>+'BT 2HO'!BN57+'BT 2HO'!BN58</f>
        <v>11583000</v>
      </c>
      <c r="AA13" s="359" t="b">
        <f t="shared" si="2"/>
        <v>1</v>
      </c>
      <c r="AB13" s="320" t="b">
        <f t="shared" si="3"/>
        <v>1</v>
      </c>
    </row>
    <row r="14" spans="2:29">
      <c r="B14" s="1266"/>
      <c r="C14" s="473" t="str">
        <f>+'BT 2HO'!C61</f>
        <v>Giga steel</v>
      </c>
      <c r="D14" s="308">
        <v>450000</v>
      </c>
      <c r="E14" s="223">
        <f>+'BT 2HO'!D61</f>
        <v>500</v>
      </c>
      <c r="F14" s="311">
        <f t="shared" si="4"/>
        <v>168367.34693877553</v>
      </c>
      <c r="G14" s="218">
        <f t="shared" si="0"/>
        <v>74250000</v>
      </c>
      <c r="H14" s="218">
        <f t="shared" si="8"/>
        <v>247500000.00000003</v>
      </c>
      <c r="I14" s="218">
        <f t="shared" si="1"/>
        <v>99297000</v>
      </c>
      <c r="J14" s="315"/>
      <c r="K14" s="316">
        <f>+'BT 2HO'!N62</f>
        <v>45855</v>
      </c>
      <c r="L14" s="382">
        <f>+'BT 2HO'!Q62+'BT 2HO'!Q63</f>
        <v>74250000</v>
      </c>
      <c r="M14" s="315">
        <f>+'BT 2HO'!K62+'BT 2HO'!K63</f>
        <v>222453000</v>
      </c>
      <c r="N14" s="1288"/>
      <c r="O14" s="218">
        <f t="shared" si="5"/>
        <v>0</v>
      </c>
      <c r="P14" s="587"/>
      <c r="Q14" s="588"/>
      <c r="R14" s="1291"/>
      <c r="S14" s="528">
        <f t="shared" si="6"/>
        <v>0</v>
      </c>
      <c r="T14" s="316"/>
      <c r="U14" s="315"/>
      <c r="V14" s="316"/>
      <c r="W14" s="315"/>
      <c r="X14" s="321"/>
      <c r="Y14" s="315">
        <f>+'BT 2HO'!BN62+'BT 2HO'!BN63+297000</f>
        <v>25047000</v>
      </c>
      <c r="AA14" s="359" t="b">
        <f t="shared" si="2"/>
        <v>1</v>
      </c>
      <c r="AB14" s="320" t="b">
        <f t="shared" si="3"/>
        <v>1</v>
      </c>
    </row>
    <row r="15" spans="2:29">
      <c r="B15" s="1266"/>
      <c r="C15" s="215" t="str">
        <f>+'BT 2HO'!C66</f>
        <v>Mijin Precision</v>
      </c>
      <c r="D15" s="308">
        <v>450000</v>
      </c>
      <c r="E15" s="374">
        <f>+'BT 2HO'!D66</f>
        <v>127</v>
      </c>
      <c r="F15" s="311">
        <f t="shared" si="4"/>
        <v>42765.306122448987</v>
      </c>
      <c r="G15" s="218">
        <f t="shared" si="0"/>
        <v>6286500</v>
      </c>
      <c r="H15" s="218">
        <f t="shared" ref="H15:H16" si="9">+E15*450000000/1000*1.1</f>
        <v>62865000.000000007</v>
      </c>
      <c r="I15" s="218">
        <f t="shared" si="1"/>
        <v>44005500</v>
      </c>
      <c r="J15" s="315"/>
      <c r="K15" s="316"/>
      <c r="L15" s="315"/>
      <c r="M15" s="315">
        <f>+'BT 2HO'!K67+'BT 2HO'!K68</f>
        <v>18859500</v>
      </c>
      <c r="N15" s="1288"/>
      <c r="O15" s="218">
        <f t="shared" si="5"/>
        <v>6286500</v>
      </c>
      <c r="P15" s="489">
        <f>+'BT 2HO'!U67</f>
        <v>45991</v>
      </c>
      <c r="Q15" s="525">
        <f>+'BT 2HO'!X67+'BT 2HO'!X68</f>
        <v>6286500</v>
      </c>
      <c r="R15" s="1291"/>
      <c r="S15" s="528">
        <f t="shared" si="6"/>
        <v>31432500</v>
      </c>
      <c r="T15" s="316">
        <f>+'BT 2HO'!AB67</f>
        <v>46022</v>
      </c>
      <c r="U15" s="315">
        <f>+'BT 2HO'!AE67+'BT 2HO'!AE68</f>
        <v>31432500</v>
      </c>
      <c r="V15" s="316"/>
      <c r="W15" s="315"/>
      <c r="X15" s="321"/>
      <c r="Y15" s="315">
        <f>+'BT 2HO'!BN67+'BT 2HO'!BN68</f>
        <v>6286500</v>
      </c>
      <c r="AA15" s="359" t="b">
        <f t="shared" si="2"/>
        <v>1</v>
      </c>
      <c r="AB15" s="320" t="b">
        <f t="shared" si="3"/>
        <v>1</v>
      </c>
    </row>
    <row r="16" spans="2:29">
      <c r="B16" s="1266"/>
      <c r="C16" s="215" t="str">
        <f>+'BT 2HO'!C71</f>
        <v>Wolchool Metal</v>
      </c>
      <c r="D16" s="308">
        <v>450000</v>
      </c>
      <c r="E16" s="374">
        <f>+'BT 2HO'!D71</f>
        <v>161</v>
      </c>
      <c r="F16" s="311">
        <f t="shared" si="4"/>
        <v>54214.285714285717</v>
      </c>
      <c r="G16" s="218">
        <f t="shared" si="0"/>
        <v>7969500</v>
      </c>
      <c r="H16" s="218">
        <f t="shared" si="9"/>
        <v>79695000</v>
      </c>
      <c r="I16" s="218">
        <f t="shared" si="1"/>
        <v>55786500</v>
      </c>
      <c r="J16" s="315"/>
      <c r="K16" s="316"/>
      <c r="L16" s="315"/>
      <c r="M16" s="315">
        <f>+'BT 2HO'!K72+'BT 2HO'!K73</f>
        <v>23908500</v>
      </c>
      <c r="N16" s="1288"/>
      <c r="O16" s="218">
        <f t="shared" si="5"/>
        <v>7969500</v>
      </c>
      <c r="P16" s="489">
        <f>+'BT 2HO'!U72</f>
        <v>45991</v>
      </c>
      <c r="Q16" s="525">
        <f>+'BT 2HO'!X72+'BT 2HO'!X73</f>
        <v>7969500</v>
      </c>
      <c r="R16" s="1291"/>
      <c r="S16" s="528">
        <f t="shared" si="6"/>
        <v>39847500</v>
      </c>
      <c r="T16" s="316">
        <f>+'BT 2HO'!AB72</f>
        <v>46022</v>
      </c>
      <c r="U16" s="315">
        <f>+'BT 2HO'!AE72+'BT 2HO'!AE73</f>
        <v>39847500</v>
      </c>
      <c r="V16" s="316"/>
      <c r="W16" s="315"/>
      <c r="X16" s="321"/>
      <c r="Y16" s="315">
        <f>+'BT 2HO'!BN72+'BT 2HO'!BN73</f>
        <v>7969500</v>
      </c>
      <c r="AA16" s="359" t="b">
        <f t="shared" si="2"/>
        <v>1</v>
      </c>
      <c r="AB16" s="320" t="b">
        <f t="shared" si="3"/>
        <v>1</v>
      </c>
    </row>
    <row r="17" spans="2:30">
      <c r="B17" s="1266"/>
      <c r="C17" s="215" t="str">
        <f>+'BT 2HO'!C76</f>
        <v>Unitech Korea</v>
      </c>
      <c r="D17" s="308">
        <v>500000</v>
      </c>
      <c r="E17" s="374">
        <f>+'BT 2HO'!D76</f>
        <v>269</v>
      </c>
      <c r="F17" s="311">
        <f t="shared" si="4"/>
        <v>100646.25850340136</v>
      </c>
      <c r="G17" s="218">
        <f t="shared" si="0"/>
        <v>14795000</v>
      </c>
      <c r="H17" s="218">
        <f>+E17*500000000/1000*1.1</f>
        <v>147950000</v>
      </c>
      <c r="I17" s="218">
        <f t="shared" si="1"/>
        <v>103565000</v>
      </c>
      <c r="J17" s="315"/>
      <c r="K17" s="316"/>
      <c r="L17" s="315"/>
      <c r="M17" s="315">
        <f>+'BT 2HO'!K77+'BT 2HO'!K78</f>
        <v>59180000</v>
      </c>
      <c r="N17" s="1289"/>
      <c r="O17" s="218">
        <f t="shared" si="5"/>
        <v>14795000</v>
      </c>
      <c r="P17" s="489">
        <f>+'BT 2HO'!U77</f>
        <v>45991</v>
      </c>
      <c r="Q17" s="525">
        <f>+'BT 2HO'!X77+'BT 2HO'!X78</f>
        <v>14795000</v>
      </c>
      <c r="R17" s="1292"/>
      <c r="S17" s="528">
        <f t="shared" si="6"/>
        <v>73975000</v>
      </c>
      <c r="T17" s="316">
        <f>+'BT 2HO'!AB77</f>
        <v>46022</v>
      </c>
      <c r="U17" s="315">
        <f>+'BT 2HO'!AE77+'BT 2HO'!AE78</f>
        <v>73975000</v>
      </c>
      <c r="V17" s="316"/>
      <c r="W17" s="315"/>
      <c r="X17" s="321"/>
      <c r="Y17" s="315">
        <f>+'BT 2HO'!BN77+'BT 2HO'!BN78</f>
        <v>14795000</v>
      </c>
      <c r="AA17" s="359" t="b">
        <f t="shared" si="2"/>
        <v>0</v>
      </c>
      <c r="AB17" s="320" t="b">
        <f t="shared" si="3"/>
        <v>0</v>
      </c>
    </row>
    <row r="18" spans="2:30">
      <c r="B18" s="1266"/>
      <c r="C18" s="1268" t="s">
        <v>17</v>
      </c>
      <c r="D18" s="1269"/>
      <c r="E18" s="1279">
        <f>SUM(E4:E17)</f>
        <v>4375.1400000000003</v>
      </c>
      <c r="F18" s="1272">
        <f>SUM(F4:F17)</f>
        <v>1375261.1564625853</v>
      </c>
      <c r="G18" s="322"/>
      <c r="H18" s="315"/>
      <c r="I18" s="315"/>
      <c r="J18" s="322"/>
      <c r="K18" s="316"/>
      <c r="L18" s="322"/>
      <c r="M18" s="322">
        <f>M19/1470</f>
        <v>996181.20408163266</v>
      </c>
      <c r="N18" s="481">
        <f>N19/1470</f>
        <v>34.399319727891154</v>
      </c>
      <c r="O18" s="322">
        <f>O19/1470</f>
        <v>152402.38095238095</v>
      </c>
      <c r="P18" s="489"/>
      <c r="Q18" s="481">
        <f>Q19/1470</f>
        <v>152402.38095238095</v>
      </c>
      <c r="R18" s="533">
        <f>R19/1470</f>
        <v>152367.98163265307</v>
      </c>
      <c r="S18" s="529">
        <f>S19/1470</f>
        <v>216501.7006802721</v>
      </c>
      <c r="T18" s="316"/>
      <c r="U18" s="322">
        <f>U19/1470</f>
        <v>216501.7006802721</v>
      </c>
      <c r="V18" s="316"/>
      <c r="W18" s="322">
        <f>W19/1470</f>
        <v>4108.1632653061224</v>
      </c>
      <c r="X18" s="321"/>
      <c r="Y18" s="322">
        <f>Y19/1470</f>
        <v>133822.71428571429</v>
      </c>
      <c r="AA18" s="321"/>
      <c r="AB18" s="320"/>
    </row>
    <row r="19" spans="2:30">
      <c r="B19" s="1267"/>
      <c r="C19" s="1270"/>
      <c r="D19" s="1271"/>
      <c r="E19" s="1280"/>
      <c r="F19" s="1273"/>
      <c r="G19" s="235"/>
      <c r="H19" s="235"/>
      <c r="I19" s="235"/>
      <c r="J19" s="235"/>
      <c r="K19" s="296"/>
      <c r="L19" s="235"/>
      <c r="M19" s="235">
        <f>+SUM(M4:M17)</f>
        <v>1464386370</v>
      </c>
      <c r="N19" s="482">
        <f>+'SPV Balance by bank_1'!E10</f>
        <v>50567</v>
      </c>
      <c r="O19" s="235">
        <f>+SUM(O4:O17)</f>
        <v>224031500</v>
      </c>
      <c r="P19" s="490"/>
      <c r="Q19" s="482">
        <f>+SUM(Q4:Q17)</f>
        <v>224031500</v>
      </c>
      <c r="R19" s="534">
        <f>+Q19-N19</f>
        <v>223980933</v>
      </c>
      <c r="S19" s="530">
        <f>+SUM(S4:S17)</f>
        <v>318257500</v>
      </c>
      <c r="T19" s="296"/>
      <c r="U19" s="235">
        <f>+SUM(U4:U17)</f>
        <v>318257500</v>
      </c>
      <c r="V19" s="296"/>
      <c r="W19" s="235">
        <f>+SUM(W4:W17)</f>
        <v>6039000</v>
      </c>
      <c r="X19" s="236"/>
      <c r="Y19" s="235">
        <f>+SUM(Y4:Y17)</f>
        <v>196719390</v>
      </c>
      <c r="AA19" s="236"/>
      <c r="AB19" s="320"/>
      <c r="AD19" s="320"/>
    </row>
    <row r="20" spans="2:30">
      <c r="B20" s="1265" t="s">
        <v>192</v>
      </c>
      <c r="C20" s="215" t="str">
        <f>+'BT 3HO'!C11</f>
        <v>Seun Steel Gyeongju</v>
      </c>
      <c r="D20" s="306">
        <v>500000</v>
      </c>
      <c r="E20" s="230">
        <f>+'BT 3HO'!D11</f>
        <v>709.29499999999996</v>
      </c>
      <c r="F20" s="311">
        <f t="shared" ref="F20:F28" si="10">D20*E20*1.1/$AC$1</f>
        <v>265382.48299319734</v>
      </c>
      <c r="G20" s="218">
        <f t="shared" ref="G20:G27" si="11">+L20+Q20</f>
        <v>195056125</v>
      </c>
      <c r="H20" s="218">
        <f t="shared" ref="H20:H27" si="12">+E20*500000000/1000*1.1</f>
        <v>390112250.00000006</v>
      </c>
      <c r="I20" s="218">
        <f t="shared" ref="I20:I27" si="13">+J20+L20+Q20+U20+Y20+W20</f>
        <v>312089800</v>
      </c>
      <c r="J20" s="227">
        <f>+'BT 3HO'!R15</f>
        <v>78022450</v>
      </c>
      <c r="K20" s="297"/>
      <c r="L20" s="227"/>
      <c r="M20" s="227">
        <f>+'BT 3HO'!K12+'BT 3HO'!K13</f>
        <v>156044900</v>
      </c>
      <c r="N20" s="1287"/>
      <c r="O20" s="218">
        <f t="shared" ref="O20:O28" si="14">+Q20</f>
        <v>195056125</v>
      </c>
      <c r="P20" s="491">
        <f>+'BT 3HO'!AB12</f>
        <v>45991</v>
      </c>
      <c r="Q20" s="526">
        <f>+'BT 3HO'!AE12+'BT 3HO'!AE13</f>
        <v>195056125</v>
      </c>
      <c r="R20" s="1290"/>
      <c r="S20" s="528">
        <f t="shared" ref="S20:S28" si="15">+U20</f>
        <v>0</v>
      </c>
      <c r="T20" s="297"/>
      <c r="U20" s="228"/>
      <c r="V20" s="297"/>
      <c r="W20" s="225"/>
      <c r="X20" s="226"/>
      <c r="Y20" s="227">
        <f>+'BT 3HO'!BN12+'BT 3HO'!BN13</f>
        <v>39011225</v>
      </c>
      <c r="AA20" s="359" t="b">
        <f t="shared" ref="AA20:AA27" si="16">+D20*E20*1.1=(M20+O20+S20+W20+Y20)</f>
        <v>1</v>
      </c>
      <c r="AB20" s="320" t="b">
        <f t="shared" ref="AB20:AB27" si="17">+D20*E20*1.1=M20+Q20+U20+W20+Y20</f>
        <v>1</v>
      </c>
    </row>
    <row r="21" spans="2:30">
      <c r="B21" s="1266"/>
      <c r="C21" s="215" t="str">
        <f>+'BT 3HO'!C16</f>
        <v>Oneel</v>
      </c>
      <c r="D21" s="309">
        <v>500000</v>
      </c>
      <c r="E21" s="223">
        <f>+'BT 3HO'!D16</f>
        <v>522.60500000000002</v>
      </c>
      <c r="F21" s="311">
        <f t="shared" si="10"/>
        <v>195532.48299319728</v>
      </c>
      <c r="G21" s="218">
        <f t="shared" si="11"/>
        <v>57486550</v>
      </c>
      <c r="H21" s="218">
        <f t="shared" si="12"/>
        <v>287432750</v>
      </c>
      <c r="I21" s="218">
        <f t="shared" si="13"/>
        <v>143716375</v>
      </c>
      <c r="J21" s="218">
        <f>+'BT 3HO'!R20</f>
        <v>57486550</v>
      </c>
      <c r="K21" s="295">
        <f>+'BT 3HO'!U17</f>
        <v>45855</v>
      </c>
      <c r="L21" s="381">
        <f>+'BT 3HO'!Y17+'BT 3HO'!Y18</f>
        <v>57486550</v>
      </c>
      <c r="M21" s="218">
        <f>+'BT 3HO'!K17+'BT 3HO'!K18</f>
        <v>258689475</v>
      </c>
      <c r="N21" s="1288"/>
      <c r="O21" s="218">
        <f t="shared" si="14"/>
        <v>0</v>
      </c>
      <c r="P21" s="488"/>
      <c r="Q21" s="524"/>
      <c r="R21" s="1291"/>
      <c r="S21" s="528">
        <f t="shared" si="15"/>
        <v>0</v>
      </c>
      <c r="T21" s="295"/>
      <c r="U21" s="219"/>
      <c r="V21" s="295"/>
      <c r="W21" s="219"/>
      <c r="X21" s="222"/>
      <c r="Y21" s="218">
        <f>+'BT 3HO'!BN17+'BT 3HO'!BN18</f>
        <v>28743275</v>
      </c>
      <c r="AA21" s="359" t="b">
        <f t="shared" si="16"/>
        <v>1</v>
      </c>
      <c r="AB21" s="320" t="b">
        <f t="shared" si="17"/>
        <v>1</v>
      </c>
    </row>
    <row r="22" spans="2:30">
      <c r="B22" s="1266"/>
      <c r="C22" s="215" t="str">
        <f>+'BT 3HO'!C21</f>
        <v>LSG</v>
      </c>
      <c r="D22" s="309">
        <v>500000</v>
      </c>
      <c r="E22" s="223">
        <f>+'BT 3HO'!D21</f>
        <v>499.11</v>
      </c>
      <c r="F22" s="311">
        <f t="shared" si="10"/>
        <v>186741.83673469388</v>
      </c>
      <c r="G22" s="218">
        <f t="shared" si="11"/>
        <v>0</v>
      </c>
      <c r="H22" s="218">
        <f t="shared" si="12"/>
        <v>274510500</v>
      </c>
      <c r="I22" s="218">
        <f t="shared" si="13"/>
        <v>274510500</v>
      </c>
      <c r="J22" s="218">
        <f>+'BT 3HO'!Q25+'BT 3HO'!X25+'BT 3HO'!AE22+'BT 3HO'!AE23</f>
        <v>247059450</v>
      </c>
      <c r="K22" s="295"/>
      <c r="L22" s="381">
        <v>0</v>
      </c>
      <c r="M22" s="218">
        <f>+'BT 3HO'!K22+'BT 3HO'!K23</f>
        <v>247059450</v>
      </c>
      <c r="N22" s="1288"/>
      <c r="O22" s="218">
        <f t="shared" si="14"/>
        <v>0</v>
      </c>
      <c r="P22" s="488"/>
      <c r="Q22" s="524"/>
      <c r="R22" s="1291"/>
      <c r="S22" s="528">
        <f t="shared" si="15"/>
        <v>0</v>
      </c>
      <c r="T22" s="295"/>
      <c r="U22" s="219"/>
      <c r="V22" s="295"/>
      <c r="W22" s="219"/>
      <c r="X22" s="222"/>
      <c r="Y22" s="218">
        <f>+'BT 3HO'!BN22+'BT 3HO'!BN23</f>
        <v>27451050</v>
      </c>
      <c r="AA22" s="359" t="b">
        <f t="shared" si="16"/>
        <v>1</v>
      </c>
      <c r="AB22" s="320" t="b">
        <f t="shared" si="17"/>
        <v>1</v>
      </c>
    </row>
    <row r="23" spans="2:30">
      <c r="B23" s="1266"/>
      <c r="C23" s="215" t="str">
        <f>+'BT 3HO'!C26</f>
        <v>Hanseo Motors</v>
      </c>
      <c r="D23" s="309">
        <v>500000</v>
      </c>
      <c r="E23" s="223">
        <f>+'BT 3HO'!D26</f>
        <v>142.875</v>
      </c>
      <c r="F23" s="311">
        <f t="shared" si="10"/>
        <v>53456.632653061228</v>
      </c>
      <c r="G23" s="218">
        <f t="shared" si="11"/>
        <v>0</v>
      </c>
      <c r="H23" s="218">
        <f t="shared" si="12"/>
        <v>78581250</v>
      </c>
      <c r="I23" s="218">
        <f t="shared" si="13"/>
        <v>78581250</v>
      </c>
      <c r="J23" s="218">
        <f>+'BT 3HO'!Q30+'BT 3HO'!X30+'BT 3HO'!AF27+'BT 3HO'!AF28</f>
        <v>70723125</v>
      </c>
      <c r="K23" s="295"/>
      <c r="L23" s="381">
        <v>0</v>
      </c>
      <c r="M23" s="218">
        <f>+'BT 3HO'!K27+'BT 3HO'!K28</f>
        <v>70723125</v>
      </c>
      <c r="N23" s="1288"/>
      <c r="O23" s="218">
        <f t="shared" si="14"/>
        <v>0</v>
      </c>
      <c r="P23" s="488"/>
      <c r="Q23" s="524"/>
      <c r="R23" s="1291"/>
      <c r="S23" s="528">
        <f t="shared" si="15"/>
        <v>0</v>
      </c>
      <c r="T23" s="295"/>
      <c r="U23" s="219"/>
      <c r="V23" s="295"/>
      <c r="W23" s="219"/>
      <c r="X23" s="222"/>
      <c r="Y23" s="218">
        <f>+'BT 3HO'!BN27+'BT 3HO'!BN28</f>
        <v>7858125</v>
      </c>
      <c r="AA23" s="359" t="b">
        <f t="shared" si="16"/>
        <v>1</v>
      </c>
      <c r="AB23" s="320" t="b">
        <f t="shared" si="17"/>
        <v>1</v>
      </c>
    </row>
    <row r="24" spans="2:30">
      <c r="B24" s="1266"/>
      <c r="C24" s="215" t="str">
        <f>+'BT 3HO'!C31</f>
        <v>Daechon Headquarters</v>
      </c>
      <c r="D24" s="309">
        <v>500000</v>
      </c>
      <c r="E24" s="223">
        <f>+'BT 3HO'!D31</f>
        <v>897.89</v>
      </c>
      <c r="F24" s="311">
        <f t="shared" si="10"/>
        <v>335945.23809523816</v>
      </c>
      <c r="G24" s="218">
        <f t="shared" si="11"/>
        <v>0</v>
      </c>
      <c r="H24" s="218">
        <f t="shared" si="12"/>
        <v>493839500.00000006</v>
      </c>
      <c r="I24" s="218">
        <f t="shared" si="13"/>
        <v>148151850</v>
      </c>
      <c r="J24" s="218">
        <f>+'BT 3HO'!R35</f>
        <v>98767900</v>
      </c>
      <c r="K24" s="295"/>
      <c r="L24" s="383"/>
      <c r="M24" s="218">
        <f>+'BT 3HO'!K35</f>
        <v>475946480</v>
      </c>
      <c r="N24" s="1288"/>
      <c r="O24" s="218">
        <f t="shared" si="14"/>
        <v>0</v>
      </c>
      <c r="P24" s="488"/>
      <c r="Q24" s="524"/>
      <c r="R24" s="1291"/>
      <c r="S24" s="528">
        <f t="shared" si="15"/>
        <v>0</v>
      </c>
      <c r="T24" s="295"/>
      <c r="U24" s="218"/>
      <c r="V24" s="295"/>
      <c r="W24" s="218"/>
      <c r="X24" s="222"/>
      <c r="Y24" s="218">
        <f>+'BT 3HO'!BN32+'BT 3HO'!BN33</f>
        <v>49383950</v>
      </c>
      <c r="AA24" s="359" t="b">
        <f t="shared" si="16"/>
        <v>0</v>
      </c>
      <c r="AB24" s="320" t="b">
        <f t="shared" si="17"/>
        <v>0</v>
      </c>
    </row>
    <row r="25" spans="2:30">
      <c r="B25" s="1266"/>
      <c r="C25" s="215" t="str">
        <f>+'BT 3HO'!C36</f>
        <v>Changseong High Tech</v>
      </c>
      <c r="D25" s="309">
        <v>500000</v>
      </c>
      <c r="E25" s="223">
        <f>+'BT 3HO'!D36</f>
        <v>166.37</v>
      </c>
      <c r="F25" s="311">
        <f t="shared" si="10"/>
        <v>62247.278911564623</v>
      </c>
      <c r="G25" s="218">
        <f t="shared" si="11"/>
        <v>18300700</v>
      </c>
      <c r="H25" s="218">
        <f t="shared" si="12"/>
        <v>91503500</v>
      </c>
      <c r="I25" s="218">
        <f t="shared" si="13"/>
        <v>45751750</v>
      </c>
      <c r="J25" s="218">
        <f>+'BT 3HO'!R40</f>
        <v>18300700</v>
      </c>
      <c r="K25" s="295">
        <f>+'BT 3HO'!U37</f>
        <v>45855</v>
      </c>
      <c r="L25" s="381">
        <f>+'BT 3HO'!Y37+'BT 3HO'!Y38</f>
        <v>18300700</v>
      </c>
      <c r="M25" s="218">
        <f>+'BT 3HO'!K40</f>
        <v>82353150</v>
      </c>
      <c r="N25" s="1288"/>
      <c r="O25" s="218">
        <f t="shared" si="14"/>
        <v>0</v>
      </c>
      <c r="P25" s="488"/>
      <c r="Q25" s="524"/>
      <c r="R25" s="1291"/>
      <c r="S25" s="528">
        <f t="shared" si="15"/>
        <v>0</v>
      </c>
      <c r="T25" s="295"/>
      <c r="U25" s="218"/>
      <c r="V25" s="295"/>
      <c r="W25" s="218"/>
      <c r="X25" s="222"/>
      <c r="Y25" s="218">
        <f>+'BT 3HO'!BN37+'BT 3HO'!BN38</f>
        <v>9150350</v>
      </c>
      <c r="AA25" s="359" t="b">
        <f t="shared" si="16"/>
        <v>1</v>
      </c>
      <c r="AB25" s="320" t="b">
        <f t="shared" si="17"/>
        <v>1</v>
      </c>
    </row>
    <row r="26" spans="2:30">
      <c r="B26" s="1266"/>
      <c r="C26" s="215" t="str">
        <f>+'BT 3HO'!C41</f>
        <v>Daechon Busan</v>
      </c>
      <c r="D26" s="309">
        <v>500000</v>
      </c>
      <c r="E26" s="318">
        <f>+'BT 3HO'!D41</f>
        <v>1155.7</v>
      </c>
      <c r="F26" s="311">
        <f t="shared" si="10"/>
        <v>432404.76190476189</v>
      </c>
      <c r="G26" s="218">
        <f t="shared" si="11"/>
        <v>0</v>
      </c>
      <c r="H26" s="218">
        <f t="shared" si="12"/>
        <v>635635000</v>
      </c>
      <c r="I26" s="218">
        <f t="shared" si="13"/>
        <v>201866500</v>
      </c>
      <c r="J26" s="315">
        <f>+'BT 3HO'!R45</f>
        <v>138303000</v>
      </c>
      <c r="K26" s="316"/>
      <c r="L26" s="382"/>
      <c r="M26" s="315">
        <f>+'BT 3HO'!K45</f>
        <v>573171500</v>
      </c>
      <c r="N26" s="1288"/>
      <c r="O26" s="218">
        <f t="shared" si="14"/>
        <v>0</v>
      </c>
      <c r="P26" s="489"/>
      <c r="Q26" s="525"/>
      <c r="R26" s="1291"/>
      <c r="S26" s="528">
        <f t="shared" si="15"/>
        <v>0</v>
      </c>
      <c r="T26" s="316"/>
      <c r="U26" s="315"/>
      <c r="V26" s="316"/>
      <c r="W26" s="315"/>
      <c r="X26" s="318"/>
      <c r="Y26" s="315">
        <f>+'BT 3HO'!BN42+'BT 3HO'!BN43</f>
        <v>63563500</v>
      </c>
      <c r="AA26" s="359" t="b">
        <f t="shared" si="16"/>
        <v>0</v>
      </c>
      <c r="AB26" s="320" t="b">
        <f t="shared" si="17"/>
        <v>0</v>
      </c>
    </row>
    <row r="27" spans="2:30">
      <c r="B27" s="1266"/>
      <c r="C27" s="215" t="str">
        <f>+'BT 3HO'!C46</f>
        <v>E-Tech</v>
      </c>
      <c r="D27" s="309">
        <v>500000</v>
      </c>
      <c r="E27" s="318">
        <f>+'BT 3HO'!D46</f>
        <v>148.47999999999999</v>
      </c>
      <c r="F27" s="311">
        <f t="shared" si="10"/>
        <v>55553.741496598639</v>
      </c>
      <c r="G27" s="218">
        <f t="shared" si="11"/>
        <v>32665600</v>
      </c>
      <c r="H27" s="218">
        <f t="shared" si="12"/>
        <v>81664000</v>
      </c>
      <c r="I27" s="218">
        <f t="shared" si="13"/>
        <v>81664000</v>
      </c>
      <c r="J27" s="315"/>
      <c r="K27" s="316">
        <f>+'BT 3HO'!N47</f>
        <v>45855</v>
      </c>
      <c r="L27" s="382">
        <f>+'BT 3HO'!Q47+'BT 3HO'!Q48</f>
        <v>16332800</v>
      </c>
      <c r="M27" s="315">
        <f>+'BT 3HO'!K50</f>
        <v>16332800</v>
      </c>
      <c r="N27" s="1288"/>
      <c r="O27" s="218">
        <f t="shared" si="14"/>
        <v>16332800</v>
      </c>
      <c r="P27" s="489">
        <f>+'BT 3HO'!U47</f>
        <v>45991</v>
      </c>
      <c r="Q27" s="525">
        <f>+'BT 3HO'!X47+'BT 3HO'!X48</f>
        <v>16332800</v>
      </c>
      <c r="R27" s="1291"/>
      <c r="S27" s="528">
        <f t="shared" si="15"/>
        <v>40832000</v>
      </c>
      <c r="T27" s="316">
        <f>+'BT 3HO'!AB47</f>
        <v>46022</v>
      </c>
      <c r="U27" s="315">
        <f>+'BT 3HO'!AE47+'BT 3HO'!AE48</f>
        <v>40832000</v>
      </c>
      <c r="V27" s="316"/>
      <c r="W27" s="315"/>
      <c r="X27" s="318"/>
      <c r="Y27" s="315">
        <f>+'BT 3HO'!BN47+'BT 3HO'!BN48</f>
        <v>8166400</v>
      </c>
      <c r="AA27" s="359" t="b">
        <f t="shared" si="16"/>
        <v>1</v>
      </c>
      <c r="AB27" s="320" t="b">
        <f t="shared" si="17"/>
        <v>1</v>
      </c>
    </row>
    <row r="28" spans="2:30">
      <c r="B28" s="1266"/>
      <c r="C28" s="215" t="str">
        <f>+'BT 3HO'!C51</f>
        <v>Dongsung Metal</v>
      </c>
      <c r="D28" s="309">
        <v>500000</v>
      </c>
      <c r="E28" s="450">
        <f>+'BT 3HO'!D51</f>
        <v>495.81</v>
      </c>
      <c r="F28" s="311">
        <f t="shared" si="10"/>
        <v>185507.14285714287</v>
      </c>
      <c r="M28" s="315">
        <f>+'BT 3HO'!K55</f>
        <v>0</v>
      </c>
      <c r="N28" s="1288"/>
      <c r="O28" s="218">
        <f t="shared" si="14"/>
        <v>0</v>
      </c>
      <c r="P28" s="489"/>
      <c r="Q28" s="525"/>
      <c r="R28" s="1291"/>
      <c r="S28" s="528">
        <f t="shared" si="15"/>
        <v>0</v>
      </c>
      <c r="T28" s="316"/>
      <c r="U28" s="315"/>
      <c r="V28" s="316"/>
      <c r="W28" s="315"/>
      <c r="X28" s="318"/>
      <c r="Y28" s="315"/>
      <c r="AA28" s="221"/>
      <c r="AB28" s="320"/>
    </row>
    <row r="29" spans="2:30">
      <c r="B29" s="1266"/>
      <c r="C29" s="1268" t="s">
        <v>17</v>
      </c>
      <c r="D29" s="1269"/>
      <c r="E29" s="1279">
        <f>SUM(E20:E28)</f>
        <v>4738.1350000000002</v>
      </c>
      <c r="F29" s="1272">
        <f>SUM(F20:F28)</f>
        <v>1772771.5986394561</v>
      </c>
      <c r="G29" s="322"/>
      <c r="H29" s="315"/>
      <c r="I29" s="315"/>
      <c r="J29" s="322"/>
      <c r="K29" s="316"/>
      <c r="L29" s="322"/>
      <c r="M29" s="322">
        <f>M30/1470</f>
        <v>1279129.8503401361</v>
      </c>
      <c r="N29" s="481">
        <f>N30/1470</f>
        <v>293033.24945578224</v>
      </c>
      <c r="O29" s="322">
        <f>O30/1470</f>
        <v>143801.98979591837</v>
      </c>
      <c r="P29" s="489"/>
      <c r="Q29" s="481">
        <f>Q30/1470</f>
        <v>143801.98979591837</v>
      </c>
      <c r="R29" s="535"/>
      <c r="S29" s="529">
        <f>S30/1470</f>
        <v>27776.87074829932</v>
      </c>
      <c r="T29" s="316"/>
      <c r="U29" s="322">
        <f>U30/1470</f>
        <v>27776.87074829932</v>
      </c>
      <c r="V29" s="316"/>
      <c r="W29" s="322">
        <f>W30/1470</f>
        <v>0</v>
      </c>
      <c r="X29" s="318"/>
      <c r="Y29" s="322">
        <f>Y30/1470</f>
        <v>158726.4455782313</v>
      </c>
      <c r="AA29" s="318"/>
      <c r="AB29" s="320"/>
    </row>
    <row r="30" spans="2:30">
      <c r="B30" s="1267"/>
      <c r="C30" s="1270"/>
      <c r="D30" s="1271"/>
      <c r="E30" s="1280"/>
      <c r="F30" s="1273"/>
      <c r="G30" s="235"/>
      <c r="H30" s="235"/>
      <c r="I30" s="235"/>
      <c r="J30" s="235"/>
      <c r="K30" s="296"/>
      <c r="L30" s="235"/>
      <c r="M30" s="235">
        <f>+SUM(M20:M28)</f>
        <v>1880320880</v>
      </c>
      <c r="N30" s="482">
        <f>+'SPV Balance by bank_1'!E13</f>
        <v>430758876.69999993</v>
      </c>
      <c r="O30" s="235">
        <f>+SUM(O20:O28)</f>
        <v>211388925</v>
      </c>
      <c r="P30" s="490"/>
      <c r="Q30" s="482">
        <f>+SUM(Q20:Q28)</f>
        <v>211388925</v>
      </c>
      <c r="R30" s="536"/>
      <c r="S30" s="530">
        <f>+SUM(S20:S28)</f>
        <v>40832000</v>
      </c>
      <c r="T30" s="296"/>
      <c r="U30" s="235">
        <f>+SUM(U20:U28)</f>
        <v>40832000</v>
      </c>
      <c r="V30" s="296"/>
      <c r="W30" s="235">
        <f>+SUM(W20:W28)</f>
        <v>0</v>
      </c>
      <c r="X30" s="236"/>
      <c r="Y30" s="235">
        <f>+SUM(Y20:Y28)</f>
        <v>233327875</v>
      </c>
      <c r="AA30" s="236"/>
      <c r="AB30" s="320"/>
    </row>
    <row r="31" spans="2:30" ht="12.75" customHeight="1">
      <c r="B31" s="1265" t="s">
        <v>327</v>
      </c>
      <c r="C31" s="473" t="str">
        <f>+'BT 4HO'!C11</f>
        <v>Nuriplan(UnisonHKR)</v>
      </c>
      <c r="D31" s="308">
        <v>500000</v>
      </c>
      <c r="E31" s="374">
        <f>+'BT 4HO'!D11</f>
        <v>2521.92</v>
      </c>
      <c r="F31" s="311">
        <f t="shared" ref="F31:F41" si="18">D31*E31*1.1/$AC$1</f>
        <v>943575.51020408166</v>
      </c>
      <c r="G31" s="218">
        <f t="shared" ref="G31:G38" si="19">+L31+Q31</f>
        <v>0</v>
      </c>
      <c r="H31" s="218">
        <f>+E31*450000000/1000*1.1</f>
        <v>1248350400</v>
      </c>
      <c r="I31" s="218">
        <f t="shared" ref="I31:I38" si="20">+J31+L31+Q31+U31+Y31+W31</f>
        <v>1387056000</v>
      </c>
      <c r="J31" s="315"/>
      <c r="K31" s="316"/>
      <c r="L31" s="315"/>
      <c r="M31" s="315">
        <f>+J31+L31</f>
        <v>0</v>
      </c>
      <c r="N31" s="1245"/>
      <c r="O31" s="218">
        <f t="shared" ref="O31:O38" si="21">+Q31</f>
        <v>0</v>
      </c>
      <c r="P31" s="489"/>
      <c r="Q31" s="525"/>
      <c r="R31" s="1290"/>
      <c r="S31" s="528">
        <f t="shared" ref="S31:S38" si="22">+U31</f>
        <v>416116800</v>
      </c>
      <c r="T31" s="316">
        <f>+'BT 4HO'!N12</f>
        <v>46022</v>
      </c>
      <c r="U31" s="315">
        <f>+'BT 4HO'!Q12+'BT 4HO'!Q13</f>
        <v>416116800</v>
      </c>
      <c r="V31" s="316">
        <f>+'BT 4HO'!U12</f>
        <v>46053</v>
      </c>
      <c r="W31" s="315">
        <f>+'BT 4HO'!X12+'BT 4HO'!X13</f>
        <v>138705600</v>
      </c>
      <c r="X31" s="321"/>
      <c r="Y31" s="315">
        <f>+'BT 4HO'!AE12+'BT 4HO'!AE13+'BT 4HO'!BN12+'BT 4HO'!BN13</f>
        <v>832233600</v>
      </c>
      <c r="AA31" s="359" t="b">
        <f t="shared" ref="AA31:AA38" si="23">+D31*E31*1.1=(M31+O31+S31+W31+Y31)</f>
        <v>1</v>
      </c>
      <c r="AB31" s="320" t="b">
        <f t="shared" ref="AB31:AB38" si="24">+D31*E31*1.1=M31+Q31+U31+W31+Y31</f>
        <v>1</v>
      </c>
    </row>
    <row r="32" spans="2:30">
      <c r="B32" s="1266"/>
      <c r="C32" s="473" t="str">
        <f>+'BT 4HO'!C16</f>
        <v>MKENG</v>
      </c>
      <c r="D32" s="308">
        <v>500000</v>
      </c>
      <c r="E32" s="374">
        <f>+'BT 4HO'!D16</f>
        <v>435.23</v>
      </c>
      <c r="F32" s="311">
        <f t="shared" si="18"/>
        <v>162841.15646258506</v>
      </c>
      <c r="G32" s="218">
        <f t="shared" si="19"/>
        <v>0</v>
      </c>
      <c r="H32" s="218">
        <f>+E32*450000000/1000*1.1</f>
        <v>215438850.00000003</v>
      </c>
      <c r="I32" s="218">
        <f t="shared" si="20"/>
        <v>239376500</v>
      </c>
      <c r="J32" s="315"/>
      <c r="K32" s="316"/>
      <c r="L32" s="315"/>
      <c r="M32" s="315">
        <f>+J32+L32</f>
        <v>0</v>
      </c>
      <c r="N32" s="1246"/>
      <c r="O32" s="218">
        <f t="shared" si="21"/>
        <v>0</v>
      </c>
      <c r="P32" s="489"/>
      <c r="Q32" s="525"/>
      <c r="R32" s="1291"/>
      <c r="S32" s="528">
        <f t="shared" si="22"/>
        <v>71812950</v>
      </c>
      <c r="T32" s="316">
        <f>+'BT 4HO'!N17</f>
        <v>46022</v>
      </c>
      <c r="U32" s="315">
        <f>+'BT 4HO'!Q17+'BT 4HO'!Q18</f>
        <v>71812950</v>
      </c>
      <c r="V32" s="316">
        <f>+'BT 4HO'!U17</f>
        <v>46053</v>
      </c>
      <c r="W32" s="315">
        <f>+'BT 4HO'!X17+'BT 4HO'!X18</f>
        <v>23937650</v>
      </c>
      <c r="X32" s="321"/>
      <c r="Y32" s="315">
        <f>+'BT 4HO'!AE17+'BT 4HO'!AE18+'BT 4HO'!BN17+'BT 4HO'!BN18</f>
        <v>143625900</v>
      </c>
      <c r="AA32" s="359" t="b">
        <f t="shared" si="23"/>
        <v>1</v>
      </c>
      <c r="AB32" s="320" t="b">
        <f t="shared" si="24"/>
        <v>1</v>
      </c>
    </row>
    <row r="33" spans="2:29">
      <c r="B33" s="1266"/>
      <c r="C33" s="473" t="str">
        <f>+'BT 4HO'!C21</f>
        <v>Sangmyung Enfra</v>
      </c>
      <c r="D33" s="308">
        <v>500000</v>
      </c>
      <c r="E33" s="374">
        <f>+'BT 4HO'!D21</f>
        <v>383.4</v>
      </c>
      <c r="F33" s="311">
        <f t="shared" si="18"/>
        <v>143448.97959183675</v>
      </c>
      <c r="G33" s="218">
        <f t="shared" si="19"/>
        <v>0</v>
      </c>
      <c r="H33" s="218">
        <f>+E33*450000000/1000*1.1</f>
        <v>189783000.00000003</v>
      </c>
      <c r="I33" s="218">
        <f t="shared" si="20"/>
        <v>210870000</v>
      </c>
      <c r="J33" s="315"/>
      <c r="K33" s="316"/>
      <c r="L33" s="315"/>
      <c r="M33" s="315">
        <f>+J33+L33</f>
        <v>0</v>
      </c>
      <c r="N33" s="1246"/>
      <c r="O33" s="218">
        <f t="shared" si="21"/>
        <v>0</v>
      </c>
      <c r="P33" s="489"/>
      <c r="Q33" s="525"/>
      <c r="R33" s="1291"/>
      <c r="S33" s="528">
        <f t="shared" si="22"/>
        <v>63261000</v>
      </c>
      <c r="T33" s="316">
        <f>+'BT 4HO'!N22</f>
        <v>46022</v>
      </c>
      <c r="U33" s="315">
        <f>+'BT 4HO'!Q22+'BT 4HO'!Q23</f>
        <v>63261000</v>
      </c>
      <c r="V33" s="316">
        <f>+'BT 4HO'!U22</f>
        <v>46053</v>
      </c>
      <c r="W33" s="315">
        <f>+'BT 4HO'!X22+'BT 4HO'!X23</f>
        <v>21087000</v>
      </c>
      <c r="X33" s="321"/>
      <c r="Y33" s="315">
        <f>+'BT 4HO'!AE22+'BT 4HO'!AE23+'BT 4HO'!BN22+'BT 4HO'!BN23</f>
        <v>126522000</v>
      </c>
      <c r="AA33" s="359" t="b">
        <f t="shared" si="23"/>
        <v>1</v>
      </c>
      <c r="AB33" s="320" t="b">
        <f t="shared" si="24"/>
        <v>1</v>
      </c>
    </row>
    <row r="34" spans="2:29">
      <c r="B34" s="1266"/>
      <c r="C34" s="473" t="str">
        <f>+'BT 4HO'!C26</f>
        <v>Woori One</v>
      </c>
      <c r="D34" s="309">
        <v>500000</v>
      </c>
      <c r="E34" s="374">
        <f>+'BT 4HO'!D26</f>
        <v>221</v>
      </c>
      <c r="F34" s="311">
        <f t="shared" si="18"/>
        <v>82687.074829931982</v>
      </c>
      <c r="G34" s="218">
        <f t="shared" si="19"/>
        <v>0</v>
      </c>
      <c r="H34" s="218">
        <f>+E34*500000000/1000*1.1</f>
        <v>121550000.00000001</v>
      </c>
      <c r="I34" s="218">
        <f t="shared" si="20"/>
        <v>121550000</v>
      </c>
      <c r="J34" s="315"/>
      <c r="K34" s="316"/>
      <c r="L34" s="315"/>
      <c r="M34" s="315">
        <f t="shared" ref="M34:M38" si="25">+J34+L34</f>
        <v>0</v>
      </c>
      <c r="N34" s="1246"/>
      <c r="O34" s="218">
        <f t="shared" si="21"/>
        <v>0</v>
      </c>
      <c r="P34" s="489"/>
      <c r="Q34" s="525"/>
      <c r="R34" s="1291"/>
      <c r="S34" s="528">
        <f t="shared" si="22"/>
        <v>36465000</v>
      </c>
      <c r="T34" s="316">
        <f>+'BT 4HO'!N27</f>
        <v>46022</v>
      </c>
      <c r="U34" s="315">
        <f>+'BT 4HO'!Q27+'BT 4HO'!Q28</f>
        <v>36465000</v>
      </c>
      <c r="V34" s="316">
        <f>+'BT 4HO'!U27</f>
        <v>46053</v>
      </c>
      <c r="W34" s="315">
        <f>+'BT 4HO'!X27+'BT 4HO'!X28</f>
        <v>12155000</v>
      </c>
      <c r="X34" s="321"/>
      <c r="Y34" s="315">
        <f>+'BT 4HO'!AE27+'BT 4HO'!AE28+'BT 4HO'!BN27+'BT 4HO'!BN28</f>
        <v>72930000</v>
      </c>
      <c r="AA34" s="359" t="b">
        <f t="shared" si="23"/>
        <v>1</v>
      </c>
      <c r="AB34" s="320" t="b">
        <f t="shared" si="24"/>
        <v>1</v>
      </c>
    </row>
    <row r="35" spans="2:29">
      <c r="B35" s="1266"/>
      <c r="C35" s="473" t="str">
        <f>+'BT 4HO'!C31</f>
        <v>Eurowinspia</v>
      </c>
      <c r="D35" s="309">
        <v>500000</v>
      </c>
      <c r="E35" s="374">
        <f>+'BT 4HO'!D31</f>
        <v>1207</v>
      </c>
      <c r="F35" s="311">
        <f t="shared" si="18"/>
        <v>451598.63945578231</v>
      </c>
      <c r="G35" s="218">
        <f t="shared" si="19"/>
        <v>0</v>
      </c>
      <c r="H35" s="218">
        <f t="shared" ref="H35:H38" si="26">+E35*500000000/1000*1.1</f>
        <v>663850000</v>
      </c>
      <c r="I35" s="218">
        <f t="shared" si="20"/>
        <v>663850000</v>
      </c>
      <c r="J35" s="315"/>
      <c r="K35" s="316"/>
      <c r="L35" s="315"/>
      <c r="M35" s="315">
        <f t="shared" si="25"/>
        <v>0</v>
      </c>
      <c r="N35" s="1246"/>
      <c r="O35" s="218">
        <f t="shared" si="21"/>
        <v>0</v>
      </c>
      <c r="P35" s="489"/>
      <c r="Q35" s="525"/>
      <c r="R35" s="1291"/>
      <c r="S35" s="528">
        <f t="shared" si="22"/>
        <v>199155000</v>
      </c>
      <c r="T35" s="316">
        <f>+'BT 4HO'!N32</f>
        <v>46022</v>
      </c>
      <c r="U35" s="315">
        <f>+'BT 4HO'!Q32+'BT 4HO'!Q33</f>
        <v>199155000</v>
      </c>
      <c r="V35" s="316">
        <f>+'BT 4HO'!U32</f>
        <v>46053</v>
      </c>
      <c r="W35" s="315">
        <f>+'BT 4HO'!X32+'BT 4HO'!X33</f>
        <v>66385000</v>
      </c>
      <c r="X35" s="321"/>
      <c r="Y35" s="315">
        <f>+'BT 4HO'!AE32+'BT 4HO'!AE33+'BT 4HO'!BN32+'BT 4HO'!BN33</f>
        <v>398310000</v>
      </c>
      <c r="AA35" s="359" t="b">
        <f t="shared" si="23"/>
        <v>1</v>
      </c>
      <c r="AB35" s="320" t="b">
        <f t="shared" si="24"/>
        <v>1</v>
      </c>
    </row>
    <row r="36" spans="2:29">
      <c r="B36" s="1266"/>
      <c r="C36" s="473" t="str">
        <f>+'BT 4HO'!C36</f>
        <v>RMK</v>
      </c>
      <c r="D36" s="309">
        <v>500000</v>
      </c>
      <c r="E36" s="374">
        <f>+'BT 4HO'!D36</f>
        <v>991</v>
      </c>
      <c r="F36" s="311">
        <f t="shared" si="18"/>
        <v>370782.31292517006</v>
      </c>
      <c r="G36" s="218">
        <f t="shared" si="19"/>
        <v>163515000</v>
      </c>
      <c r="H36" s="218">
        <f t="shared" si="26"/>
        <v>545050000</v>
      </c>
      <c r="I36" s="218">
        <f t="shared" si="20"/>
        <v>545050000</v>
      </c>
      <c r="J36" s="315"/>
      <c r="K36" s="316"/>
      <c r="L36" s="315"/>
      <c r="M36" s="315">
        <f t="shared" si="25"/>
        <v>0</v>
      </c>
      <c r="N36" s="1246"/>
      <c r="O36" s="218">
        <f t="shared" si="21"/>
        <v>163515000</v>
      </c>
      <c r="P36" s="489">
        <f>+'BT 4HO'!N37</f>
        <v>45991</v>
      </c>
      <c r="Q36" s="525">
        <f>+'BT 4HO'!Q37+'BT 4HO'!Q38</f>
        <v>163515000</v>
      </c>
      <c r="R36" s="1291"/>
      <c r="S36" s="528">
        <f t="shared" si="22"/>
        <v>54505000</v>
      </c>
      <c r="T36" s="316">
        <f>+'BT 4HO'!U37</f>
        <v>46022</v>
      </c>
      <c r="U36" s="315">
        <f>+'BT 4HO'!X37+'BT 4HO'!X38</f>
        <v>54505000</v>
      </c>
      <c r="V36" s="316">
        <f>+'BT 4HO'!AB37</f>
        <v>46053</v>
      </c>
      <c r="W36" s="315">
        <f>+'BT 4HO'!AE37+'BT 4HO'!AE38</f>
        <v>272525000</v>
      </c>
      <c r="X36" s="321"/>
      <c r="Y36" s="315">
        <f>+'BT 4HO'!BN37+'BT 4HO'!BN38</f>
        <v>54505000</v>
      </c>
      <c r="AA36" s="359" t="b">
        <f t="shared" si="23"/>
        <v>1</v>
      </c>
      <c r="AB36" s="320" t="b">
        <f t="shared" si="24"/>
        <v>1</v>
      </c>
      <c r="AC36" s="574"/>
    </row>
    <row r="37" spans="2:29">
      <c r="B37" s="1266"/>
      <c r="C37" s="473" t="str">
        <f>+'BT 4HO'!C41</f>
        <v>Samwon PNP</v>
      </c>
      <c r="D37" s="309">
        <v>500000</v>
      </c>
      <c r="E37" s="374">
        <f>+'BT 4HO'!D41</f>
        <v>461</v>
      </c>
      <c r="F37" s="311">
        <f t="shared" si="18"/>
        <v>172482.99319727893</v>
      </c>
      <c r="G37" s="218">
        <f t="shared" si="19"/>
        <v>0</v>
      </c>
      <c r="H37" s="218">
        <f t="shared" si="26"/>
        <v>253550000.00000003</v>
      </c>
      <c r="I37" s="218">
        <f t="shared" si="20"/>
        <v>253550000</v>
      </c>
      <c r="J37" s="315"/>
      <c r="K37" s="316"/>
      <c r="L37" s="315"/>
      <c r="M37" s="315">
        <f t="shared" si="25"/>
        <v>0</v>
      </c>
      <c r="N37" s="1246"/>
      <c r="O37" s="218">
        <f t="shared" si="21"/>
        <v>0</v>
      </c>
      <c r="P37" s="489"/>
      <c r="Q37" s="525"/>
      <c r="R37" s="1291"/>
      <c r="S37" s="528">
        <f t="shared" si="22"/>
        <v>76065000</v>
      </c>
      <c r="T37" s="316">
        <f>+'BT 4HO'!N42</f>
        <v>46022</v>
      </c>
      <c r="U37" s="315">
        <f>+'BT 4HO'!Q42+'BT 4HO'!Q43</f>
        <v>76065000</v>
      </c>
      <c r="V37" s="316">
        <f>+'BT 4HO'!U42</f>
        <v>46053</v>
      </c>
      <c r="W37" s="315">
        <f>+'BT 4HO'!X42+'BT 4HO'!X43</f>
        <v>25355000</v>
      </c>
      <c r="X37" s="321"/>
      <c r="Y37" s="315">
        <f>+'BT 4HO'!AE42+'BT 4HO'!AE43+'BT 4HO'!BN42+'BT 4HO'!BN43</f>
        <v>152130000</v>
      </c>
      <c r="AA37" s="359" t="b">
        <f t="shared" si="23"/>
        <v>1</v>
      </c>
      <c r="AB37" s="320" t="b">
        <f t="shared" si="24"/>
        <v>1</v>
      </c>
    </row>
    <row r="38" spans="2:29">
      <c r="B38" s="1266"/>
      <c r="C38" s="215" t="str">
        <f>+'BT 4HO'!C46</f>
        <v>Daesung Fruit Industry</v>
      </c>
      <c r="D38" s="309">
        <v>500000</v>
      </c>
      <c r="E38" s="374">
        <f>+'BT 4HO'!D46</f>
        <v>315</v>
      </c>
      <c r="F38" s="311">
        <f t="shared" si="18"/>
        <v>117857.14285714286</v>
      </c>
      <c r="G38" s="218">
        <f t="shared" si="19"/>
        <v>51975000</v>
      </c>
      <c r="H38" s="218">
        <f t="shared" si="26"/>
        <v>173250000</v>
      </c>
      <c r="I38" s="218">
        <f t="shared" si="20"/>
        <v>173250000</v>
      </c>
      <c r="J38" s="315"/>
      <c r="K38" s="316"/>
      <c r="L38" s="315"/>
      <c r="M38" s="315">
        <f t="shared" si="25"/>
        <v>0</v>
      </c>
      <c r="N38" s="1246"/>
      <c r="O38" s="218">
        <f t="shared" si="21"/>
        <v>51975000</v>
      </c>
      <c r="P38" s="489">
        <f>+'BT 4HO'!N47</f>
        <v>45991</v>
      </c>
      <c r="Q38" s="525">
        <f>+'BT 4HO'!Q47+'BT 4HO'!Q48</f>
        <v>51975000</v>
      </c>
      <c r="R38" s="1291"/>
      <c r="S38" s="528">
        <f t="shared" si="22"/>
        <v>17325000</v>
      </c>
      <c r="T38" s="316">
        <f>+'BT 4HO'!U47</f>
        <v>46022</v>
      </c>
      <c r="U38" s="315">
        <f>+'BT 4HO'!X47+'BT 4HO'!X48</f>
        <v>17325000</v>
      </c>
      <c r="V38" s="316">
        <f>+'BT 4HO'!AB47</f>
        <v>46053</v>
      </c>
      <c r="W38" s="315">
        <f>+'BT 4HO'!AE47+'BT 4HO'!AE48</f>
        <v>86625000</v>
      </c>
      <c r="X38" s="321"/>
      <c r="Y38" s="315">
        <f>+'BT 4HO'!BN47+'BT 4HO'!BN48</f>
        <v>17325000</v>
      </c>
      <c r="AA38" s="359" t="b">
        <f t="shared" si="23"/>
        <v>1</v>
      </c>
      <c r="AB38" s="320" t="b">
        <f t="shared" si="24"/>
        <v>1</v>
      </c>
    </row>
    <row r="39" spans="2:29">
      <c r="B39" s="1266"/>
      <c r="C39" s="473" t="str">
        <f>+'BT 4HO'!C51</f>
        <v>Ilsan Metal</v>
      </c>
      <c r="D39" s="309">
        <v>500000</v>
      </c>
      <c r="E39" s="374">
        <f>+'BT 4HO'!D51</f>
        <v>156</v>
      </c>
      <c r="F39" s="311">
        <f t="shared" si="18"/>
        <v>58367.34693877551</v>
      </c>
      <c r="G39" s="218">
        <f t="shared" ref="G39:G41" si="27">+L39+Q39</f>
        <v>25740000</v>
      </c>
      <c r="H39" s="218">
        <f t="shared" ref="H39:H41" si="28">+E39*500000000/1000*1.1</f>
        <v>85800000</v>
      </c>
      <c r="I39" s="218">
        <f t="shared" ref="I39:I41" si="29">+J39+L39+Q39+U39+Y39+W39</f>
        <v>85800000</v>
      </c>
      <c r="J39" s="315"/>
      <c r="K39" s="316"/>
      <c r="L39" s="315"/>
      <c r="M39" s="315">
        <f t="shared" ref="M39:M41" si="30">+J39+L39</f>
        <v>0</v>
      </c>
      <c r="N39" s="1246"/>
      <c r="O39" s="218">
        <f t="shared" ref="O39:O41" si="31">+Q39</f>
        <v>25740000</v>
      </c>
      <c r="P39" s="489">
        <f>+'BT 4HO'!N52</f>
        <v>45991</v>
      </c>
      <c r="Q39" s="525">
        <f>+'BT 4HO'!Q52+'BT 4HO'!Q53</f>
        <v>25740000</v>
      </c>
      <c r="R39" s="1291"/>
      <c r="S39" s="528">
        <f t="shared" ref="S39:S41" si="32">+U39</f>
        <v>8580000</v>
      </c>
      <c r="T39" s="316">
        <f>+'BT 4HO'!U52</f>
        <v>46022</v>
      </c>
      <c r="U39" s="315">
        <f>+'BT 4HO'!X52+'BT 4HO'!X53</f>
        <v>8580000</v>
      </c>
      <c r="V39" s="316">
        <f>+'BT 4HO'!AB52</f>
        <v>46053</v>
      </c>
      <c r="W39" s="315">
        <f>+'BT 4HO'!AE52+'BT 4HO'!AE53</f>
        <v>42900000</v>
      </c>
      <c r="X39" s="321"/>
      <c r="Y39" s="315">
        <f>+'BT 4HO'!BN52+'BT 4HO'!BN53</f>
        <v>8580000</v>
      </c>
      <c r="AA39" s="359" t="b">
        <f t="shared" ref="AA39:AA41" si="33">+D39*E39*1.1=(M39+O39+S39+W39+Y39)</f>
        <v>1</v>
      </c>
      <c r="AB39" s="320" t="b">
        <f t="shared" ref="AB39:AB41" si="34">+D39*E39*1.1=M39+Q39+U39+W39+Y39</f>
        <v>1</v>
      </c>
    </row>
    <row r="40" spans="2:29">
      <c r="B40" s="1266"/>
      <c r="C40" s="473" t="str">
        <f>+'BT 4HO'!C56</f>
        <v>Ilshin Industry(HQ)</v>
      </c>
      <c r="D40" s="309">
        <v>500000</v>
      </c>
      <c r="E40" s="374">
        <f>+'BT 4HO'!D56</f>
        <v>1000</v>
      </c>
      <c r="F40" s="311">
        <f t="shared" si="18"/>
        <v>374149.65986394556</v>
      </c>
      <c r="G40" s="218">
        <f t="shared" si="27"/>
        <v>165000000</v>
      </c>
      <c r="H40" s="218">
        <f t="shared" si="28"/>
        <v>550000000</v>
      </c>
      <c r="I40" s="218">
        <f t="shared" si="29"/>
        <v>550000000</v>
      </c>
      <c r="J40" s="315"/>
      <c r="K40" s="316"/>
      <c r="L40" s="315"/>
      <c r="M40" s="315">
        <f t="shared" si="30"/>
        <v>0</v>
      </c>
      <c r="N40" s="1246"/>
      <c r="O40" s="218">
        <f t="shared" si="31"/>
        <v>165000000</v>
      </c>
      <c r="P40" s="489">
        <f>+'BT 4HO'!N57</f>
        <v>45991</v>
      </c>
      <c r="Q40" s="525">
        <f>+'BT 4HO'!Q57+'BT 4HO'!Q58</f>
        <v>165000000</v>
      </c>
      <c r="R40" s="1291"/>
      <c r="S40" s="528">
        <f t="shared" si="32"/>
        <v>55000000</v>
      </c>
      <c r="T40" s="316">
        <f>+'BT 4HO'!U57</f>
        <v>46022</v>
      </c>
      <c r="U40" s="315">
        <f>+'BT 4HO'!X57+'BT 4HO'!X58</f>
        <v>55000000</v>
      </c>
      <c r="V40" s="316">
        <f>+'BT 4HO'!AB57</f>
        <v>46053</v>
      </c>
      <c r="W40" s="315">
        <f>+'BT 4HO'!AE57+'BT 4HO'!AE58</f>
        <v>275000000</v>
      </c>
      <c r="X40" s="321"/>
      <c r="Y40" s="315">
        <f>+'BT 4HO'!BN57+'BT 4HO'!BN58</f>
        <v>55000000</v>
      </c>
      <c r="AA40" s="359" t="b">
        <f t="shared" si="33"/>
        <v>1</v>
      </c>
      <c r="AB40" s="320" t="b">
        <f t="shared" si="34"/>
        <v>1</v>
      </c>
    </row>
    <row r="41" spans="2:29">
      <c r="B41" s="1266"/>
      <c r="C41" s="473" t="str">
        <f>+'BT 4HO'!C61</f>
        <v>Ilshin Industry(Branch)</v>
      </c>
      <c r="D41" s="309">
        <v>500000</v>
      </c>
      <c r="E41" s="374">
        <f>+'BT 4HO'!D61</f>
        <v>200</v>
      </c>
      <c r="F41" s="311">
        <f t="shared" si="18"/>
        <v>74829.931972789127</v>
      </c>
      <c r="G41" s="218">
        <f t="shared" si="27"/>
        <v>33000000</v>
      </c>
      <c r="H41" s="218">
        <f t="shared" si="28"/>
        <v>110000000.00000001</v>
      </c>
      <c r="I41" s="218">
        <f t="shared" si="29"/>
        <v>110000000</v>
      </c>
      <c r="J41" s="315"/>
      <c r="K41" s="316"/>
      <c r="L41" s="315"/>
      <c r="M41" s="315">
        <f t="shared" si="30"/>
        <v>0</v>
      </c>
      <c r="N41" s="1247"/>
      <c r="O41" s="218">
        <f t="shared" si="31"/>
        <v>33000000</v>
      </c>
      <c r="P41" s="489">
        <f>+'BT 4HO'!N62</f>
        <v>45991</v>
      </c>
      <c r="Q41" s="525">
        <f>+'BT 4HO'!Q62+'BT 4HO'!Q63</f>
        <v>33000000</v>
      </c>
      <c r="R41" s="1292"/>
      <c r="S41" s="528">
        <f t="shared" si="32"/>
        <v>11000000</v>
      </c>
      <c r="T41" s="316">
        <f>+'BT 4HO'!U62</f>
        <v>46022</v>
      </c>
      <c r="U41" s="315">
        <f>+'BT 4HO'!X62+'BT 4HO'!X63</f>
        <v>11000000</v>
      </c>
      <c r="V41" s="316">
        <f>+'BT 4HO'!AB62</f>
        <v>46053</v>
      </c>
      <c r="W41" s="315">
        <f>+'BT 4HO'!AE62+'BT 4HO'!AE63</f>
        <v>55000000</v>
      </c>
      <c r="X41" s="321"/>
      <c r="Y41" s="315">
        <f>+'BT 4HO'!BN62+'BT 4HO'!BN63</f>
        <v>11000000</v>
      </c>
      <c r="AA41" s="359" t="b">
        <f t="shared" si="33"/>
        <v>1</v>
      </c>
      <c r="AB41" s="320" t="b">
        <f t="shared" si="34"/>
        <v>1</v>
      </c>
    </row>
    <row r="42" spans="2:29">
      <c r="B42" s="1266"/>
      <c r="C42" s="1268" t="s">
        <v>17</v>
      </c>
      <c r="D42" s="1269"/>
      <c r="E42" s="1279">
        <f>SUM(E31:E38)</f>
        <v>6535.55</v>
      </c>
      <c r="F42" s="1272">
        <f>SUM(F31:F38)</f>
        <v>2445273.8095238097</v>
      </c>
      <c r="G42" s="322"/>
      <c r="H42" s="315"/>
      <c r="I42" s="315"/>
      <c r="J42" s="322"/>
      <c r="K42" s="316"/>
      <c r="L42" s="322"/>
      <c r="M42" s="322">
        <f>M43/1470</f>
        <v>0</v>
      </c>
      <c r="N42" s="481">
        <f>N43/1470</f>
        <v>414.35374149659862</v>
      </c>
      <c r="O42" s="322">
        <f>O43/1470</f>
        <v>298795.91836734692</v>
      </c>
      <c r="P42" s="489"/>
      <c r="Q42" s="481">
        <f>Q43/1470</f>
        <v>298795.91836734692</v>
      </c>
      <c r="R42" s="533">
        <f>R43/1470</f>
        <v>298381.56462585035</v>
      </c>
      <c r="S42" s="529">
        <f>S43/1470</f>
        <v>686588.94557823124</v>
      </c>
      <c r="T42" s="316"/>
      <c r="U42" s="322">
        <f>U43/1470</f>
        <v>686588.94557823124</v>
      </c>
      <c r="V42" s="316"/>
      <c r="W42" s="322">
        <f>W43/1470</f>
        <v>693656.63265306118</v>
      </c>
      <c r="X42" s="318"/>
      <c r="Y42" s="322">
        <f>Y43/1470</f>
        <v>1273579.2517006802</v>
      </c>
      <c r="AA42" s="318"/>
      <c r="AB42" s="320"/>
    </row>
    <row r="43" spans="2:29">
      <c r="B43" s="1267"/>
      <c r="C43" s="1270"/>
      <c r="D43" s="1271"/>
      <c r="E43" s="1280"/>
      <c r="F43" s="1273"/>
      <c r="G43" s="235"/>
      <c r="H43" s="235"/>
      <c r="I43" s="235"/>
      <c r="J43" s="235"/>
      <c r="K43" s="296"/>
      <c r="L43" s="235"/>
      <c r="M43" s="235">
        <f>+SUM(M31:M38)</f>
        <v>0</v>
      </c>
      <c r="N43" s="482">
        <f>+'SPV Balance by bank_1'!E16</f>
        <v>609100</v>
      </c>
      <c r="O43" s="235">
        <f>+SUM(O31:O41)</f>
        <v>439230000</v>
      </c>
      <c r="P43" s="490"/>
      <c r="Q43" s="235">
        <f>+SUM(Q31:Q41)</f>
        <v>439230000</v>
      </c>
      <c r="R43" s="534">
        <f>+O43-N43</f>
        <v>438620900</v>
      </c>
      <c r="S43" s="235">
        <f>+SUM(S31:S41)</f>
        <v>1009285750</v>
      </c>
      <c r="T43" s="296"/>
      <c r="U43" s="235">
        <f>+SUM(U31:U41)</f>
        <v>1009285750</v>
      </c>
      <c r="V43" s="296"/>
      <c r="W43" s="235">
        <f>+SUM(W31:W41)</f>
        <v>1019675250</v>
      </c>
      <c r="X43" s="236"/>
      <c r="Y43" s="235">
        <f>+SUM(Y31:Y41)</f>
        <v>1872161500</v>
      </c>
      <c r="AA43" s="236"/>
      <c r="AB43" s="320"/>
    </row>
    <row r="44" spans="2:29" ht="12.75" customHeight="1">
      <c r="B44" s="1265" t="s">
        <v>193</v>
      </c>
      <c r="C44" s="215" t="str">
        <f>+'BT 6HO'!C11</f>
        <v>Esun</v>
      </c>
      <c r="D44" s="306">
        <v>500000</v>
      </c>
      <c r="E44" s="223">
        <f>+'BT 6HO'!D11</f>
        <v>150</v>
      </c>
      <c r="F44" s="311">
        <f t="shared" ref="F44:F52" si="35">D44*E44*1.1/$AC$1</f>
        <v>56122.448979591834</v>
      </c>
      <c r="G44" s="218">
        <f t="shared" ref="G44:G52" si="36">+L44+Q44</f>
        <v>0</v>
      </c>
      <c r="H44" s="218">
        <f>+E44*500000000/1000*1.1</f>
        <v>82500000</v>
      </c>
      <c r="I44" s="218">
        <f t="shared" ref="I44:I52" si="37">+J44+L44+Q44+U44+Y44+W44</f>
        <v>82500000</v>
      </c>
      <c r="J44" s="220">
        <f>+'BT 6HO'!R15</f>
        <v>16500000</v>
      </c>
      <c r="K44" s="295"/>
      <c r="L44" s="220"/>
      <c r="M44" s="220">
        <f>+'BT 6HO'!R12+'BT 6HO'!R13</f>
        <v>16500000</v>
      </c>
      <c r="N44" s="1293"/>
      <c r="O44" s="218">
        <f t="shared" ref="O44:O52" si="38">+Q44</f>
        <v>0</v>
      </c>
      <c r="P44" s="488"/>
      <c r="Q44" s="523"/>
      <c r="R44" s="1295"/>
      <c r="S44" s="528">
        <f t="shared" ref="S44:S52" si="39">+U44</f>
        <v>16500000</v>
      </c>
      <c r="T44" s="316">
        <f>+'BT 6HO'!U12</f>
        <v>46022</v>
      </c>
      <c r="U44" s="220">
        <f>+'BT 6HO'!X12+'BT 6HO'!X13</f>
        <v>16500000</v>
      </c>
      <c r="V44" s="295">
        <f>+'BT 6HO'!AB12</f>
        <v>46053</v>
      </c>
      <c r="W44" s="218">
        <f>+'BT 6HO'!AE12+'BT 6HO'!AE13</f>
        <v>41250000</v>
      </c>
      <c r="X44" s="222"/>
      <c r="Y44" s="218">
        <f>+'BT 6HO'!BN12+'BT 6HO'!BN13</f>
        <v>8250000</v>
      </c>
      <c r="AA44" s="359" t="b">
        <f t="shared" ref="AA44:AA52" si="40">+D44*E44*1.1=(M44+O44+S44+W44+Y44)</f>
        <v>1</v>
      </c>
      <c r="AB44" s="320" t="b">
        <f>+D44*E44*1.1=M44+Q44+U44+W44+Y44</f>
        <v>1</v>
      </c>
    </row>
    <row r="45" spans="2:29" ht="12.75" customHeight="1">
      <c r="B45" s="1266"/>
      <c r="C45" s="215" t="str">
        <f>+'BT 6HO'!C16</f>
        <v>Sejin SMC</v>
      </c>
      <c r="D45" s="306">
        <v>500000</v>
      </c>
      <c r="E45" s="374">
        <f>+'BT 6HO'!D16</f>
        <v>144.15</v>
      </c>
      <c r="F45" s="311">
        <f t="shared" si="35"/>
        <v>53933.673469387752</v>
      </c>
      <c r="G45" s="218">
        <f t="shared" si="36"/>
        <v>0</v>
      </c>
      <c r="H45" s="218">
        <f t="shared" ref="H45:H46" si="41">+E45*500000000/1000*1.1</f>
        <v>79282500</v>
      </c>
      <c r="I45" s="218">
        <f t="shared" si="37"/>
        <v>0</v>
      </c>
      <c r="J45" s="220">
        <f>+'BT 6HO'!R16</f>
        <v>0</v>
      </c>
      <c r="K45" s="295"/>
      <c r="L45" s="220"/>
      <c r="M45" s="451">
        <f>+'BT 6HO'!R20</f>
        <v>15856500</v>
      </c>
      <c r="N45" s="1294"/>
      <c r="O45" s="218">
        <f t="shared" si="38"/>
        <v>0</v>
      </c>
      <c r="P45" s="489"/>
      <c r="Q45" s="527"/>
      <c r="R45" s="1296"/>
      <c r="S45" s="528">
        <f t="shared" si="39"/>
        <v>0</v>
      </c>
      <c r="T45" s="316"/>
      <c r="U45" s="317"/>
      <c r="V45" s="316"/>
      <c r="W45" s="315"/>
      <c r="X45" s="318"/>
      <c r="Y45" s="315"/>
      <c r="AA45" s="359"/>
      <c r="AB45" s="320"/>
    </row>
    <row r="46" spans="2:29" ht="12.75" customHeight="1">
      <c r="B46" s="1266"/>
      <c r="C46" s="215" t="str">
        <f>+'BT 6HO'!C21</f>
        <v>Seoyong</v>
      </c>
      <c r="D46" s="306">
        <v>500000</v>
      </c>
      <c r="E46" s="374">
        <f>+'BT 6HO'!D21</f>
        <v>138.43</v>
      </c>
      <c r="F46" s="311">
        <f t="shared" si="35"/>
        <v>51793.537414965984</v>
      </c>
      <c r="G46" s="218">
        <f t="shared" si="36"/>
        <v>0</v>
      </c>
      <c r="H46" s="218">
        <f t="shared" si="41"/>
        <v>76136500</v>
      </c>
      <c r="I46" s="218">
        <f t="shared" si="37"/>
        <v>9513900</v>
      </c>
      <c r="J46" s="220">
        <f>+'BT 6HO'!R17</f>
        <v>9513900</v>
      </c>
      <c r="K46" s="295"/>
      <c r="L46" s="220"/>
      <c r="M46" s="451">
        <f>+'BT 6HO'!R25</f>
        <v>15227300</v>
      </c>
      <c r="N46" s="1294"/>
      <c r="O46" s="218">
        <f t="shared" si="38"/>
        <v>0</v>
      </c>
      <c r="P46" s="489"/>
      <c r="Q46" s="527"/>
      <c r="R46" s="1296"/>
      <c r="S46" s="528">
        <f t="shared" si="39"/>
        <v>0</v>
      </c>
      <c r="T46" s="316"/>
      <c r="U46" s="317"/>
      <c r="V46" s="316"/>
      <c r="W46" s="315"/>
      <c r="X46" s="318"/>
      <c r="Y46" s="315"/>
      <c r="AA46" s="359"/>
      <c r="AB46" s="320"/>
    </row>
    <row r="47" spans="2:29" ht="12.75" customHeight="1">
      <c r="B47" s="1266"/>
      <c r="C47" s="215" t="str">
        <f>+'BT 6HO'!C26</f>
        <v>Cosmo chemical</v>
      </c>
      <c r="D47" s="309">
        <v>500000</v>
      </c>
      <c r="E47" s="223">
        <f>+'BT 6HO'!D26</f>
        <v>2444.8000000000002</v>
      </c>
      <c r="F47" s="311">
        <f t="shared" si="35"/>
        <v>914721.0884353742</v>
      </c>
      <c r="G47" s="218">
        <f t="shared" si="36"/>
        <v>403392000</v>
      </c>
      <c r="H47" s="218">
        <f t="shared" ref="H47:H52" si="42">+E47*500000000/1000*1.1</f>
        <v>1344640000</v>
      </c>
      <c r="I47" s="218">
        <f t="shared" si="37"/>
        <v>1344640000</v>
      </c>
      <c r="J47" s="218"/>
      <c r="K47" s="295"/>
      <c r="L47" s="381"/>
      <c r="M47" s="218">
        <f t="shared" ref="M47:M52" si="43">+J47+L47</f>
        <v>0</v>
      </c>
      <c r="N47" s="1294"/>
      <c r="O47" s="218">
        <f>+Q47</f>
        <v>403392000</v>
      </c>
      <c r="P47" s="489">
        <f>+'BT 6HO'!N27</f>
        <v>45991</v>
      </c>
      <c r="Q47" s="523">
        <f>+'BT 6HO'!Q27+'BT 6HO'!Q28</f>
        <v>403392000</v>
      </c>
      <c r="R47" s="1296"/>
      <c r="S47" s="528">
        <f t="shared" si="39"/>
        <v>134464000</v>
      </c>
      <c r="T47" s="295">
        <f>+'BT 6HO'!U27</f>
        <v>46022</v>
      </c>
      <c r="U47" s="218">
        <f>+'BT 6HO'!X27+'BT 6HO'!X28</f>
        <v>134464000</v>
      </c>
      <c r="V47" s="295">
        <f>+'BT 6HO'!AB27</f>
        <v>46053</v>
      </c>
      <c r="W47" s="218">
        <f>+'BT 6HO'!AE27+'BT 6HO'!AE28</f>
        <v>672320000</v>
      </c>
      <c r="X47" s="222"/>
      <c r="Y47" s="218">
        <f>+'BT 6HO'!BN27+'BT 6HO'!BN28</f>
        <v>134464000</v>
      </c>
      <c r="AA47" s="359" t="b">
        <f t="shared" si="40"/>
        <v>1</v>
      </c>
      <c r="AB47" s="320" t="b">
        <f t="shared" ref="AB47:AB52" si="44">+D47*E47*1.1=M47+Q47+U47+W47+Y47</f>
        <v>1</v>
      </c>
    </row>
    <row r="48" spans="2:29" ht="12.75" customHeight="1">
      <c r="B48" s="1266"/>
      <c r="C48" s="215" t="str">
        <f>+'BT 6HO'!C31</f>
        <v>SEAh ESAB 1</v>
      </c>
      <c r="D48" s="309">
        <v>500000</v>
      </c>
      <c r="E48" s="318">
        <f>+'BT 6HO'!D31</f>
        <v>304.16500000000002</v>
      </c>
      <c r="F48" s="311">
        <f t="shared" si="35"/>
        <v>113803.23129251701</v>
      </c>
      <c r="G48" s="218">
        <f t="shared" si="36"/>
        <v>0</v>
      </c>
      <c r="H48" s="218">
        <f t="shared" si="42"/>
        <v>167290750</v>
      </c>
      <c r="I48" s="218">
        <f t="shared" si="37"/>
        <v>167290750</v>
      </c>
      <c r="J48" s="315"/>
      <c r="K48" s="316"/>
      <c r="L48" s="382"/>
      <c r="M48" s="315">
        <f t="shared" si="43"/>
        <v>0</v>
      </c>
      <c r="N48" s="1294"/>
      <c r="O48" s="218">
        <f t="shared" si="38"/>
        <v>0</v>
      </c>
      <c r="P48" s="489"/>
      <c r="Q48" s="527"/>
      <c r="R48" s="1296"/>
      <c r="S48" s="528">
        <f t="shared" si="39"/>
        <v>33458150</v>
      </c>
      <c r="T48" s="316">
        <f>+'BT 6HO'!N32</f>
        <v>46022</v>
      </c>
      <c r="U48" s="315">
        <f>+'BT 6HO'!Q32+'BT 6HO'!Q33</f>
        <v>33458150</v>
      </c>
      <c r="V48" s="316">
        <f>+'BT 6HO'!U32</f>
        <v>46053</v>
      </c>
      <c r="W48" s="315">
        <f>+'BT 6HO'!X32+'BT 6HO'!X33</f>
        <v>33458150</v>
      </c>
      <c r="X48" s="318"/>
      <c r="Y48" s="315">
        <f>+'BT 6HO'!AE32+'BT 6HO'!AE33+'BT 6HO'!BN32+'BT 6HO'!BN33</f>
        <v>100374450</v>
      </c>
      <c r="AA48" s="359" t="b">
        <f t="shared" si="40"/>
        <v>1</v>
      </c>
      <c r="AB48" s="320" t="b">
        <f t="shared" si="44"/>
        <v>1</v>
      </c>
    </row>
    <row r="49" spans="2:28" ht="12.75" customHeight="1">
      <c r="B49" s="1266"/>
      <c r="C49" s="215" t="str">
        <f>+'BT 6HO'!C36</f>
        <v>SEAh ESAB 2</v>
      </c>
      <c r="D49" s="309">
        <v>500000</v>
      </c>
      <c r="E49" s="318">
        <f>+'BT 6HO'!D36</f>
        <v>605.15499999999997</v>
      </c>
      <c r="F49" s="311">
        <f t="shared" si="35"/>
        <v>226418.53741496598</v>
      </c>
      <c r="G49" s="218">
        <f t="shared" si="36"/>
        <v>0</v>
      </c>
      <c r="H49" s="218">
        <f t="shared" si="42"/>
        <v>332835250</v>
      </c>
      <c r="I49" s="218">
        <f t="shared" si="37"/>
        <v>332835250</v>
      </c>
      <c r="J49" s="315"/>
      <c r="K49" s="316"/>
      <c r="L49" s="382"/>
      <c r="M49" s="315">
        <f t="shared" si="43"/>
        <v>0</v>
      </c>
      <c r="N49" s="1294"/>
      <c r="O49" s="218">
        <f t="shared" si="38"/>
        <v>0</v>
      </c>
      <c r="P49" s="489"/>
      <c r="Q49" s="527"/>
      <c r="R49" s="1296"/>
      <c r="S49" s="528">
        <f t="shared" si="39"/>
        <v>66567050</v>
      </c>
      <c r="T49" s="316">
        <f>+'BT 6HO'!N37</f>
        <v>46022</v>
      </c>
      <c r="U49" s="315">
        <f>+'BT 6HO'!Q37+'BT 6HO'!Q38</f>
        <v>66567050</v>
      </c>
      <c r="V49" s="316">
        <f>+'BT 6HO'!U37</f>
        <v>46053</v>
      </c>
      <c r="W49" s="315">
        <f>+'BT 6HO'!X37+'BT 6HO'!X38</f>
        <v>66567050</v>
      </c>
      <c r="X49" s="318"/>
      <c r="Y49" s="315">
        <f>+'BT 6HO'!AE37+'BT 6HO'!AE38+'BT 6HO'!BN37+'BT 6HO'!BN38</f>
        <v>199701150</v>
      </c>
      <c r="AA49" s="359" t="b">
        <f t="shared" si="40"/>
        <v>1</v>
      </c>
      <c r="AB49" s="320" t="b">
        <f t="shared" si="44"/>
        <v>1</v>
      </c>
    </row>
    <row r="50" spans="2:28" ht="12.75" customHeight="1">
      <c r="B50" s="1266"/>
      <c r="C50" s="215" t="str">
        <f>+'BT 6HO'!C41</f>
        <v>Kuma Pipe</v>
      </c>
      <c r="D50" s="309">
        <v>500000</v>
      </c>
      <c r="E50" s="318">
        <f>+'BT 6HO'!D41</f>
        <v>651.51</v>
      </c>
      <c r="F50" s="311">
        <f t="shared" si="35"/>
        <v>243762.24489795917</v>
      </c>
      <c r="G50" s="218">
        <f t="shared" si="36"/>
        <v>0</v>
      </c>
      <c r="H50" s="218">
        <f t="shared" si="42"/>
        <v>358330500</v>
      </c>
      <c r="I50" s="218">
        <f t="shared" si="37"/>
        <v>358330500</v>
      </c>
      <c r="J50" s="315"/>
      <c r="K50" s="316"/>
      <c r="L50" s="382"/>
      <c r="M50" s="315">
        <f t="shared" si="43"/>
        <v>0</v>
      </c>
      <c r="N50" s="1294"/>
      <c r="O50" s="218">
        <f t="shared" si="38"/>
        <v>0</v>
      </c>
      <c r="P50" s="489"/>
      <c r="Q50" s="527"/>
      <c r="R50" s="1296"/>
      <c r="S50" s="528">
        <f t="shared" si="39"/>
        <v>71666100</v>
      </c>
      <c r="T50" s="316">
        <f>+'BT 6HO'!N42</f>
        <v>46022</v>
      </c>
      <c r="U50" s="315">
        <f>+'BT 6HO'!Q42+'BT 6HO'!Q43</f>
        <v>71666100</v>
      </c>
      <c r="V50" s="316">
        <f>+'BT 6HO'!U42</f>
        <v>46053</v>
      </c>
      <c r="W50" s="315">
        <f>+'BT 6HO'!X42+'BT 6HO'!X43</f>
        <v>71666100</v>
      </c>
      <c r="X50" s="318"/>
      <c r="Y50" s="315">
        <f>+'BT 6HO'!AE42+'BT 6HO'!AE43+'BT 6HO'!BN42+'BT 6HO'!BN43</f>
        <v>214998300</v>
      </c>
      <c r="AA50" s="359" t="b">
        <f t="shared" si="40"/>
        <v>1</v>
      </c>
      <c r="AB50" s="320" t="b">
        <f t="shared" si="44"/>
        <v>1</v>
      </c>
    </row>
    <row r="51" spans="2:28" ht="12.75" customHeight="1">
      <c r="B51" s="1266"/>
      <c r="C51" s="215" t="str">
        <f>+'BT 6HO'!C46</f>
        <v>Shinsung Logistics &amp; Development</v>
      </c>
      <c r="D51" s="309">
        <v>500000</v>
      </c>
      <c r="E51" s="318">
        <f>+'BT 6HO'!D46</f>
        <v>999.68</v>
      </c>
      <c r="F51" s="311">
        <f t="shared" si="35"/>
        <v>374029.93197278911</v>
      </c>
      <c r="G51" s="218">
        <f t="shared" si="36"/>
        <v>0</v>
      </c>
      <c r="H51" s="218">
        <f t="shared" si="42"/>
        <v>549824000</v>
      </c>
      <c r="I51" s="218">
        <f t="shared" si="37"/>
        <v>549824000</v>
      </c>
      <c r="J51" s="315"/>
      <c r="K51" s="316"/>
      <c r="L51" s="315"/>
      <c r="M51" s="315">
        <f t="shared" si="43"/>
        <v>0</v>
      </c>
      <c r="N51" s="1294"/>
      <c r="O51" s="218">
        <f t="shared" si="38"/>
        <v>0</v>
      </c>
      <c r="P51" s="489"/>
      <c r="Q51" s="525"/>
      <c r="R51" s="1296"/>
      <c r="S51" s="528">
        <f t="shared" si="39"/>
        <v>109964800</v>
      </c>
      <c r="T51" s="316">
        <f>+'BT 6HO'!N47</f>
        <v>46022</v>
      </c>
      <c r="U51" s="315">
        <f>+'BT 6HO'!Q47+'BT 6HO'!Q48</f>
        <v>109964800</v>
      </c>
      <c r="V51" s="316">
        <f>+'BT 6HO'!U47</f>
        <v>46053</v>
      </c>
      <c r="W51" s="315">
        <f>+'BT 6HO'!Z47+'BT 6HO'!Z48</f>
        <v>109964800</v>
      </c>
      <c r="X51" s="318"/>
      <c r="Y51" s="315">
        <f>+'BT 6HO'!AE47+'BT 6HO'!AE48+'BT 6HO'!BN47+'BT 6HO'!BN48</f>
        <v>329894400</v>
      </c>
      <c r="AA51" s="359" t="b">
        <f t="shared" si="40"/>
        <v>1</v>
      </c>
      <c r="AB51" s="320" t="b">
        <f t="shared" si="44"/>
        <v>1</v>
      </c>
    </row>
    <row r="52" spans="2:28" ht="12.75" customHeight="1">
      <c r="B52" s="1266"/>
      <c r="C52" s="215" t="str">
        <f>+'BT 6HO'!C51</f>
        <v>Youngpoong Paper</v>
      </c>
      <c r="D52" s="309">
        <v>500000</v>
      </c>
      <c r="E52" s="223">
        <f>+'BT 6HO'!D51</f>
        <v>2508.8000000000002</v>
      </c>
      <c r="F52" s="311">
        <f t="shared" si="35"/>
        <v>938666.66666666663</v>
      </c>
      <c r="G52" s="218">
        <f t="shared" si="36"/>
        <v>0</v>
      </c>
      <c r="H52" s="218">
        <f t="shared" si="42"/>
        <v>1379840000</v>
      </c>
      <c r="I52" s="218">
        <f t="shared" si="37"/>
        <v>1379840000</v>
      </c>
      <c r="J52" s="315"/>
      <c r="K52" s="316"/>
      <c r="L52" s="315"/>
      <c r="M52" s="315">
        <f t="shared" si="43"/>
        <v>0</v>
      </c>
      <c r="N52" s="1294"/>
      <c r="O52" s="218">
        <f t="shared" si="38"/>
        <v>0</v>
      </c>
      <c r="P52" s="489"/>
      <c r="Q52" s="525"/>
      <c r="R52" s="1296"/>
      <c r="S52" s="528">
        <f t="shared" si="39"/>
        <v>275968000</v>
      </c>
      <c r="T52" s="316">
        <f>+'BT 6HO'!N52</f>
        <v>46022</v>
      </c>
      <c r="U52" s="315">
        <f>+'BT 6HO'!Q52+'BT 6HO'!Q53</f>
        <v>275968000</v>
      </c>
      <c r="V52" s="316">
        <f>+'BT 6HO'!U52</f>
        <v>46053</v>
      </c>
      <c r="W52" s="315">
        <f>+'BT 6HO'!X52+'BT 6HO'!X53</f>
        <v>275968000</v>
      </c>
      <c r="X52" s="318"/>
      <c r="Y52" s="315">
        <f>+'BT 6HO'!AE52+'BT 6HO'!AE53+'BT 6HO'!BN52+'BT 6HO'!BN53</f>
        <v>827904000</v>
      </c>
      <c r="AA52" s="359" t="b">
        <f t="shared" si="40"/>
        <v>1</v>
      </c>
      <c r="AB52" s="320" t="b">
        <f t="shared" si="44"/>
        <v>1</v>
      </c>
    </row>
    <row r="53" spans="2:28">
      <c r="B53" s="1266"/>
      <c r="C53" s="1268" t="s">
        <v>17</v>
      </c>
      <c r="D53" s="1269"/>
      <c r="E53" s="1279">
        <f>+SUM(E44:E52)</f>
        <v>7946.6900000000005</v>
      </c>
      <c r="F53" s="1272">
        <f>+SUM(F44:F52)</f>
        <v>2973251.3605442173</v>
      </c>
      <c r="G53" s="322">
        <f>G54/1470</f>
        <v>0</v>
      </c>
      <c r="H53" s="315"/>
      <c r="I53" s="315"/>
      <c r="J53" s="322">
        <f>J54/1470</f>
        <v>11224.489795918367</v>
      </c>
      <c r="K53" s="316"/>
      <c r="L53" s="322">
        <f>L54/1470</f>
        <v>0</v>
      </c>
      <c r="M53" s="322">
        <f>M54/1470</f>
        <v>32369.931972789116</v>
      </c>
      <c r="N53" s="481">
        <f>N54/1470</f>
        <v>34856.061904761904</v>
      </c>
      <c r="O53" s="322">
        <f>O54/1470</f>
        <v>274416.32653061225</v>
      </c>
      <c r="P53" s="489"/>
      <c r="Q53" s="481">
        <f>Q54/1470</f>
        <v>274416.32653061225</v>
      </c>
      <c r="R53" s="533"/>
      <c r="S53" s="529">
        <f>S54/1470</f>
        <v>482032.72108843538</v>
      </c>
      <c r="T53" s="316"/>
      <c r="U53" s="322">
        <f>U54/1470</f>
        <v>482032.72108843538</v>
      </c>
      <c r="V53" s="316"/>
      <c r="W53" s="322">
        <f>W54/1470</f>
        <v>864757.8911564626</v>
      </c>
      <c r="X53" s="318"/>
      <c r="Y53" s="322">
        <f>Y54/1470</f>
        <v>1235092.7210884353</v>
      </c>
      <c r="AA53" s="318"/>
      <c r="AB53" s="320"/>
    </row>
    <row r="54" spans="2:28">
      <c r="B54" s="1266"/>
      <c r="C54" s="1270"/>
      <c r="D54" s="1271"/>
      <c r="E54" s="1280"/>
      <c r="F54" s="1273"/>
      <c r="G54" s="235">
        <f>+SUM(G44)</f>
        <v>0</v>
      </c>
      <c r="H54" s="235">
        <f>+SUM(H44)</f>
        <v>82500000</v>
      </c>
      <c r="I54" s="235">
        <f>+SUM(I44)</f>
        <v>82500000</v>
      </c>
      <c r="J54" s="235">
        <f>+SUM(J44)</f>
        <v>16500000</v>
      </c>
      <c r="K54" s="296"/>
      <c r="L54" s="235">
        <f>+SUM(L44)</f>
        <v>0</v>
      </c>
      <c r="M54" s="235">
        <f>+SUM(M44:M52)</f>
        <v>47583800</v>
      </c>
      <c r="N54" s="482">
        <f>+'SPV Balance by bank_1'!E22</f>
        <v>51238411</v>
      </c>
      <c r="O54" s="235">
        <f>+SUM(O44:O52)</f>
        <v>403392000</v>
      </c>
      <c r="P54" s="490"/>
      <c r="Q54" s="482">
        <f>+SUM(Q44:Q52)</f>
        <v>403392000</v>
      </c>
      <c r="R54" s="534"/>
      <c r="S54" s="530">
        <f>+SUM(S44:S52)</f>
        <v>708588100</v>
      </c>
      <c r="T54" s="296"/>
      <c r="U54" s="235">
        <f>+SUM(U44:U52)</f>
        <v>708588100</v>
      </c>
      <c r="V54" s="296"/>
      <c r="W54" s="235">
        <f>+SUM(W44:W52)</f>
        <v>1271194100</v>
      </c>
      <c r="X54" s="236"/>
      <c r="Y54" s="235">
        <f>+SUM(Y44:Y52)</f>
        <v>1815586300</v>
      </c>
      <c r="AA54" s="236" t="b">
        <f>+H54=I54</f>
        <v>1</v>
      </c>
      <c r="AB54" s="320"/>
    </row>
    <row r="55" spans="2:28" ht="12.75" customHeight="1">
      <c r="B55" s="1265" t="s">
        <v>194</v>
      </c>
      <c r="C55" s="215" t="str">
        <f>+'BT 7HO'!C11</f>
        <v>Eco Inshutech</v>
      </c>
      <c r="D55" s="306">
        <v>500000</v>
      </c>
      <c r="E55" s="224">
        <f>+'BT 7HO'!D11</f>
        <v>225.78</v>
      </c>
      <c r="F55" s="311">
        <f t="shared" ref="F55:F62" si="45">D55*E55*1.1/$AC$1</f>
        <v>84475.510204081642</v>
      </c>
      <c r="G55" s="218">
        <f>+L55+Q55</f>
        <v>0</v>
      </c>
      <c r="H55" s="218">
        <f t="shared" ref="H55:H58" si="46">+E55*500000000/1000*1.1</f>
        <v>124179000.00000001</v>
      </c>
      <c r="I55" s="218">
        <f>+J55+L55+Q55+U55+Y55+W55</f>
        <v>170421900</v>
      </c>
      <c r="J55" s="218">
        <f>+'BT 7HO'!R15+'BT 7HO'!Y15+'BT 7HO'!AF15</f>
        <v>158004000</v>
      </c>
      <c r="K55" s="295"/>
      <c r="L55" s="218"/>
      <c r="M55" s="218">
        <f>+'BT 7HO'!K12+'BT 7HO'!K13</f>
        <v>158004000</v>
      </c>
      <c r="N55" s="1287"/>
      <c r="O55" s="218">
        <f t="shared" ref="O55:O62" si="47">+Q55</f>
        <v>0</v>
      </c>
      <c r="P55" s="488"/>
      <c r="Q55" s="524"/>
      <c r="R55" s="1290"/>
      <c r="S55" s="528">
        <f t="shared" ref="S55:S62" si="48">+U55</f>
        <v>0</v>
      </c>
      <c r="T55" s="295"/>
      <c r="U55" s="219"/>
      <c r="V55" s="295"/>
      <c r="W55" s="219"/>
      <c r="X55" s="222"/>
      <c r="Y55" s="218">
        <f>+'BT 7HO'!BN12+'BT 7HO'!BN13</f>
        <v>12417900</v>
      </c>
      <c r="AA55" s="359" t="b">
        <f t="shared" ref="AA55:AA62" si="49">+D55*E55*1.1=(M55+O55+S55+W55+Y55)</f>
        <v>0</v>
      </c>
      <c r="AB55" s="320" t="b">
        <f t="shared" ref="AB55:AB62" si="50">+D55*E55*1.1=M55+Q55+U55+W55+Y55</f>
        <v>0</v>
      </c>
    </row>
    <row r="56" spans="2:28">
      <c r="B56" s="1266"/>
      <c r="C56" s="215" t="str">
        <f>+'BT 7HO'!C16</f>
        <v>Younggwang Industry</v>
      </c>
      <c r="D56" s="309">
        <v>500000</v>
      </c>
      <c r="E56" s="224">
        <f>+'BT 7HO'!D16</f>
        <v>545.46</v>
      </c>
      <c r="F56" s="311">
        <f t="shared" si="45"/>
        <v>204083.67346938775</v>
      </c>
      <c r="G56" s="218">
        <f>+L56+Q56</f>
        <v>150001500</v>
      </c>
      <c r="H56" s="218">
        <f t="shared" si="46"/>
        <v>300003000.00000012</v>
      </c>
      <c r="I56" s="218">
        <f>+J56+L56+Q56+U56+Y56+W56</f>
        <v>319880900</v>
      </c>
      <c r="J56" s="218">
        <f>+'BT 7HO'!R20+'BT 7HO'!Y20</f>
        <v>139879100</v>
      </c>
      <c r="K56" s="295"/>
      <c r="L56" s="218"/>
      <c r="M56" s="218">
        <f>+'BT 7HO'!K17+'BT 7HO'!K18</f>
        <v>120001200</v>
      </c>
      <c r="N56" s="1288"/>
      <c r="O56" s="218">
        <f>+Q56</f>
        <v>150001500</v>
      </c>
      <c r="P56" s="488">
        <f>+'BT 7HO'!AB17</f>
        <v>45991</v>
      </c>
      <c r="Q56" s="524">
        <f>+'BT 7HO'!AE17+'BT 7HO'!AE18</f>
        <v>150001500</v>
      </c>
      <c r="R56" s="1291"/>
      <c r="S56" s="528">
        <f t="shared" si="48"/>
        <v>0</v>
      </c>
      <c r="T56" s="295"/>
      <c r="U56" s="219"/>
      <c r="V56" s="295"/>
      <c r="W56" s="219"/>
      <c r="X56" s="222"/>
      <c r="Y56" s="218">
        <f>+'BT 7HO'!BN17+'BT 7HO'!BN18</f>
        <v>30000300</v>
      </c>
      <c r="AA56" s="359" t="b">
        <f t="shared" si="49"/>
        <v>1</v>
      </c>
      <c r="AB56" s="320" t="b">
        <f t="shared" si="50"/>
        <v>1</v>
      </c>
    </row>
    <row r="57" spans="2:28">
      <c r="B57" s="1266"/>
      <c r="C57" s="215" t="str">
        <f>+'BT 7HO'!C21</f>
        <v>BNB Composite(Drop)</v>
      </c>
      <c r="D57" s="309">
        <v>500000</v>
      </c>
      <c r="E57" s="224">
        <f>+'BT 7HO'!D21</f>
        <v>207.36</v>
      </c>
      <c r="F57" s="311">
        <f t="shared" si="45"/>
        <v>77583.673469387766</v>
      </c>
      <c r="G57" s="218">
        <f>+L57+Q57</f>
        <v>26822400</v>
      </c>
      <c r="H57" s="218">
        <f t="shared" si="46"/>
        <v>114048000.00000001</v>
      </c>
      <c r="I57" s="218">
        <f>+J57+L57+Q57+U57+Y57+W57</f>
        <v>65049600</v>
      </c>
      <c r="J57" s="218">
        <f>+'BT 7HO'!R25</f>
        <v>26822400</v>
      </c>
      <c r="K57" s="295">
        <f>+'BT 7HO'!U22</f>
        <v>45855</v>
      </c>
      <c r="L57" s="381">
        <f>+'BT 7HO'!Y22+'BT 7HO'!Y23</f>
        <v>26822400</v>
      </c>
      <c r="M57" s="218">
        <f>+'BT 7HO'!K25</f>
        <v>102643200</v>
      </c>
      <c r="N57" s="1288"/>
      <c r="O57" s="218">
        <f t="shared" si="47"/>
        <v>0</v>
      </c>
      <c r="P57" s="488"/>
      <c r="Q57" s="524"/>
      <c r="R57" s="1291"/>
      <c r="S57" s="528">
        <f t="shared" si="48"/>
        <v>0</v>
      </c>
      <c r="T57" s="295"/>
      <c r="U57" s="218"/>
      <c r="V57" s="295"/>
      <c r="W57" s="219"/>
      <c r="X57" s="222"/>
      <c r="Y57" s="218">
        <f>+'BT 7HO'!BN22+'BT 7HO'!BN23</f>
        <v>11404800.000000002</v>
      </c>
      <c r="AA57" s="359" t="b">
        <f t="shared" si="49"/>
        <v>1</v>
      </c>
      <c r="AB57" s="320" t="b">
        <f t="shared" si="50"/>
        <v>1</v>
      </c>
    </row>
    <row r="58" spans="2:28">
      <c r="B58" s="1266"/>
      <c r="C58" s="215" t="str">
        <f>+'BT 7HO'!C26</f>
        <v>MPM Trade</v>
      </c>
      <c r="D58" s="309">
        <v>500000</v>
      </c>
      <c r="E58" s="224">
        <f>+'BT 7HO'!D26</f>
        <v>210.82</v>
      </c>
      <c r="F58" s="311">
        <f t="shared" si="45"/>
        <v>78878.231292517012</v>
      </c>
      <c r="G58" s="218">
        <f>+L58+Q58</f>
        <v>0</v>
      </c>
      <c r="H58" s="218">
        <f t="shared" si="46"/>
        <v>115951000.00000001</v>
      </c>
      <c r="I58" s="218">
        <f>+J58+L58+Q58+U58+Y58+W58</f>
        <v>57975500</v>
      </c>
      <c r="J58" s="218">
        <f>+'BT 7HO'!R30+'BT 7HO'!Y30</f>
        <v>46380400</v>
      </c>
      <c r="K58" s="295"/>
      <c r="L58" s="218"/>
      <c r="M58" s="218">
        <f>+'BT 7HO'!K30</f>
        <v>104355900</v>
      </c>
      <c r="N58" s="1288"/>
      <c r="O58" s="218">
        <f>+Q58</f>
        <v>0</v>
      </c>
      <c r="P58" s="488"/>
      <c r="Q58" s="524"/>
      <c r="R58" s="1291"/>
      <c r="S58" s="528">
        <f t="shared" si="48"/>
        <v>0</v>
      </c>
      <c r="T58" s="295"/>
      <c r="U58" s="219"/>
      <c r="V58" s="295"/>
      <c r="W58" s="219"/>
      <c r="X58" s="222"/>
      <c r="Y58" s="218">
        <f>+'BT 7HO'!BN27+'BT 7HO'!BN28</f>
        <v>11595100</v>
      </c>
      <c r="AA58" s="359" t="b">
        <f t="shared" si="49"/>
        <v>1</v>
      </c>
      <c r="AB58" s="320" t="b">
        <f t="shared" si="50"/>
        <v>1</v>
      </c>
    </row>
    <row r="59" spans="2:28">
      <c r="B59" s="1266"/>
      <c r="C59" s="215" t="str">
        <f>+'BT 7HO'!C31</f>
        <v>Ajin P&amp;S</v>
      </c>
      <c r="D59" s="309">
        <v>500000</v>
      </c>
      <c r="E59" s="224">
        <f>+'BT 7HO'!D31</f>
        <v>151.13</v>
      </c>
      <c r="F59" s="311">
        <f t="shared" si="45"/>
        <v>56545.238095238092</v>
      </c>
      <c r="G59" s="218"/>
      <c r="H59" s="218"/>
      <c r="I59" s="218"/>
      <c r="J59" s="218"/>
      <c r="K59" s="295"/>
      <c r="L59" s="218"/>
      <c r="M59" s="218">
        <f>+'BT 7HO'!Y35+'BT 7HO'!R35+'BT 7HO'!AF35</f>
        <v>74809350</v>
      </c>
      <c r="N59" s="1288"/>
      <c r="O59" s="218">
        <f t="shared" si="47"/>
        <v>0</v>
      </c>
      <c r="P59" s="489"/>
      <c r="Q59" s="525"/>
      <c r="R59" s="1291"/>
      <c r="S59" s="528">
        <f>+U59</f>
        <v>0</v>
      </c>
      <c r="T59" s="316"/>
      <c r="U59" s="323"/>
      <c r="V59" s="316"/>
      <c r="W59" s="323"/>
      <c r="X59" s="318"/>
      <c r="Y59" s="315">
        <f>+'BT 7HO'!BN32+'BT 7HO'!BN33</f>
        <v>8312150</v>
      </c>
      <c r="AA59" s="359" t="b">
        <f t="shared" si="49"/>
        <v>1</v>
      </c>
      <c r="AB59" s="320" t="b">
        <f t="shared" si="50"/>
        <v>1</v>
      </c>
    </row>
    <row r="60" spans="2:28">
      <c r="B60" s="1266"/>
      <c r="C60" s="215" t="str">
        <f>+'BT 7HO'!C36</f>
        <v>Myunghyun Tech 1</v>
      </c>
      <c r="D60" s="309">
        <v>500000</v>
      </c>
      <c r="E60" s="224">
        <f>+'BT 7HO'!D36</f>
        <v>71.680000000000007</v>
      </c>
      <c r="F60" s="311">
        <f t="shared" si="45"/>
        <v>26819.047619047618</v>
      </c>
      <c r="G60" s="218"/>
      <c r="H60" s="218"/>
      <c r="I60" s="218"/>
      <c r="J60" s="218"/>
      <c r="K60" s="295"/>
      <c r="L60" s="218"/>
      <c r="M60" s="218">
        <f>+'BT 7HO'!R40+'BT 7HO'!Y40+'BT 7HO'!AF40</f>
        <v>15848800.000000002</v>
      </c>
      <c r="N60" s="1288"/>
      <c r="O60" s="218">
        <f t="shared" si="47"/>
        <v>0</v>
      </c>
      <c r="P60" s="489"/>
      <c r="Q60" s="525"/>
      <c r="R60" s="1291"/>
      <c r="S60" s="528">
        <f t="shared" si="48"/>
        <v>19712000.000000004</v>
      </c>
      <c r="T60" s="316">
        <f>+'BT 7HO'!AB37</f>
        <v>46022</v>
      </c>
      <c r="U60" s="315">
        <f>+'BT 7HO'!AE37+'BT 7HO'!AE38</f>
        <v>19712000.000000004</v>
      </c>
      <c r="V60" s="316"/>
      <c r="W60" s="323"/>
      <c r="X60" s="318"/>
      <c r="Y60" s="315">
        <f>+'BT 7HO'!BN37+'BT 7HO'!BN38-79200</f>
        <v>3863200.0000000009</v>
      </c>
      <c r="AA60" s="359" t="b">
        <f t="shared" si="49"/>
        <v>1</v>
      </c>
      <c r="AB60" s="320" t="b">
        <f t="shared" si="50"/>
        <v>1</v>
      </c>
    </row>
    <row r="61" spans="2:28">
      <c r="B61" s="1266"/>
      <c r="C61" s="215" t="str">
        <f>+'BT 7HO'!C41</f>
        <v>Myunghyun Tech 2</v>
      </c>
      <c r="D61" s="309">
        <v>500000</v>
      </c>
      <c r="E61" s="224">
        <f>+'BT 7HO'!D41</f>
        <v>38.4</v>
      </c>
      <c r="F61" s="311">
        <f t="shared" si="45"/>
        <v>14367.34693877551</v>
      </c>
      <c r="G61" s="218"/>
      <c r="H61" s="218"/>
      <c r="I61" s="218"/>
      <c r="J61" s="218"/>
      <c r="K61" s="295"/>
      <c r="L61" s="218"/>
      <c r="M61" s="218">
        <f>+'BT 7HO'!R45+'BT 7HO'!Y45</f>
        <v>8448000</v>
      </c>
      <c r="N61" s="1288"/>
      <c r="O61" s="218">
        <f t="shared" si="47"/>
        <v>0</v>
      </c>
      <c r="P61" s="489"/>
      <c r="Q61" s="525"/>
      <c r="R61" s="1291"/>
      <c r="S61" s="528">
        <f t="shared" si="48"/>
        <v>10560000</v>
      </c>
      <c r="T61" s="316">
        <f>+'BT 7HO'!AB42</f>
        <v>46022</v>
      </c>
      <c r="U61" s="315">
        <f>+'BT 7HO'!AE42+'BT 7HO'!AE43</f>
        <v>10560000</v>
      </c>
      <c r="V61" s="316"/>
      <c r="W61" s="323"/>
      <c r="X61" s="318"/>
      <c r="Y61" s="315">
        <f>+'BT 7HO'!BN42+'BT 7HO'!BN43</f>
        <v>2112000</v>
      </c>
      <c r="AA61" s="359" t="b">
        <f t="shared" si="49"/>
        <v>1</v>
      </c>
      <c r="AB61" s="320" t="b">
        <f t="shared" si="50"/>
        <v>1</v>
      </c>
    </row>
    <row r="62" spans="2:28">
      <c r="B62" s="1266"/>
      <c r="C62" s="215" t="str">
        <f>+'BT 7HO'!C46</f>
        <v>Sehyun Chemical</v>
      </c>
      <c r="D62" s="309">
        <v>500000</v>
      </c>
      <c r="E62" s="224">
        <f>+'BT 7HO'!D46</f>
        <v>158.75</v>
      </c>
      <c r="F62" s="311">
        <f t="shared" si="45"/>
        <v>59396.258503401361</v>
      </c>
      <c r="G62" s="218"/>
      <c r="H62" s="218"/>
      <c r="I62" s="218"/>
      <c r="J62" s="218"/>
      <c r="K62" s="295"/>
      <c r="L62" s="218"/>
      <c r="M62" s="218">
        <f>+'BT 7HO'!K50</f>
        <v>78581250</v>
      </c>
      <c r="N62" s="1289"/>
      <c r="O62" s="218">
        <f t="shared" si="47"/>
        <v>0</v>
      </c>
      <c r="P62" s="489"/>
      <c r="Q62" s="525"/>
      <c r="R62" s="1292"/>
      <c r="S62" s="528">
        <f t="shared" si="48"/>
        <v>0</v>
      </c>
      <c r="T62" s="316"/>
      <c r="U62" s="323"/>
      <c r="V62" s="316"/>
      <c r="W62" s="323"/>
      <c r="X62" s="318"/>
      <c r="Y62" s="315">
        <f>+'BT 7HO'!BN47+'BT 7HO'!BN48</f>
        <v>8731250</v>
      </c>
      <c r="AA62" s="359" t="b">
        <f t="shared" si="49"/>
        <v>1</v>
      </c>
      <c r="AB62" s="320" t="b">
        <f t="shared" si="50"/>
        <v>1</v>
      </c>
    </row>
    <row r="63" spans="2:28">
      <c r="B63" s="1266"/>
      <c r="C63" s="1268" t="s">
        <v>17</v>
      </c>
      <c r="D63" s="1269"/>
      <c r="E63" s="1279">
        <f>SUM(E55:E62)</f>
        <v>1609.3800000000003</v>
      </c>
      <c r="F63" s="1272">
        <f>SUM(F55:F62)</f>
        <v>602148.97959183669</v>
      </c>
      <c r="G63" s="322">
        <f>G64/1470</f>
        <v>120288.36734693877</v>
      </c>
      <c r="H63" s="315"/>
      <c r="I63" s="315"/>
      <c r="J63" s="322">
        <f>J64/1470</f>
        <v>252439.38775510204</v>
      </c>
      <c r="K63" s="316"/>
      <c r="L63" s="315"/>
      <c r="M63" s="322">
        <f>M64/1470</f>
        <v>450810.68027210882</v>
      </c>
      <c r="N63" s="481">
        <f>N64/1470</f>
        <v>261091.84523809524</v>
      </c>
      <c r="O63" s="322">
        <f>O64/1470</f>
        <v>102041.83673469388</v>
      </c>
      <c r="P63" s="489"/>
      <c r="Q63" s="481">
        <f>SUM(Q55:Q62)/1470</f>
        <v>102041.83673469388</v>
      </c>
      <c r="R63" s="535"/>
      <c r="S63" s="529">
        <f>S64/1470</f>
        <v>20593.197278911568</v>
      </c>
      <c r="T63" s="316"/>
      <c r="U63" s="323"/>
      <c r="V63" s="316"/>
      <c r="W63" s="323"/>
      <c r="X63" s="318"/>
      <c r="Y63" s="322">
        <f>Y64/1470</f>
        <v>60161.020408163262</v>
      </c>
      <c r="AA63" s="318"/>
      <c r="AB63" s="320"/>
    </row>
    <row r="64" spans="2:28">
      <c r="B64" s="1267"/>
      <c r="C64" s="1270"/>
      <c r="D64" s="1271"/>
      <c r="E64" s="1280"/>
      <c r="F64" s="1273"/>
      <c r="G64" s="235">
        <f>+SUM(G55:G58)</f>
        <v>176823900</v>
      </c>
      <c r="H64" s="235">
        <f>+SUM(H55:H58)</f>
        <v>654181000.00000012</v>
      </c>
      <c r="I64" s="235">
        <f>+SUM(I55:I58)</f>
        <v>613327900</v>
      </c>
      <c r="J64" s="235">
        <f>+SUM(J55:J58)</f>
        <v>371085900</v>
      </c>
      <c r="K64" s="296"/>
      <c r="L64" s="235">
        <f>+SUM(L55:L58)</f>
        <v>26822400</v>
      </c>
      <c r="M64" s="235">
        <f>+SUM(M55:M62)</f>
        <v>662691700</v>
      </c>
      <c r="N64" s="482">
        <f>+'SPV Balance by bank_1'!E25</f>
        <v>383805012.5</v>
      </c>
      <c r="O64" s="235">
        <f>+SUM(O55:O62)</f>
        <v>150001500</v>
      </c>
      <c r="P64" s="490"/>
      <c r="Q64" s="482">
        <f>+SUM(Q55:Q62)</f>
        <v>150001500</v>
      </c>
      <c r="R64" s="536"/>
      <c r="S64" s="530">
        <f>+SUM(S55:S62)</f>
        <v>30272000.000000004</v>
      </c>
      <c r="T64" s="296"/>
      <c r="U64" s="235">
        <f>+SUM(U55:U62)</f>
        <v>30272000.000000004</v>
      </c>
      <c r="V64" s="296"/>
      <c r="W64" s="235">
        <f>+SUM(W55:W62)</f>
        <v>0</v>
      </c>
      <c r="X64" s="236"/>
      <c r="Y64" s="235">
        <f>+SUM(Y55:Y62)</f>
        <v>88436700</v>
      </c>
      <c r="AA64" s="236"/>
      <c r="AB64" s="320"/>
    </row>
    <row r="65" spans="2:28">
      <c r="B65" s="347"/>
      <c r="C65" s="348"/>
      <c r="D65" s="348"/>
      <c r="E65" s="349"/>
      <c r="F65" s="350"/>
      <c r="G65" s="351">
        <f>G66/1470</f>
        <v>120288.36734693877</v>
      </c>
      <c r="H65" s="352"/>
      <c r="I65" s="352"/>
      <c r="J65" s="351">
        <f>J66/1470</f>
        <v>263663.87755102041</v>
      </c>
      <c r="K65" s="353"/>
      <c r="L65" s="351">
        <f>L66/1470</f>
        <v>18246.530612244896</v>
      </c>
      <c r="M65" s="351">
        <f>M66/1470</f>
        <v>2758491.6666666665</v>
      </c>
      <c r="N65" s="484">
        <f>N66/1470</f>
        <v>589429.90965986392</v>
      </c>
      <c r="O65" s="384">
        <f>O66/1470</f>
        <v>971458.45238095243</v>
      </c>
      <c r="P65" s="492"/>
      <c r="Q65" s="484">
        <f>Q66/1470</f>
        <v>971458.45238095243</v>
      </c>
      <c r="R65" s="537">
        <f>R66/1470</f>
        <v>152367.98163265307</v>
      </c>
      <c r="S65" s="531">
        <f>S66/1470</f>
        <v>1433493.4353741496</v>
      </c>
      <c r="T65" s="353"/>
      <c r="U65" s="351">
        <f>U66/1470</f>
        <v>1433493.4353741496</v>
      </c>
      <c r="V65" s="353"/>
      <c r="W65" s="351">
        <f>W66/1470</f>
        <v>1562522.6870748298</v>
      </c>
      <c r="X65" s="354"/>
      <c r="Y65" s="351">
        <f>Y66/1470</f>
        <v>2861382.1530612246</v>
      </c>
      <c r="AA65" s="324"/>
      <c r="AB65" s="320"/>
    </row>
    <row r="66" spans="2:28" ht="13.5" thickBot="1">
      <c r="B66" s="1255" t="s">
        <v>17</v>
      </c>
      <c r="C66" s="1256"/>
      <c r="D66" s="1256"/>
      <c r="E66" s="313">
        <f>+E18+E29+E42+E53+E63</f>
        <v>25204.895</v>
      </c>
      <c r="F66" s="312">
        <f>F18+F29+F53+F63+F42</f>
        <v>9168706.9047619049</v>
      </c>
      <c r="G66" s="292">
        <f>+G19+G30+G54+G64</f>
        <v>176823900</v>
      </c>
      <c r="H66" s="292">
        <f>+H19+H30+H54+H64</f>
        <v>736681000.00000012</v>
      </c>
      <c r="I66" s="292">
        <f>+I19+I30+I54+I64</f>
        <v>695827900</v>
      </c>
      <c r="J66" s="292">
        <f>+J19+J30+J54+J64</f>
        <v>387585900</v>
      </c>
      <c r="K66" s="293"/>
      <c r="L66" s="292">
        <f>+L19+L30+L54+L64</f>
        <v>26822400</v>
      </c>
      <c r="M66" s="292">
        <f>+M19+M30+M54+M64+M43</f>
        <v>4054982750</v>
      </c>
      <c r="N66" s="485">
        <f>+N19+N30+N54+N64+N43</f>
        <v>866461967.19999993</v>
      </c>
      <c r="O66" s="292">
        <f>+O19+O30+O54+O64+O43</f>
        <v>1428043925</v>
      </c>
      <c r="P66" s="493"/>
      <c r="Q66" s="485">
        <f>+Q19+Q30+Q54+Q64+Q43</f>
        <v>1428043925</v>
      </c>
      <c r="R66" s="538">
        <f>+R54+R19</f>
        <v>223980933</v>
      </c>
      <c r="S66" s="532">
        <f>+S19+S30+S54+S64+S43</f>
        <v>2107235350</v>
      </c>
      <c r="T66" s="293"/>
      <c r="U66" s="292">
        <f>+U19+U30+U54+U64+U43</f>
        <v>2107235350</v>
      </c>
      <c r="V66" s="293"/>
      <c r="W66" s="292">
        <f>+W19+W30+W54+W64+W43</f>
        <v>2296908350</v>
      </c>
      <c r="X66" s="293"/>
      <c r="Y66" s="292">
        <f>+Y19+Y30+Y54+Y64+Y43</f>
        <v>4206231765</v>
      </c>
      <c r="AA66" s="293"/>
      <c r="AB66" s="320"/>
    </row>
    <row r="67" spans="2:28">
      <c r="E67" s="215"/>
      <c r="F67" s="215"/>
      <c r="K67" s="215"/>
      <c r="N67" s="320"/>
      <c r="P67" s="215"/>
      <c r="R67" s="320"/>
      <c r="T67" s="215"/>
      <c r="X67" s="215"/>
    </row>
    <row r="68" spans="2:28" ht="13.5">
      <c r="C68" s="373"/>
      <c r="D68" s="373"/>
      <c r="E68" s="215"/>
      <c r="F68" s="215"/>
      <c r="K68" s="215"/>
      <c r="M68" s="320"/>
      <c r="N68" s="320"/>
      <c r="P68" s="215"/>
      <c r="R68" s="320"/>
      <c r="T68" s="215"/>
      <c r="X68" s="215"/>
    </row>
    <row r="69" spans="2:28" ht="13.5">
      <c r="C69" s="373"/>
      <c r="D69" s="373"/>
      <c r="E69" s="215"/>
      <c r="F69" s="215"/>
      <c r="J69" s="320"/>
      <c r="K69" s="215"/>
      <c r="L69" s="320"/>
      <c r="M69" s="320"/>
      <c r="N69" s="320"/>
      <c r="P69" s="215"/>
      <c r="Q69" s="320"/>
      <c r="R69" s="320"/>
      <c r="T69" s="215"/>
      <c r="U69" s="320"/>
      <c r="W69" s="320"/>
      <c r="X69" s="215"/>
      <c r="Y69" s="320"/>
    </row>
    <row r="70" spans="2:28" ht="13.5">
      <c r="C70" s="320"/>
      <c r="D70" s="373"/>
      <c r="E70" s="215"/>
      <c r="F70" s="475"/>
      <c r="J70" s="320"/>
      <c r="K70" s="215"/>
      <c r="L70" s="320"/>
      <c r="M70" s="320"/>
      <c r="N70" s="375"/>
      <c r="P70" s="215"/>
      <c r="Q70" s="473"/>
      <c r="R70" s="375"/>
      <c r="T70" s="215"/>
      <c r="X70" s="215"/>
      <c r="Y70" s="320"/>
    </row>
    <row r="71" spans="2:28" ht="13.5">
      <c r="C71" s="320"/>
      <c r="D71" s="373"/>
      <c r="E71" s="215"/>
      <c r="F71" s="215"/>
      <c r="J71" s="320"/>
      <c r="K71" s="215"/>
      <c r="M71" s="320"/>
      <c r="N71" s="375"/>
      <c r="P71" s="215"/>
      <c r="Q71" s="458"/>
      <c r="R71" s="375"/>
      <c r="T71" s="215"/>
      <c r="X71" s="215"/>
    </row>
    <row r="72" spans="2:28" ht="13.5">
      <c r="D72" s="373"/>
      <c r="E72" s="215"/>
      <c r="F72" s="215"/>
      <c r="J72" s="375"/>
      <c r="K72" s="215"/>
      <c r="M72" s="375"/>
      <c r="P72" s="215"/>
      <c r="Q72" s="474"/>
      <c r="T72" s="215"/>
      <c r="X72" s="215"/>
    </row>
    <row r="73" spans="2:28" ht="13.5">
      <c r="D73" s="373"/>
      <c r="E73" s="215"/>
    </row>
    <row r="74" spans="2:28" ht="13.5">
      <c r="D74" s="373"/>
      <c r="E74" s="215"/>
      <c r="Q74" s="320"/>
    </row>
    <row r="75" spans="2:28" ht="13.5">
      <c r="D75" s="373"/>
      <c r="E75" s="215"/>
    </row>
    <row r="76" spans="2:28" ht="13.5">
      <c r="D76" s="373"/>
      <c r="E76" s="215"/>
    </row>
  </sheetData>
  <mergeCells count="51">
    <mergeCell ref="R2:R3"/>
    <mergeCell ref="R4:R17"/>
    <mergeCell ref="R20:R28"/>
    <mergeCell ref="R44:R52"/>
    <mergeCell ref="R55:R62"/>
    <mergeCell ref="P2:Q2"/>
    <mergeCell ref="B2:B3"/>
    <mergeCell ref="C2:C3"/>
    <mergeCell ref="D2:D3"/>
    <mergeCell ref="E2:E3"/>
    <mergeCell ref="F2:F3"/>
    <mergeCell ref="G2:G3"/>
    <mergeCell ref="H2:H3"/>
    <mergeCell ref="I2:I3"/>
    <mergeCell ref="J2:J3"/>
    <mergeCell ref="N2:N3"/>
    <mergeCell ref="K2:L2"/>
    <mergeCell ref="M2:M3"/>
    <mergeCell ref="O2:O3"/>
    <mergeCell ref="B4:B19"/>
    <mergeCell ref="C18:D19"/>
    <mergeCell ref="E18:E19"/>
    <mergeCell ref="F18:F19"/>
    <mergeCell ref="N4:N17"/>
    <mergeCell ref="S2:S3"/>
    <mergeCell ref="T2:U2"/>
    <mergeCell ref="V2:W2"/>
    <mergeCell ref="X2:Y3"/>
    <mergeCell ref="AA2:AA3"/>
    <mergeCell ref="B20:B30"/>
    <mergeCell ref="N20:N28"/>
    <mergeCell ref="C29:D30"/>
    <mergeCell ref="E29:E30"/>
    <mergeCell ref="F29:F30"/>
    <mergeCell ref="N55:N62"/>
    <mergeCell ref="B66:D66"/>
    <mergeCell ref="B44:B54"/>
    <mergeCell ref="N44:N52"/>
    <mergeCell ref="C53:D54"/>
    <mergeCell ref="E53:E54"/>
    <mergeCell ref="F53:F54"/>
    <mergeCell ref="B55:B64"/>
    <mergeCell ref="C63:D64"/>
    <mergeCell ref="E63:E64"/>
    <mergeCell ref="F63:F64"/>
    <mergeCell ref="N31:N41"/>
    <mergeCell ref="R31:R41"/>
    <mergeCell ref="E42:E43"/>
    <mergeCell ref="F42:F43"/>
    <mergeCell ref="B31:B43"/>
    <mergeCell ref="C42:D43"/>
  </mergeCells>
  <phoneticPr fontId="9" type="noConversion"/>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2ED4A-C42C-4D76-872C-745D9B33F022}">
  <sheetPr>
    <pageSetUpPr fitToPage="1"/>
  </sheetPr>
  <dimension ref="A1:CE92"/>
  <sheetViews>
    <sheetView showGridLines="0" zoomScale="115" zoomScaleNormal="115" zoomScaleSheetLayoutView="55" workbookViewId="0">
      <pane xSplit="9" ySplit="10" topLeftCell="M11" activePane="bottomRight" state="frozen"/>
      <selection pane="topRight" activeCell="I35" sqref="I35"/>
      <selection pane="bottomLeft" activeCell="I35" sqref="I35"/>
      <selection pane="bottomRight" activeCell="I20" sqref="I20"/>
    </sheetView>
  </sheetViews>
  <sheetFormatPr defaultColWidth="10.28515625" defaultRowHeight="12.75" outlineLevelCol="1"/>
  <cols>
    <col min="1" max="1" width="1.85546875" style="53" customWidth="1"/>
    <col min="2" max="2" width="5.5703125" style="53" customWidth="1"/>
    <col min="3" max="3" width="20.140625" style="53" customWidth="1"/>
    <col min="4" max="4" width="14.42578125" style="53" customWidth="1"/>
    <col min="5" max="5" width="14.140625" style="53" customWidth="1"/>
    <col min="6" max="6" width="19.42578125" style="53" customWidth="1"/>
    <col min="7" max="9" width="14.5703125" style="53" customWidth="1"/>
    <col min="10" max="10" width="7.5703125" style="53" customWidth="1"/>
    <col min="11" max="11" width="13.28515625" style="53" customWidth="1"/>
    <col min="12" max="12" width="14.28515625" style="53" customWidth="1"/>
    <col min="13" max="13" width="14.28515625" style="425" customWidth="1"/>
    <col min="14" max="15" width="11.5703125" style="53" customWidth="1"/>
    <col min="16" max="16" width="7.5703125" style="53" customWidth="1"/>
    <col min="17" max="19" width="13.28515625" style="53" customWidth="1"/>
    <col min="20" max="20" width="11.140625" style="53" bestFit="1" customWidth="1"/>
    <col min="21" max="22" width="11.5703125" style="53" customWidth="1"/>
    <col min="23" max="23" width="7.5703125" style="53" customWidth="1"/>
    <col min="24"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customWidth="1" outlineLevel="1"/>
    <col min="37" max="37" width="7.5703125" style="53" customWidth="1" outlineLevel="1"/>
    <col min="38" max="40" width="13.28515625" style="53" customWidth="1" outlineLevel="1"/>
    <col min="41" max="41" width="13.85546875" style="53" customWidth="1" outlineLevel="1"/>
    <col min="42" max="43" width="11.5703125" style="53" customWidth="1"/>
    <col min="44" max="44" width="7.5703125" style="53" customWidth="1"/>
    <col min="45" max="47" width="13.28515625" style="53" customWidth="1"/>
    <col min="48" max="48" width="13.85546875" style="53" customWidth="1"/>
    <col min="49" max="50" width="11.5703125" style="53" customWidth="1"/>
    <col min="51" max="51" width="7.5703125" style="53" customWidth="1"/>
    <col min="52" max="54" width="13.28515625" style="53" customWidth="1"/>
    <col min="55" max="55" width="13.85546875" style="53" customWidth="1"/>
    <col min="56" max="57" width="11.5703125" style="53" customWidth="1"/>
    <col min="58" max="58" width="7.5703125" style="53" customWidth="1"/>
    <col min="59" max="61" width="13.28515625" style="53" customWidth="1"/>
    <col min="62" max="62" width="13.85546875" style="53"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11" style="53" customWidth="1"/>
    <col min="74" max="74" width="13.85546875" style="53" customWidth="1"/>
    <col min="75" max="75" width="1.85546875" style="53" customWidth="1"/>
    <col min="76" max="77" width="15.5703125" style="53" customWidth="1"/>
    <col min="78" max="78" width="13.85546875" style="53" customWidth="1"/>
    <col min="79" max="79" width="17.140625" style="53" bestFit="1" customWidth="1"/>
    <col min="80" max="16384" width="10.28515625" style="53"/>
  </cols>
  <sheetData>
    <row r="1" spans="1:83" s="52" customFormat="1">
      <c r="M1" s="415"/>
      <c r="BW1" s="53"/>
      <c r="BZ1" s="53"/>
    </row>
    <row r="2" spans="1:83" s="52" customFormat="1">
      <c r="B2" s="52" t="s">
        <v>346</v>
      </c>
      <c r="D2" s="52" t="s">
        <v>347</v>
      </c>
      <c r="G2" s="401">
        <v>1100000000</v>
      </c>
      <c r="M2" s="415"/>
      <c r="BW2" s="53"/>
      <c r="BZ2" s="53"/>
    </row>
    <row r="3" spans="1:83" s="52" customFormat="1">
      <c r="B3" s="52" t="s">
        <v>348</v>
      </c>
      <c r="D3" s="52" t="s">
        <v>349</v>
      </c>
      <c r="K3" s="199"/>
      <c r="M3" s="415"/>
      <c r="X3" s="362"/>
      <c r="BW3" s="53"/>
      <c r="BZ3" s="53"/>
    </row>
    <row r="4" spans="1:83" s="52" customFormat="1">
      <c r="B4" s="52" t="s">
        <v>350</v>
      </c>
      <c r="D4" s="52" t="s">
        <v>351</v>
      </c>
      <c r="M4" s="415"/>
      <c r="X4" s="362"/>
      <c r="AA4" s="459"/>
      <c r="AB4" s="460">
        <f>+AE12</f>
        <v>174570000</v>
      </c>
      <c r="AC4" s="461">
        <f>+AB4/$AB$6</f>
        <v>0.8571428571428571</v>
      </c>
      <c r="AD4" s="461"/>
      <c r="AE4" s="461"/>
      <c r="AF4" s="461"/>
      <c r="AG4" s="462" t="e">
        <f>+AC4*($AE$6+AF6)</f>
        <v>#REF!</v>
      </c>
      <c r="BW4" s="53"/>
      <c r="BZ4" s="53"/>
    </row>
    <row r="5" spans="1:83" s="52" customFormat="1">
      <c r="B5" s="52" t="s">
        <v>352</v>
      </c>
      <c r="D5" s="52" t="s">
        <v>353</v>
      </c>
      <c r="K5" s="52">
        <f>+D26*450000*1.1*10%</f>
        <v>6039000.0000000009</v>
      </c>
      <c r="M5" s="415"/>
      <c r="R5" s="362"/>
      <c r="AA5" s="459"/>
      <c r="AB5" s="460">
        <f>+AE13</f>
        <v>29095000</v>
      </c>
      <c r="AC5" s="461">
        <f>+AB5/$AB$6</f>
        <v>0.14285714285714285</v>
      </c>
      <c r="AD5" s="461"/>
      <c r="AE5" s="460">
        <f>+AE12+AE13-Z12-Z13-S12-S13</f>
        <v>201047000</v>
      </c>
      <c r="AF5" s="461"/>
      <c r="AG5" s="462" t="e">
        <f>+AC5*($AE$6+AF7)</f>
        <v>#REF!</v>
      </c>
      <c r="BW5" s="53"/>
      <c r="BZ5" s="53"/>
    </row>
    <row r="6" spans="1:83" s="52" customFormat="1">
      <c r="B6" s="52" t="s">
        <v>354</v>
      </c>
      <c r="D6" s="52" t="s">
        <v>355</v>
      </c>
      <c r="M6" s="415"/>
      <c r="R6" s="363"/>
      <c r="AA6" s="459"/>
      <c r="AB6" s="460">
        <f>+AB4+AB5</f>
        <v>203665000</v>
      </c>
      <c r="AC6" s="461"/>
      <c r="AD6" s="461"/>
      <c r="AE6" s="460" t="e">
        <f>+'SPV Balance by bank_1'!#REF!</f>
        <v>#REF!</v>
      </c>
      <c r="AF6" s="462">
        <v>20835000</v>
      </c>
      <c r="AG6" s="461"/>
      <c r="BW6" s="53"/>
      <c r="BZ6" s="53"/>
    </row>
    <row r="7" spans="1:83" s="52" customFormat="1">
      <c r="B7" s="52" t="s">
        <v>356</v>
      </c>
      <c r="D7" s="52" t="s">
        <v>357</v>
      </c>
      <c r="M7" s="415"/>
      <c r="R7" s="362"/>
      <c r="AB7" s="461"/>
      <c r="AC7" s="461"/>
      <c r="AD7" s="461"/>
      <c r="AE7" s="460" t="e">
        <f>+AE5-AE6</f>
        <v>#REF!</v>
      </c>
      <c r="AF7" s="461"/>
      <c r="AG7" s="461"/>
      <c r="BW7" s="53"/>
      <c r="BZ7" s="53"/>
    </row>
    <row r="8" spans="1:83">
      <c r="A8" s="54"/>
      <c r="B8" s="1316"/>
      <c r="C8" s="131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370</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374</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42" customHeight="1">
      <c r="A10" s="54"/>
      <c r="B10" s="1318"/>
      <c r="C10" s="1318"/>
      <c r="D10" s="1320"/>
      <c r="E10" s="1315"/>
      <c r="F10" s="1320"/>
      <c r="G10" s="1320"/>
      <c r="H10" s="1320"/>
      <c r="I10" s="1320"/>
      <c r="J10" s="59" t="s">
        <v>377</v>
      </c>
      <c r="K10" s="59" t="s">
        <v>378</v>
      </c>
      <c r="L10" s="59" t="s">
        <v>379</v>
      </c>
      <c r="M10" s="1315"/>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62"/>
      <c r="B11" s="1322">
        <v>1</v>
      </c>
      <c r="C11" s="1323" t="s">
        <v>386</v>
      </c>
      <c r="D11" s="1324">
        <v>1058</v>
      </c>
      <c r="E11" s="1324" t="s">
        <v>387</v>
      </c>
      <c r="F11" s="63" t="s">
        <v>388</v>
      </c>
      <c r="G11" s="76">
        <f>+지급비율!F38/1000*$D$11</f>
        <v>1163800000</v>
      </c>
      <c r="H11" s="64">
        <f>+G11*10%</f>
        <v>116380000</v>
      </c>
      <c r="I11" s="64">
        <f>SUM(G11:H11)</f>
        <v>1280180000</v>
      </c>
      <c r="J11" s="65">
        <f t="shared" ref="J11:J74" si="0">+IFERROR(K11/I11,"-")</f>
        <v>0</v>
      </c>
      <c r="K11" s="66">
        <f>+IFERROR(R11+Y11+AF11+AT11+BA11+BH11+BO11,"-")</f>
        <v>0</v>
      </c>
      <c r="L11" s="66">
        <f>+I11-K11</f>
        <v>1280180000</v>
      </c>
      <c r="M11" s="1325" t="s">
        <v>265</v>
      </c>
      <c r="N11" s="67"/>
      <c r="O11" s="68"/>
      <c r="P11" s="69"/>
      <c r="Q11" s="70">
        <f>+$I11*지급비율!G38</f>
        <v>0</v>
      </c>
      <c r="R11" s="70"/>
      <c r="S11" s="70">
        <f>+Q11-R11</f>
        <v>0</v>
      </c>
      <c r="T11" s="71"/>
      <c r="U11" s="67"/>
      <c r="V11" s="68"/>
      <c r="W11" s="69"/>
      <c r="X11" s="70">
        <f>+$I11*지급비율!N38</f>
        <v>0</v>
      </c>
      <c r="Y11" s="70"/>
      <c r="Z11" s="70">
        <f>+X11-Y11</f>
        <v>0</v>
      </c>
      <c r="AA11" s="71"/>
      <c r="AB11" s="67">
        <f>+EDATE(AI11,0)</f>
        <v>45989</v>
      </c>
      <c r="AC11" s="72"/>
      <c r="AD11" s="69">
        <f>+IFERROR(AE11/$I11,"-")</f>
        <v>0.5</v>
      </c>
      <c r="AE11" s="70">
        <f>+$I11*지급비율!U38</f>
        <v>640090000</v>
      </c>
      <c r="AF11" s="70"/>
      <c r="AG11" s="70">
        <f>+AE11-AF11</f>
        <v>640090000</v>
      </c>
      <c r="AH11" s="71"/>
      <c r="AI11" s="67">
        <f>+EDATE(AP11,-1)</f>
        <v>45989</v>
      </c>
      <c r="AJ11" s="72"/>
      <c r="AK11" s="69">
        <f>+IFERROR(AL11/$I11,"-")</f>
        <v>0</v>
      </c>
      <c r="AL11" s="70">
        <f>+$I11*지급비율!AB38</f>
        <v>0</v>
      </c>
      <c r="AM11" s="70"/>
      <c r="AN11" s="70">
        <f>+AL11-AM11</f>
        <v>0</v>
      </c>
      <c r="AO11" s="71"/>
      <c r="AP11" s="67">
        <f>+EDATE(AW11,-1)</f>
        <v>46019</v>
      </c>
      <c r="AQ11" s="68"/>
      <c r="AR11" s="69">
        <f>+IFERROR(AS11/$I11,"-")</f>
        <v>0</v>
      </c>
      <c r="AS11" s="70">
        <f>+$I11*지급비율!AI38</f>
        <v>0</v>
      </c>
      <c r="AT11" s="70"/>
      <c r="AU11" s="70">
        <f>+AS11-AT11</f>
        <v>0</v>
      </c>
      <c r="AV11" s="71"/>
      <c r="AW11" s="67">
        <f>+EDATE(BD11,-1)</f>
        <v>46050</v>
      </c>
      <c r="AX11" s="67"/>
      <c r="AY11" s="69">
        <f>+IFERROR(AZ11/$I11,"-")</f>
        <v>0</v>
      </c>
      <c r="AZ11" s="70">
        <f>+$I11*지급비율!AP38</f>
        <v>0</v>
      </c>
      <c r="BA11" s="70"/>
      <c r="BB11" s="70">
        <f>+AZ11-BA11</f>
        <v>0</v>
      </c>
      <c r="BC11" s="71"/>
      <c r="BD11" s="67">
        <f>+EDATE(BK11,-1)</f>
        <v>46081</v>
      </c>
      <c r="BE11" s="67"/>
      <c r="BF11" s="69">
        <f>+IFERROR(BG11/$I11,"-")</f>
        <v>0.4</v>
      </c>
      <c r="BG11" s="70">
        <f>+$I11*지급비율!AW38</f>
        <v>512072000</v>
      </c>
      <c r="BH11" s="70"/>
      <c r="BI11" s="70">
        <f>+BG11-BH11</f>
        <v>512072000</v>
      </c>
      <c r="BJ11" s="71"/>
      <c r="BK11" s="68">
        <v>46112</v>
      </c>
      <c r="BL11" s="67"/>
      <c r="BM11" s="69">
        <f t="shared" ref="BM11:BM65" si="1">+IFERROR(BN11/$I11,"-")</f>
        <v>0.1</v>
      </c>
      <c r="BN11" s="70">
        <f>+$I11*지급비율!BD38</f>
        <v>128018000</v>
      </c>
      <c r="BO11" s="70"/>
      <c r="BP11" s="70">
        <f t="shared" ref="BP11:BP65" si="2">+BN11-BO11</f>
        <v>128018000</v>
      </c>
      <c r="BQ11" s="71"/>
      <c r="BR11" s="73"/>
      <c r="BS11" s="74" t="b">
        <f>+Q11+X11+AE11+AS11+AZ11+BG11+BN11=I11</f>
        <v>1</v>
      </c>
      <c r="BT11" s="74" t="b">
        <f>+R11+Y11+AF11+AT11+BA11+BH11+BO11=K11</f>
        <v>1</v>
      </c>
      <c r="BU11" s="74"/>
      <c r="BV11" s="54"/>
      <c r="BW11" s="54"/>
      <c r="BX11" s="54"/>
      <c r="BY11" s="54"/>
      <c r="BZ11" s="54"/>
      <c r="CA11" s="54"/>
      <c r="CB11" s="54"/>
      <c r="CC11" s="54"/>
      <c r="CD11" s="58"/>
      <c r="CE11" s="58"/>
    </row>
    <row r="12" spans="1:83" ht="16.5" customHeight="1">
      <c r="A12" s="62"/>
      <c r="B12" s="1322"/>
      <c r="C12" s="1323"/>
      <c r="D12" s="1324"/>
      <c r="E12" s="1324"/>
      <c r="F12" s="75" t="s">
        <v>389</v>
      </c>
      <c r="G12" s="76">
        <f>+지급비율!F39/1000*$D$11</f>
        <v>317400000</v>
      </c>
      <c r="H12" s="76">
        <f>+G12*10%</f>
        <v>31740000</v>
      </c>
      <c r="I12" s="76">
        <f>SUM(G12:H12)</f>
        <v>349140000</v>
      </c>
      <c r="J12" s="75">
        <f t="shared" si="0"/>
        <v>0.90021767772240358</v>
      </c>
      <c r="K12" s="77">
        <f>+IFERROR(R12+Y12+AF12+AT12+BA12+BH12+BO12,"-")</f>
        <v>314302000</v>
      </c>
      <c r="L12" s="77">
        <f>+I12-K12</f>
        <v>34838000</v>
      </c>
      <c r="M12" s="1326"/>
      <c r="N12" s="78">
        <f>+O12</f>
        <v>45714</v>
      </c>
      <c r="O12" s="78">
        <v>45714</v>
      </c>
      <c r="P12" s="79">
        <f>+IFERROR(Q12/$I12,"-")</f>
        <v>0.3</v>
      </c>
      <c r="Q12" s="80">
        <f>+$I12*지급비율!G39</f>
        <v>104742000</v>
      </c>
      <c r="R12" s="80">
        <v>103059000.00000001</v>
      </c>
      <c r="S12" s="80">
        <f>+Q12-R12</f>
        <v>1682999.9999999851</v>
      </c>
      <c r="T12" s="81"/>
      <c r="U12" s="78">
        <v>45826</v>
      </c>
      <c r="V12" s="78">
        <v>45826</v>
      </c>
      <c r="W12" s="79">
        <f>+IFERROR(X12/$I12,"-")</f>
        <v>0.1</v>
      </c>
      <c r="X12" s="80">
        <f>+$I12*지급비율!N39</f>
        <v>34914000</v>
      </c>
      <c r="Y12" s="80">
        <v>34353000</v>
      </c>
      <c r="Z12" s="80">
        <f>+X12-Y12</f>
        <v>561000</v>
      </c>
      <c r="AA12" s="81"/>
      <c r="AB12" s="78">
        <v>45930</v>
      </c>
      <c r="AC12" s="78">
        <v>45883</v>
      </c>
      <c r="AD12" s="79">
        <f>+IFERROR(AE12/$I12,"-")</f>
        <v>0.5</v>
      </c>
      <c r="AE12" s="80">
        <f>+$I12*지급비율!U39</f>
        <v>174570000</v>
      </c>
      <c r="AF12" s="80">
        <f>185150000-29095000+20835000</f>
        <v>176890000</v>
      </c>
      <c r="AG12" s="80">
        <f>+AE12-AF12</f>
        <v>-2320000</v>
      </c>
      <c r="AH12" s="81"/>
      <c r="AI12" s="78"/>
      <c r="AJ12" s="78"/>
      <c r="AK12" s="79">
        <f>+IFERROR(AL12/$I12,"-")</f>
        <v>0</v>
      </c>
      <c r="AL12" s="80">
        <f>+$I12*지급비율!AB39</f>
        <v>0</v>
      </c>
      <c r="AM12" s="80"/>
      <c r="AN12" s="80">
        <f>+AL12-AM12</f>
        <v>0</v>
      </c>
      <c r="AO12" s="81"/>
      <c r="AP12" s="78"/>
      <c r="AQ12" s="78"/>
      <c r="AR12" s="79"/>
      <c r="AS12" s="80">
        <f>+$I12*지급비율!AI39</f>
        <v>0</v>
      </c>
      <c r="AT12" s="80"/>
      <c r="AU12" s="80">
        <f>+AS12-AT12</f>
        <v>0</v>
      </c>
      <c r="AV12" s="81"/>
      <c r="AW12" s="78"/>
      <c r="AX12" s="78"/>
      <c r="AY12" s="79"/>
      <c r="AZ12" s="80">
        <f>+$I12*지급비율!AP39</f>
        <v>0</v>
      </c>
      <c r="BA12" s="80"/>
      <c r="BB12" s="80">
        <f>+AZ12-BA12</f>
        <v>0</v>
      </c>
      <c r="BC12" s="81"/>
      <c r="BD12" s="78"/>
      <c r="BE12" s="78"/>
      <c r="BF12" s="79"/>
      <c r="BG12" s="80">
        <f>+$I12*지급비율!AW39</f>
        <v>0</v>
      </c>
      <c r="BH12" s="80"/>
      <c r="BI12" s="80">
        <f>+BG12-BH12</f>
        <v>0</v>
      </c>
      <c r="BJ12" s="81"/>
      <c r="BK12" s="78">
        <v>46112</v>
      </c>
      <c r="BL12" s="78"/>
      <c r="BM12" s="79">
        <f t="shared" si="1"/>
        <v>0.1</v>
      </c>
      <c r="BN12" s="80">
        <f>+$I12*지급비율!BD39</f>
        <v>34914000</v>
      </c>
      <c r="BO12" s="80"/>
      <c r="BP12" s="80">
        <f t="shared" si="2"/>
        <v>34914000</v>
      </c>
      <c r="BQ12" s="81"/>
      <c r="BR12" s="73"/>
      <c r="BS12" s="74" t="b">
        <f>+Q12+X12+AE12+AS12+AZ12+BG12+BN12=I12</f>
        <v>1</v>
      </c>
      <c r="BT12" s="74" t="b">
        <f>+R12+Y12+AF12+AT12+BA12+BH12+BO12=K12</f>
        <v>1</v>
      </c>
      <c r="BU12" s="74" t="b">
        <f>+BG12+BG13+AZ12+AZ13+AS12+AS13+AE12+AE13+X12+X13+Q12+Q13+BN12+BN13=([5]지급비율!$F$35+[5]지급비율!$F$36)*1.1*D11/1000</f>
        <v>1</v>
      </c>
      <c r="BV12" s="480"/>
      <c r="BW12" s="54"/>
      <c r="BX12" s="54"/>
      <c r="BY12" s="54"/>
      <c r="BZ12" s="54"/>
      <c r="CA12" s="54"/>
      <c r="CB12" s="54"/>
      <c r="CC12" s="54"/>
      <c r="CD12" s="58"/>
      <c r="CE12" s="58"/>
    </row>
    <row r="13" spans="1:83" ht="16.5" customHeight="1">
      <c r="A13" s="62"/>
      <c r="B13" s="1322"/>
      <c r="C13" s="1323"/>
      <c r="D13" s="1324"/>
      <c r="E13" s="1324"/>
      <c r="F13" s="75" t="s">
        <v>390</v>
      </c>
      <c r="G13" s="76">
        <f>+지급비율!F40/1000*$D$11</f>
        <v>52900000</v>
      </c>
      <c r="H13" s="76">
        <f>+G13*10%</f>
        <v>5290000</v>
      </c>
      <c r="I13" s="82">
        <f>SUM(G13:H13)</f>
        <v>58190000</v>
      </c>
      <c r="J13" s="75">
        <f t="shared" si="0"/>
        <v>0.89357277882797737</v>
      </c>
      <c r="K13" s="77">
        <f>+IFERROR(R13+Y13+AF13+AT13+BA13+BH13+BO13,"-")</f>
        <v>51997000</v>
      </c>
      <c r="L13" s="77">
        <f>+I13-K13</f>
        <v>6193000</v>
      </c>
      <c r="M13" s="1326"/>
      <c r="N13" s="78">
        <f>+O13</f>
        <v>45714</v>
      </c>
      <c r="O13" s="72">
        <f>O12</f>
        <v>45714</v>
      </c>
      <c r="P13" s="79">
        <f>+IFERROR(Q13/$I13,"-")</f>
        <v>0.3</v>
      </c>
      <c r="Q13" s="80">
        <f>+$I13*지급비율!G40</f>
        <v>17457000</v>
      </c>
      <c r="R13" s="80">
        <v>17176500</v>
      </c>
      <c r="S13" s="80">
        <f>+Q13-R13</f>
        <v>280500</v>
      </c>
      <c r="T13" s="81"/>
      <c r="U13" s="78">
        <v>45826</v>
      </c>
      <c r="V13" s="78">
        <v>45826</v>
      </c>
      <c r="W13" s="79">
        <f>+IFERROR(X13/$I13,"-")</f>
        <v>0.1</v>
      </c>
      <c r="X13" s="80">
        <f>+$I13*지급비율!N40</f>
        <v>5819000</v>
      </c>
      <c r="Y13" s="80">
        <v>5725500</v>
      </c>
      <c r="Z13" s="80">
        <f>+X13-Y13</f>
        <v>93500</v>
      </c>
      <c r="AA13" s="81"/>
      <c r="AB13" s="78">
        <v>45930</v>
      </c>
      <c r="AC13" s="72">
        <v>45883</v>
      </c>
      <c r="AD13" s="79">
        <f>+IFERROR(AE13/$I13,"-")</f>
        <v>0.5</v>
      </c>
      <c r="AE13" s="80">
        <f>+$I13*지급비율!U40</f>
        <v>29095000</v>
      </c>
      <c r="AF13" s="80">
        <v>29095000</v>
      </c>
      <c r="AG13" s="80">
        <f>+AE13-AF13</f>
        <v>0</v>
      </c>
      <c r="AH13" s="81"/>
      <c r="AI13" s="72"/>
      <c r="AJ13" s="72"/>
      <c r="AK13" s="79">
        <f>+IFERROR(AL13/$I13,"-")</f>
        <v>0</v>
      </c>
      <c r="AL13" s="80">
        <f>+$I13*지급비율!AB40</f>
        <v>0</v>
      </c>
      <c r="AM13" s="80"/>
      <c r="AN13" s="80">
        <f>+AL13-AM13</f>
        <v>0</v>
      </c>
      <c r="AO13" s="81"/>
      <c r="AP13" s="72"/>
      <c r="AQ13" s="72"/>
      <c r="AR13" s="79"/>
      <c r="AS13" s="80">
        <f>+$I13*지급비율!AI40</f>
        <v>0</v>
      </c>
      <c r="AT13" s="80"/>
      <c r="AU13" s="80">
        <f>+AS13-AT13</f>
        <v>0</v>
      </c>
      <c r="AV13" s="81"/>
      <c r="AW13" s="72"/>
      <c r="AX13" s="72"/>
      <c r="AY13" s="79"/>
      <c r="AZ13" s="80">
        <f>+$I13*지급비율!AP40</f>
        <v>0</v>
      </c>
      <c r="BA13" s="80"/>
      <c r="BB13" s="80">
        <f>+AZ13-BA13</f>
        <v>0</v>
      </c>
      <c r="BC13" s="81"/>
      <c r="BD13" s="72"/>
      <c r="BE13" s="72"/>
      <c r="BF13" s="79"/>
      <c r="BG13" s="80">
        <f>+$I13*지급비율!AW40</f>
        <v>0</v>
      </c>
      <c r="BH13" s="80"/>
      <c r="BI13" s="80">
        <f>+BG13-BH13</f>
        <v>0</v>
      </c>
      <c r="BJ13" s="81"/>
      <c r="BK13" s="78">
        <v>46112</v>
      </c>
      <c r="BL13" s="72"/>
      <c r="BM13" s="79">
        <f t="shared" si="1"/>
        <v>0.1</v>
      </c>
      <c r="BN13" s="80">
        <f>+$I13*지급비율!BD40</f>
        <v>5819000</v>
      </c>
      <c r="BO13" s="80"/>
      <c r="BP13" s="80">
        <f t="shared" si="2"/>
        <v>5819000</v>
      </c>
      <c r="BQ13" s="81"/>
      <c r="BR13" s="73"/>
      <c r="BS13" s="74" t="b">
        <f>+Q13+X13+AE13+AS13+AZ13+BG13+BN13=I13</f>
        <v>1</v>
      </c>
      <c r="BT13" s="74" t="b">
        <f>+R13+Y13+AF13+AT13+BA13+BH13+BO13=K13</f>
        <v>1</v>
      </c>
      <c r="BU13" s="74"/>
      <c r="BV13" s="480"/>
      <c r="BW13" s="54"/>
      <c r="BX13" s="54"/>
      <c r="BY13" s="54"/>
      <c r="BZ13" s="54"/>
      <c r="CA13" s="54"/>
      <c r="CB13" s="54"/>
      <c r="CC13" s="54"/>
      <c r="CD13" s="58"/>
      <c r="CE13" s="58"/>
    </row>
    <row r="14" spans="1:83" ht="16.5" customHeight="1">
      <c r="A14" s="62"/>
      <c r="B14" s="1322"/>
      <c r="C14" s="1323"/>
      <c r="D14" s="1324"/>
      <c r="E14" s="1324"/>
      <c r="F14" s="83" t="s">
        <v>391</v>
      </c>
      <c r="G14" s="82">
        <f>+지급비율!F41/1000*$D$11</f>
        <v>185150000</v>
      </c>
      <c r="H14" s="82">
        <f>+G14*10%</f>
        <v>18515000</v>
      </c>
      <c r="I14" s="82">
        <f>SUM(G14:H14)</f>
        <v>203665000</v>
      </c>
      <c r="J14" s="83">
        <f t="shared" si="0"/>
        <v>0</v>
      </c>
      <c r="K14" s="84">
        <f>+IFERROR(R14+Y14+AF14+AT14+BA14+BH14+BO14,"-")</f>
        <v>0</v>
      </c>
      <c r="L14" s="84">
        <f>+I14-K14</f>
        <v>203665000</v>
      </c>
      <c r="M14" s="1327"/>
      <c r="N14" s="85"/>
      <c r="O14" s="83"/>
      <c r="P14" s="86"/>
      <c r="Q14" s="87">
        <f>+$I14*지급비율!G41</f>
        <v>0</v>
      </c>
      <c r="R14" s="87"/>
      <c r="S14" s="87"/>
      <c r="T14" s="83"/>
      <c r="U14" s="85"/>
      <c r="V14" s="83"/>
      <c r="W14" s="86"/>
      <c r="X14" s="87">
        <f>+$I14*지급비율!N41</f>
        <v>0</v>
      </c>
      <c r="Y14" s="87"/>
      <c r="Z14" s="87"/>
      <c r="AA14" s="83"/>
      <c r="AB14" s="85"/>
      <c r="AC14" s="83"/>
      <c r="AD14" s="86"/>
      <c r="AE14" s="87">
        <f>+$I14*지급비율!U41</f>
        <v>0</v>
      </c>
      <c r="AF14" s="87"/>
      <c r="AG14" s="87"/>
      <c r="AH14" s="83"/>
      <c r="AI14" s="85"/>
      <c r="AJ14" s="83"/>
      <c r="AK14" s="86"/>
      <c r="AL14" s="87">
        <f>+$I14*지급비율!AB41</f>
        <v>0</v>
      </c>
      <c r="AM14" s="87"/>
      <c r="AN14" s="87"/>
      <c r="AO14" s="83"/>
      <c r="AP14" s="85"/>
      <c r="AQ14" s="83"/>
      <c r="AR14" s="86"/>
      <c r="AS14" s="87">
        <f>+$I14*지급비율!AI41</f>
        <v>0</v>
      </c>
      <c r="AT14" s="87"/>
      <c r="AU14" s="87"/>
      <c r="AV14" s="83"/>
      <c r="AW14" s="85"/>
      <c r="AX14" s="83"/>
      <c r="AY14" s="86"/>
      <c r="AZ14" s="87">
        <f>+$I14*지급비율!AP41</f>
        <v>0</v>
      </c>
      <c r="BA14" s="87"/>
      <c r="BB14" s="87"/>
      <c r="BC14" s="83"/>
      <c r="BD14" s="85"/>
      <c r="BE14" s="83"/>
      <c r="BF14" s="86"/>
      <c r="BG14" s="87">
        <f>+$I14*지급비율!AW41</f>
        <v>0</v>
      </c>
      <c r="BH14" s="87"/>
      <c r="BI14" s="87"/>
      <c r="BJ14" s="83"/>
      <c r="BK14" s="85">
        <v>46112</v>
      </c>
      <c r="BL14" s="83"/>
      <c r="BM14" s="86">
        <f t="shared" si="1"/>
        <v>1</v>
      </c>
      <c r="BN14" s="87">
        <f>+$I14*지급비율!BD41</f>
        <v>203665000</v>
      </c>
      <c r="BO14" s="87"/>
      <c r="BP14" s="87">
        <f t="shared" si="2"/>
        <v>203665000</v>
      </c>
      <c r="BQ14" s="83"/>
      <c r="BR14" s="88"/>
      <c r="BS14" s="89" t="b">
        <f>+Q14+X14+AE14+AS14+AZ14+BG14+BN14=I14</f>
        <v>1</v>
      </c>
      <c r="BT14" s="90" t="b">
        <f>+R14+Y14+AF14+AT14+BA14+BH14+BO14=K14</f>
        <v>1</v>
      </c>
      <c r="BU14" s="90"/>
      <c r="BV14" s="54"/>
      <c r="BW14" s="54"/>
      <c r="BX14" s="54"/>
      <c r="BY14" s="54"/>
      <c r="BZ14" s="54"/>
      <c r="CA14" s="54"/>
      <c r="CB14" s="54"/>
      <c r="CC14" s="54"/>
      <c r="CD14" s="58"/>
      <c r="CE14" s="58"/>
    </row>
    <row r="15" spans="1:83" ht="16.5" customHeight="1">
      <c r="A15" s="62"/>
      <c r="B15" s="1322"/>
      <c r="C15" s="1323"/>
      <c r="D15" s="1324"/>
      <c r="E15" s="1324"/>
      <c r="F15" s="91" t="s">
        <v>392</v>
      </c>
      <c r="G15" s="92">
        <f>SUM(G11:G14)</f>
        <v>1719250000</v>
      </c>
      <c r="H15" s="92">
        <f>SUM(H11:H14)</f>
        <v>171925000</v>
      </c>
      <c r="I15" s="92">
        <f>SUM(I11:I14)</f>
        <v>1891175000</v>
      </c>
      <c r="J15" s="91">
        <f t="shared" si="0"/>
        <v>0.19368857985115073</v>
      </c>
      <c r="K15" s="92">
        <f>SUM(K11:K14)</f>
        <v>366299000</v>
      </c>
      <c r="L15" s="92">
        <f>SUM(L11:L14)</f>
        <v>1524876000</v>
      </c>
      <c r="M15" s="419">
        <v>185150000</v>
      </c>
      <c r="N15" s="93"/>
      <c r="O15" s="91"/>
      <c r="P15" s="94">
        <f>+IFERROR(Q15/$I15,"-")</f>
        <v>6.4615384615384616E-2</v>
      </c>
      <c r="Q15" s="92">
        <f>SUM(Q11:Q14)</f>
        <v>122199000</v>
      </c>
      <c r="R15" s="170">
        <f>SUM(R11:R14)</f>
        <v>120235500.00000001</v>
      </c>
      <c r="S15" s="95">
        <f>+Q15-R15</f>
        <v>1963499.9999999851</v>
      </c>
      <c r="T15" s="91"/>
      <c r="U15" s="93"/>
      <c r="V15" s="91"/>
      <c r="W15" s="94">
        <f>+IFERROR(X15/$I15,"-")</f>
        <v>2.1538461538461538E-2</v>
      </c>
      <c r="X15" s="92">
        <f>SUM(X11:X14)</f>
        <v>40733000</v>
      </c>
      <c r="Y15" s="170">
        <f>SUM(Y11:Y14)</f>
        <v>40078500</v>
      </c>
      <c r="Z15" s="95">
        <f>+X15-Y15</f>
        <v>654500</v>
      </c>
      <c r="AA15" s="91"/>
      <c r="AB15" s="93"/>
      <c r="AC15" s="91"/>
      <c r="AD15" s="94">
        <f>+IFERROR(AE15/$I15,"-")</f>
        <v>0.44615384615384618</v>
      </c>
      <c r="AE15" s="92">
        <f>SUM(AE11:AE14)</f>
        <v>843755000</v>
      </c>
      <c r="AF15" s="170">
        <f>SUM(AF11:AF14)</f>
        <v>205985000</v>
      </c>
      <c r="AG15" s="95">
        <f>+AE15-AF15</f>
        <v>637770000</v>
      </c>
      <c r="AH15" s="91"/>
      <c r="AI15" s="93"/>
      <c r="AJ15" s="91"/>
      <c r="AK15" s="94">
        <f>+IFERROR(AL15/$I15,"-")</f>
        <v>0</v>
      </c>
      <c r="AL15" s="92">
        <f>SUM(AL11:AL14)</f>
        <v>0</v>
      </c>
      <c r="AM15" s="92">
        <f>SUM(AM11:AM14)</f>
        <v>0</v>
      </c>
      <c r="AN15" s="95">
        <f>+AL15-AM15</f>
        <v>0</v>
      </c>
      <c r="AO15" s="91"/>
      <c r="AP15" s="93"/>
      <c r="AQ15" s="91"/>
      <c r="AR15" s="94">
        <f>+IFERROR(AS15/$I15,"-")</f>
        <v>0</v>
      </c>
      <c r="AS15" s="92">
        <f>SUM(AS11:AS14)</f>
        <v>0</v>
      </c>
      <c r="AT15" s="92">
        <f>SUM(AT11:AT14)</f>
        <v>0</v>
      </c>
      <c r="AU15" s="95">
        <f>+AS15-AT15</f>
        <v>0</v>
      </c>
      <c r="AV15" s="91"/>
      <c r="AW15" s="93"/>
      <c r="AX15" s="91"/>
      <c r="AY15" s="94">
        <f>+IFERROR(AZ15/$I15,"-")</f>
        <v>0</v>
      </c>
      <c r="AZ15" s="92">
        <f>SUM(AZ11:AZ14)</f>
        <v>0</v>
      </c>
      <c r="BA15" s="92">
        <f>SUM(BA11:BA14)</f>
        <v>0</v>
      </c>
      <c r="BB15" s="95">
        <f>+AZ15-BA15</f>
        <v>0</v>
      </c>
      <c r="BC15" s="91"/>
      <c r="BD15" s="93"/>
      <c r="BE15" s="91"/>
      <c r="BF15" s="94">
        <f>+IFERROR(BG15/$I15,"-")</f>
        <v>0.27076923076923076</v>
      </c>
      <c r="BG15" s="92">
        <f>SUM(BG11:BG14)</f>
        <v>512072000</v>
      </c>
      <c r="BH15" s="92">
        <f>SUM(BH11:BH14)</f>
        <v>0</v>
      </c>
      <c r="BI15" s="95">
        <f>+BG15-BH15</f>
        <v>512072000</v>
      </c>
      <c r="BJ15" s="91"/>
      <c r="BK15" s="93"/>
      <c r="BL15" s="91"/>
      <c r="BM15" s="94">
        <f t="shared" si="1"/>
        <v>0.19692307692307692</v>
      </c>
      <c r="BN15" s="92">
        <f>SUM(BN11:BN14)</f>
        <v>372416000</v>
      </c>
      <c r="BO15" s="92">
        <f>SUM(BO11:BO14)</f>
        <v>0</v>
      </c>
      <c r="BP15" s="95">
        <f t="shared" si="2"/>
        <v>372416000</v>
      </c>
      <c r="BQ15" s="91"/>
      <c r="BR15" s="88"/>
      <c r="BS15" s="96"/>
      <c r="BT15" s="97"/>
      <c r="BU15" s="97"/>
      <c r="BV15" s="54"/>
      <c r="BW15" s="54"/>
      <c r="BX15" s="54"/>
      <c r="BY15" s="54"/>
      <c r="BZ15" s="54"/>
      <c r="CA15" s="54"/>
      <c r="CB15" s="54"/>
      <c r="CC15" s="54"/>
      <c r="CD15" s="58"/>
      <c r="CE15" s="58"/>
    </row>
    <row r="16" spans="1:83" ht="16.5" customHeight="1">
      <c r="A16" s="62"/>
      <c r="B16" s="1322">
        <f>+B11+1</f>
        <v>2</v>
      </c>
      <c r="C16" s="1328" t="s">
        <v>393</v>
      </c>
      <c r="D16" s="1329">
        <v>386</v>
      </c>
      <c r="E16" s="1324" t="s">
        <v>387</v>
      </c>
      <c r="F16" s="65" t="s">
        <v>388</v>
      </c>
      <c r="G16" s="76">
        <f>+지급비율!F38/1000*$D$16</f>
        <v>424600000</v>
      </c>
      <c r="H16" s="98">
        <f>+G16*10%</f>
        <v>42460000</v>
      </c>
      <c r="I16" s="98">
        <f>SUM(G16:H16)</f>
        <v>467060000</v>
      </c>
      <c r="J16" s="83">
        <f t="shared" si="0"/>
        <v>0</v>
      </c>
      <c r="K16" s="84">
        <f>+IFERROR(R16+Y16+AF16+AT16+BA16+BH16+BO16,"-")</f>
        <v>0</v>
      </c>
      <c r="L16" s="99">
        <f>+I16-K16</f>
        <v>467060000</v>
      </c>
      <c r="M16" s="446"/>
      <c r="N16" s="68"/>
      <c r="O16" s="68"/>
      <c r="P16" s="69"/>
      <c r="Q16" s="70"/>
      <c r="R16" s="70"/>
      <c r="S16" s="87">
        <f>+Q16-R16</f>
        <v>0</v>
      </c>
      <c r="T16" s="71"/>
      <c r="U16" s="68"/>
      <c r="V16" s="68"/>
      <c r="W16" s="86"/>
      <c r="X16" s="70">
        <f>+$I16*지급비율!N38</f>
        <v>0</v>
      </c>
      <c r="Y16" s="70"/>
      <c r="Z16" s="70">
        <f>+X16-Y16</f>
        <v>0</v>
      </c>
      <c r="AA16" s="71"/>
      <c r="AB16" s="68">
        <f>+EDATE(AI16,-1)</f>
        <v>45990</v>
      </c>
      <c r="AC16" s="68"/>
      <c r="AD16" s="69">
        <f>+IFERROR(AE16/$I16,"-")</f>
        <v>0.5</v>
      </c>
      <c r="AE16" s="70">
        <f>+$I16*지급비율!U38</f>
        <v>233530000</v>
      </c>
      <c r="AF16" s="70"/>
      <c r="AG16" s="70">
        <f>+AE16-AF16</f>
        <v>233530000</v>
      </c>
      <c r="AH16" s="71"/>
      <c r="AI16" s="68">
        <f>+EDATE(AP16,-1)</f>
        <v>46020</v>
      </c>
      <c r="AJ16" s="68"/>
      <c r="AK16" s="69">
        <f>+IFERROR(AL16/$I16,"-")</f>
        <v>0</v>
      </c>
      <c r="AL16" s="70">
        <f>+$I16*지급비율!AB38</f>
        <v>0</v>
      </c>
      <c r="AM16" s="70"/>
      <c r="AN16" s="70">
        <f>+AL16-AM16</f>
        <v>0</v>
      </c>
      <c r="AO16" s="71"/>
      <c r="AP16" s="68">
        <f>+EDATE(AW16,-1)+1</f>
        <v>46051</v>
      </c>
      <c r="AQ16" s="68"/>
      <c r="AR16" s="100">
        <f>+IFERROR(AS16/$I16,"-")</f>
        <v>0</v>
      </c>
      <c r="AS16" s="70">
        <f>+$I16*지급비율!AI38</f>
        <v>0</v>
      </c>
      <c r="AT16" s="70"/>
      <c r="AU16" s="70">
        <f>+AS16-AT16</f>
        <v>0</v>
      </c>
      <c r="AV16" s="71"/>
      <c r="AW16" s="68">
        <f>+EDATE(BD16,-1)</f>
        <v>46081</v>
      </c>
      <c r="AX16" s="68"/>
      <c r="AY16" s="69">
        <f>+IFERROR(AZ16/$I16,"-")</f>
        <v>0</v>
      </c>
      <c r="AZ16" s="70">
        <f>+$I16*지급비율!AP38</f>
        <v>0</v>
      </c>
      <c r="BA16" s="70"/>
      <c r="BB16" s="70">
        <f>+AZ16-BA16</f>
        <v>0</v>
      </c>
      <c r="BC16" s="71"/>
      <c r="BD16" s="68">
        <f>+EDATE(BK16,-1)</f>
        <v>46111</v>
      </c>
      <c r="BE16" s="68"/>
      <c r="BF16" s="69">
        <f>+IFERROR(BG16/$I16,"-")</f>
        <v>0.4</v>
      </c>
      <c r="BG16" s="70">
        <f>+$I16*지급비율!AW38</f>
        <v>186824000</v>
      </c>
      <c r="BH16" s="70"/>
      <c r="BI16" s="70">
        <f>+BG16-BH16</f>
        <v>186824000</v>
      </c>
      <c r="BJ16" s="71"/>
      <c r="BK16" s="68">
        <v>46142</v>
      </c>
      <c r="BL16" s="68"/>
      <c r="BM16" s="69">
        <f t="shared" si="1"/>
        <v>0.1</v>
      </c>
      <c r="BN16" s="70">
        <f>+$I16*지급비율!BD38</f>
        <v>46706000</v>
      </c>
      <c r="BO16" s="70"/>
      <c r="BP16" s="70">
        <f t="shared" si="2"/>
        <v>46706000</v>
      </c>
      <c r="BQ16" s="71"/>
      <c r="BR16" s="73"/>
      <c r="BS16" s="74" t="b">
        <f>+Q16+X16+AE16+AS16+AZ16+BG16+BN16=I16</f>
        <v>1</v>
      </c>
      <c r="BT16" s="74" t="b">
        <f>+R16+Y16+AF16+AT16+BA16+BH16+BO16=K16</f>
        <v>1</v>
      </c>
      <c r="BU16" s="74"/>
      <c r="BV16" s="54"/>
      <c r="BW16" s="54"/>
      <c r="BX16" s="54"/>
      <c r="BY16" s="54"/>
      <c r="BZ16" s="54"/>
      <c r="CA16" s="54"/>
      <c r="CB16" s="54"/>
      <c r="CC16" s="54"/>
      <c r="CD16" s="58"/>
      <c r="CE16" s="58"/>
    </row>
    <row r="17" spans="1:83" ht="16.5" customHeight="1">
      <c r="A17" s="62"/>
      <c r="B17" s="1322"/>
      <c r="C17" s="1328"/>
      <c r="D17" s="1329"/>
      <c r="E17" s="1324"/>
      <c r="F17" s="75" t="s">
        <v>389</v>
      </c>
      <c r="G17" s="76">
        <f>+지급비율!F39/1000*$D$16</f>
        <v>115800000</v>
      </c>
      <c r="H17" s="76">
        <f>+G17*10%</f>
        <v>11580000</v>
      </c>
      <c r="I17" s="76">
        <f>SUM(G17:H17)</f>
        <v>127380000</v>
      </c>
      <c r="J17" s="75">
        <f t="shared" si="0"/>
        <v>0.9</v>
      </c>
      <c r="K17" s="77">
        <f>+IFERROR(R17+Y17+AF17+AT17+BA17+BH17+BO17,"-")</f>
        <v>114642000</v>
      </c>
      <c r="L17" s="77">
        <f>+I17-K17</f>
        <v>12738000</v>
      </c>
      <c r="M17" s="447"/>
      <c r="N17" s="78">
        <f>+O17</f>
        <v>45730</v>
      </c>
      <c r="O17" s="78">
        <v>45730</v>
      </c>
      <c r="P17" s="79">
        <f>+IFERROR(Q17/$I17,"-")</f>
        <v>0.3</v>
      </c>
      <c r="Q17" s="80">
        <f>+$I17*[5]지급비율!G$35</f>
        <v>38214000</v>
      </c>
      <c r="R17" s="80">
        <v>40194000</v>
      </c>
      <c r="S17" s="80">
        <f>+Q17-R17</f>
        <v>-1980000</v>
      </c>
      <c r="T17" s="81"/>
      <c r="U17" s="78">
        <v>45826</v>
      </c>
      <c r="V17" s="78">
        <v>45826</v>
      </c>
      <c r="W17" s="79">
        <f>+IFERROR(X17/$I17,"-")</f>
        <v>0.1</v>
      </c>
      <c r="X17" s="80">
        <f>+$I17*지급비율!N39</f>
        <v>12738000</v>
      </c>
      <c r="Y17" s="80">
        <v>13398000</v>
      </c>
      <c r="Z17" s="80">
        <f>+X17-Y17</f>
        <v>-660000</v>
      </c>
      <c r="AA17" s="81"/>
      <c r="AB17" s="78">
        <v>45855</v>
      </c>
      <c r="AC17" s="78">
        <v>45867</v>
      </c>
      <c r="AD17" s="79">
        <f>+IFERROR(AE17/$I17,"-")</f>
        <v>0.5</v>
      </c>
      <c r="AE17" s="80">
        <f>+$I17*지급비율!U39</f>
        <v>63690000</v>
      </c>
      <c r="AF17" s="80">
        <f>+AE17+X17+Q17-Y17-R17</f>
        <v>61050000</v>
      </c>
      <c r="AG17" s="80">
        <f>+AE17-AF17</f>
        <v>2640000</v>
      </c>
      <c r="AH17" s="81"/>
      <c r="AI17" s="78"/>
      <c r="AJ17" s="78"/>
      <c r="AK17" s="79">
        <f>+IFERROR(AL17/$I17,"-")</f>
        <v>0</v>
      </c>
      <c r="AL17" s="80">
        <f>+$I17*지급비율!AB39</f>
        <v>0</v>
      </c>
      <c r="AM17" s="80"/>
      <c r="AN17" s="80">
        <f>+AL17-AM17</f>
        <v>0</v>
      </c>
      <c r="AO17" s="81"/>
      <c r="AP17" s="78"/>
      <c r="AQ17" s="78"/>
      <c r="AR17" s="79"/>
      <c r="AS17" s="80">
        <f>+$I17*지급비율!AI39</f>
        <v>0</v>
      </c>
      <c r="AT17" s="80"/>
      <c r="AU17" s="80">
        <f>+AS17-AT17</f>
        <v>0</v>
      </c>
      <c r="AV17" s="81"/>
      <c r="AW17" s="78"/>
      <c r="AX17" s="78"/>
      <c r="AY17" s="79"/>
      <c r="AZ17" s="80">
        <f>+$I17*지급비율!AP39</f>
        <v>0</v>
      </c>
      <c r="BA17" s="80"/>
      <c r="BB17" s="80">
        <f>+AZ17-BA17</f>
        <v>0</v>
      </c>
      <c r="BC17" s="81"/>
      <c r="BD17" s="78"/>
      <c r="BE17" s="78"/>
      <c r="BF17" s="79"/>
      <c r="BG17" s="80">
        <f>+$I17*지급비율!AW39</f>
        <v>0</v>
      </c>
      <c r="BH17" s="80"/>
      <c r="BI17" s="80">
        <f>+BG17-BH17</f>
        <v>0</v>
      </c>
      <c r="BJ17" s="81"/>
      <c r="BK17" s="78">
        <v>46142</v>
      </c>
      <c r="BL17" s="78"/>
      <c r="BM17" s="79">
        <f t="shared" si="1"/>
        <v>0.1</v>
      </c>
      <c r="BN17" s="80">
        <f>+$I17*지급비율!BD39</f>
        <v>12738000</v>
      </c>
      <c r="BO17" s="80"/>
      <c r="BP17" s="80">
        <f t="shared" si="2"/>
        <v>12738000</v>
      </c>
      <c r="BQ17" s="81"/>
      <c r="BR17" s="73"/>
      <c r="BS17" s="74" t="b">
        <f>+Q17+X17+AE17+AS17+AZ17+BG17+BN17=I17</f>
        <v>1</v>
      </c>
      <c r="BT17" s="74" t="b">
        <f>+R17+Y17+AF17+AT17+BA17+BH17+BO17=K17</f>
        <v>1</v>
      </c>
      <c r="BU17" s="74" t="b">
        <f>+BG17+BG18+AZ17+AZ18+AS17+AS18+AE17+AE18+X17+X18+Q17+Q18+BN17+BN18=([5]지급비율!$F$35+[5]지급비율!$F$36)*1.1*D16/1000</f>
        <v>1</v>
      </c>
      <c r="BV17" s="54"/>
      <c r="BW17" s="54"/>
      <c r="BX17" s="54"/>
      <c r="BY17" s="54"/>
      <c r="BZ17" s="54"/>
      <c r="CA17" s="54"/>
      <c r="CB17" s="54"/>
      <c r="CC17" s="54"/>
      <c r="CD17" s="58"/>
      <c r="CE17" s="58"/>
    </row>
    <row r="18" spans="1:83" ht="16.5" customHeight="1">
      <c r="A18" s="62"/>
      <c r="B18" s="1322"/>
      <c r="C18" s="1328"/>
      <c r="D18" s="1329"/>
      <c r="E18" s="1324"/>
      <c r="F18" s="75" t="s">
        <v>390</v>
      </c>
      <c r="G18" s="76">
        <f>+지급비율!F40/1000*$D$16</f>
        <v>19300000</v>
      </c>
      <c r="H18" s="76">
        <f>+G18*10%</f>
        <v>1930000</v>
      </c>
      <c r="I18" s="76">
        <f>SUM(G18:H18)</f>
        <v>21230000</v>
      </c>
      <c r="J18" s="75">
        <f t="shared" si="0"/>
        <v>0.9</v>
      </c>
      <c r="K18" s="77">
        <f>+IFERROR(R18+Y18+AF18+AT18+BA18+BH18+BO18,"-")</f>
        <v>19107000</v>
      </c>
      <c r="L18" s="77">
        <f>+I18-K18</f>
        <v>2123000</v>
      </c>
      <c r="M18" s="447"/>
      <c r="N18" s="78">
        <f>+O18</f>
        <v>45730</v>
      </c>
      <c r="O18" s="72">
        <f>O17</f>
        <v>45730</v>
      </c>
      <c r="P18" s="79">
        <f>+IFERROR(Q18/$I18,"-")</f>
        <v>0.3</v>
      </c>
      <c r="Q18" s="80">
        <f>+$I18*[5]지급비율!G$36</f>
        <v>6369000</v>
      </c>
      <c r="R18" s="80">
        <v>6699000.0000000009</v>
      </c>
      <c r="S18" s="80">
        <f>+Q18-R18</f>
        <v>-330000.00000000093</v>
      </c>
      <c r="T18" s="81"/>
      <c r="U18" s="78">
        <v>45826</v>
      </c>
      <c r="V18" s="78">
        <v>45826</v>
      </c>
      <c r="W18" s="79">
        <f>+IFERROR(X18/$I18,"-")</f>
        <v>0.1</v>
      </c>
      <c r="X18" s="80">
        <f>+$I18*지급비율!N40</f>
        <v>2123000</v>
      </c>
      <c r="Y18" s="80">
        <v>2233000</v>
      </c>
      <c r="Z18" s="80">
        <f>+X18-Y18</f>
        <v>-110000</v>
      </c>
      <c r="AA18" s="81"/>
      <c r="AB18" s="78">
        <v>45855</v>
      </c>
      <c r="AC18" s="78">
        <v>45867</v>
      </c>
      <c r="AD18" s="79">
        <f>+IFERROR(AE18/$I18,"-")</f>
        <v>0.5</v>
      </c>
      <c r="AE18" s="80">
        <f>+$I18*지급비율!U40</f>
        <v>10615000</v>
      </c>
      <c r="AF18" s="80">
        <f>+AE18+X18+Q18-Y18-R18</f>
        <v>10175000</v>
      </c>
      <c r="AG18" s="80">
        <f>+AE18-AF18</f>
        <v>440000</v>
      </c>
      <c r="AH18" s="81"/>
      <c r="AI18" s="72"/>
      <c r="AJ18" s="72"/>
      <c r="AK18" s="79">
        <f>+IFERROR(AL18/$I18,"-")</f>
        <v>0</v>
      </c>
      <c r="AL18" s="80">
        <f>+$I18*지급비율!AB40</f>
        <v>0</v>
      </c>
      <c r="AM18" s="80"/>
      <c r="AN18" s="80">
        <f>+AL18-AM18</f>
        <v>0</v>
      </c>
      <c r="AO18" s="81"/>
      <c r="AP18" s="72"/>
      <c r="AQ18" s="72"/>
      <c r="AR18" s="79"/>
      <c r="AS18" s="80">
        <f>+$I18*지급비율!AI40</f>
        <v>0</v>
      </c>
      <c r="AT18" s="80"/>
      <c r="AU18" s="80">
        <f>+AS18-AT18</f>
        <v>0</v>
      </c>
      <c r="AV18" s="81"/>
      <c r="AW18" s="72"/>
      <c r="AX18" s="72"/>
      <c r="AY18" s="79"/>
      <c r="AZ18" s="80">
        <f>+$I18*지급비율!AP40</f>
        <v>0</v>
      </c>
      <c r="BA18" s="80"/>
      <c r="BB18" s="80">
        <f>+AZ18-BA18</f>
        <v>0</v>
      </c>
      <c r="BC18" s="81"/>
      <c r="BD18" s="72"/>
      <c r="BE18" s="72"/>
      <c r="BF18" s="79"/>
      <c r="BG18" s="80">
        <f>+$I18*지급비율!AW40</f>
        <v>0</v>
      </c>
      <c r="BH18" s="80"/>
      <c r="BI18" s="80">
        <f>+BG18-BH18</f>
        <v>0</v>
      </c>
      <c r="BJ18" s="81"/>
      <c r="BK18" s="78">
        <v>46142</v>
      </c>
      <c r="BL18" s="72"/>
      <c r="BM18" s="79">
        <f t="shared" si="1"/>
        <v>0.1</v>
      </c>
      <c r="BN18" s="80">
        <f>+$I18*지급비율!BD40</f>
        <v>2123000</v>
      </c>
      <c r="BO18" s="80"/>
      <c r="BP18" s="80">
        <f t="shared" si="2"/>
        <v>2123000</v>
      </c>
      <c r="BQ18" s="81"/>
      <c r="BR18" s="73"/>
      <c r="BS18" s="74" t="b">
        <f>+Q18+X18+AE18+AS18+AZ18+BG18+BN18=I18</f>
        <v>1</v>
      </c>
      <c r="BT18" s="74" t="b">
        <f>+R18+Y18+AF18+AT18+BA18+BH18+BO18=K18</f>
        <v>1</v>
      </c>
      <c r="BU18" s="74"/>
      <c r="BV18" s="54"/>
      <c r="BW18" s="54"/>
      <c r="BX18" s="54"/>
      <c r="BY18" s="54"/>
      <c r="BZ18" s="54"/>
      <c r="CA18" s="54"/>
      <c r="CB18" s="54"/>
      <c r="CC18" s="54"/>
      <c r="CD18" s="58"/>
      <c r="CE18" s="58"/>
    </row>
    <row r="19" spans="1:83" ht="16.5" customHeight="1">
      <c r="A19" s="62"/>
      <c r="B19" s="1322"/>
      <c r="C19" s="1328"/>
      <c r="D19" s="1329"/>
      <c r="E19" s="1324"/>
      <c r="F19" s="101" t="s">
        <v>391</v>
      </c>
      <c r="G19" s="102">
        <f>+지급비율!F41/1000*$D$16</f>
        <v>67550000</v>
      </c>
      <c r="H19" s="102">
        <f>+G19*0.1</f>
        <v>6755000</v>
      </c>
      <c r="I19" s="102">
        <f>SUM(G19:H19)</f>
        <v>74305000</v>
      </c>
      <c r="J19" s="101">
        <f t="shared" si="0"/>
        <v>0</v>
      </c>
      <c r="K19" s="103">
        <f>+IFERROR(R19+Y19+AF19+AT19+BA19+BH19+BO19,"-")</f>
        <v>0</v>
      </c>
      <c r="L19" s="103">
        <f>+I19-K19</f>
        <v>74305000</v>
      </c>
      <c r="M19" s="448"/>
      <c r="N19" s="85"/>
      <c r="O19" s="83"/>
      <c r="P19" s="86"/>
      <c r="Q19" s="87"/>
      <c r="R19" s="87"/>
      <c r="S19" s="87"/>
      <c r="T19" s="83"/>
      <c r="U19" s="85"/>
      <c r="V19" s="83"/>
      <c r="W19" s="86"/>
      <c r="X19" s="87">
        <f>+$I19*지급비율!N41</f>
        <v>0</v>
      </c>
      <c r="Y19" s="87"/>
      <c r="Z19" s="87"/>
      <c r="AA19" s="83"/>
      <c r="AB19" s="85"/>
      <c r="AC19" s="83"/>
      <c r="AD19" s="86"/>
      <c r="AE19" s="87">
        <f>+$I19*지급비율!U41</f>
        <v>0</v>
      </c>
      <c r="AF19" s="87"/>
      <c r="AG19" s="87"/>
      <c r="AH19" s="83"/>
      <c r="AI19" s="85"/>
      <c r="AJ19" s="83"/>
      <c r="AK19" s="86"/>
      <c r="AL19" s="106">
        <f>+$I19*지급비율!AB41</f>
        <v>0</v>
      </c>
      <c r="AM19" s="87"/>
      <c r="AN19" s="87"/>
      <c r="AO19" s="83"/>
      <c r="AP19" s="85"/>
      <c r="AQ19" s="83"/>
      <c r="AR19" s="86"/>
      <c r="AS19" s="106">
        <f>+$I19*지급비율!AI41</f>
        <v>0</v>
      </c>
      <c r="AT19" s="87"/>
      <c r="AU19" s="87"/>
      <c r="AV19" s="83"/>
      <c r="AW19" s="85"/>
      <c r="AX19" s="83"/>
      <c r="AY19" s="86"/>
      <c r="AZ19" s="106">
        <f>+$I19*지급비율!AP41</f>
        <v>0</v>
      </c>
      <c r="BA19" s="87"/>
      <c r="BB19" s="87"/>
      <c r="BC19" s="83"/>
      <c r="BD19" s="85"/>
      <c r="BE19" s="83"/>
      <c r="BF19" s="86"/>
      <c r="BG19" s="106">
        <f>+$I19*지급비율!AW41</f>
        <v>0</v>
      </c>
      <c r="BH19" s="87"/>
      <c r="BI19" s="87"/>
      <c r="BJ19" s="83"/>
      <c r="BK19" s="104">
        <v>46142</v>
      </c>
      <c r="BL19" s="101"/>
      <c r="BM19" s="105">
        <f t="shared" si="1"/>
        <v>1</v>
      </c>
      <c r="BN19" s="106">
        <f>+$I19*지급비율!BD41</f>
        <v>74305000</v>
      </c>
      <c r="BO19" s="106"/>
      <c r="BP19" s="106">
        <f t="shared" si="2"/>
        <v>74305000</v>
      </c>
      <c r="BQ19" s="101"/>
      <c r="BR19" s="88"/>
      <c r="BS19" s="89" t="b">
        <f>+Q19+X19+AE19+AS19+AZ19+BG19+BN19=I19</f>
        <v>1</v>
      </c>
      <c r="BT19" s="90" t="b">
        <f>+R19+Y19+AF19+AT19+BA19+BH19+BO19=K19</f>
        <v>1</v>
      </c>
      <c r="BU19" s="90"/>
      <c r="BV19" s="54"/>
      <c r="BW19" s="54"/>
      <c r="BX19" s="54"/>
      <c r="BY19" s="54"/>
      <c r="BZ19" s="54"/>
      <c r="CA19" s="54"/>
      <c r="CB19" s="54"/>
      <c r="CC19" s="54"/>
      <c r="CD19" s="58"/>
      <c r="CE19" s="58"/>
    </row>
    <row r="20" spans="1:83" ht="16.5" customHeight="1">
      <c r="A20" s="62"/>
      <c r="B20" s="1322"/>
      <c r="C20" s="1328"/>
      <c r="D20" s="1329"/>
      <c r="E20" s="1324"/>
      <c r="F20" s="91" t="s">
        <v>392</v>
      </c>
      <c r="G20" s="92">
        <f>SUM(G16:G19)</f>
        <v>627250000</v>
      </c>
      <c r="H20" s="92">
        <f>SUM(H16:H19)</f>
        <v>62725000</v>
      </c>
      <c r="I20" s="92">
        <f>SUM(I16:I19)</f>
        <v>689975000</v>
      </c>
      <c r="J20" s="91">
        <f t="shared" si="0"/>
        <v>0.19384615384615383</v>
      </c>
      <c r="K20" s="92">
        <f>SUM(K16:K19)</f>
        <v>133749000</v>
      </c>
      <c r="L20" s="92">
        <f>SUM(L16:L19)</f>
        <v>556226000</v>
      </c>
      <c r="M20" s="419"/>
      <c r="N20" s="93"/>
      <c r="O20" s="91"/>
      <c r="P20" s="94">
        <f>+IFERROR(Q20/$I20,"-")</f>
        <v>6.4615384615384616E-2</v>
      </c>
      <c r="Q20" s="92">
        <f>SUM(Q16:Q19)</f>
        <v>44583000</v>
      </c>
      <c r="R20" s="170">
        <f>SUM(R16:R19)</f>
        <v>46893000</v>
      </c>
      <c r="S20" s="95">
        <f>+Q20-R20</f>
        <v>-2310000</v>
      </c>
      <c r="T20" s="91"/>
      <c r="U20" s="93"/>
      <c r="V20" s="91"/>
      <c r="W20" s="94">
        <f>+IFERROR(X20/$I20,"-")</f>
        <v>2.1538461538461538E-2</v>
      </c>
      <c r="X20" s="92">
        <f>SUM(X16:X19)</f>
        <v>14861000</v>
      </c>
      <c r="Y20" s="170">
        <f>SUM(Y16:Y19)</f>
        <v>15631000</v>
      </c>
      <c r="Z20" s="95">
        <f>+X20-Y20</f>
        <v>-770000</v>
      </c>
      <c r="AA20" s="91"/>
      <c r="AB20" s="93"/>
      <c r="AC20" s="91"/>
      <c r="AD20" s="94">
        <f>+IFERROR(AE20/$I20,"-")</f>
        <v>0.44615384615384618</v>
      </c>
      <c r="AE20" s="92">
        <f>SUM(AE16:AE19)</f>
        <v>307835000</v>
      </c>
      <c r="AF20" s="170">
        <f>SUM(AF16:AF19)</f>
        <v>71225000</v>
      </c>
      <c r="AG20" s="95">
        <f>+AE20-AF20</f>
        <v>236610000</v>
      </c>
      <c r="AH20" s="91"/>
      <c r="AI20" s="93"/>
      <c r="AJ20" s="91"/>
      <c r="AK20" s="94">
        <f>+IFERROR(AL20/$I20,"-")</f>
        <v>0</v>
      </c>
      <c r="AL20" s="92">
        <f>SUM(AL16:AL19)</f>
        <v>0</v>
      </c>
      <c r="AM20" s="92">
        <f>SUM(AM16:AM19)</f>
        <v>0</v>
      </c>
      <c r="AN20" s="95">
        <f>+AL20-AM20</f>
        <v>0</v>
      </c>
      <c r="AO20" s="91"/>
      <c r="AP20" s="93"/>
      <c r="AQ20" s="91"/>
      <c r="AR20" s="94">
        <f>+IFERROR(AS20/$I20,"-")</f>
        <v>0</v>
      </c>
      <c r="AS20" s="92">
        <f>SUM(AS16:AS19)</f>
        <v>0</v>
      </c>
      <c r="AT20" s="92">
        <f>SUM(AT16:AT19)</f>
        <v>0</v>
      </c>
      <c r="AU20" s="95">
        <f>+AS20-AT20</f>
        <v>0</v>
      </c>
      <c r="AV20" s="91"/>
      <c r="AW20" s="93"/>
      <c r="AX20" s="91"/>
      <c r="AY20" s="94">
        <f>+IFERROR(AZ20/$I20,"-")</f>
        <v>0</v>
      </c>
      <c r="AZ20" s="92">
        <f>SUM(AZ16:AZ19)</f>
        <v>0</v>
      </c>
      <c r="BA20" s="92">
        <f>SUM(BA16:BA19)</f>
        <v>0</v>
      </c>
      <c r="BB20" s="95">
        <f>+AZ20-BA20</f>
        <v>0</v>
      </c>
      <c r="BC20" s="91"/>
      <c r="BD20" s="93"/>
      <c r="BE20" s="91"/>
      <c r="BF20" s="94">
        <f>+IFERROR(BG20/$I20,"-")</f>
        <v>0.27076923076923076</v>
      </c>
      <c r="BG20" s="92">
        <f>SUM(BG16:BG19)</f>
        <v>186824000</v>
      </c>
      <c r="BH20" s="92">
        <f>SUM(BH16:BH19)</f>
        <v>0</v>
      </c>
      <c r="BI20" s="95">
        <f>+BG20-BH20</f>
        <v>186824000</v>
      </c>
      <c r="BJ20" s="91"/>
      <c r="BK20" s="93"/>
      <c r="BL20" s="91"/>
      <c r="BM20" s="94">
        <f t="shared" si="1"/>
        <v>0.19692307692307692</v>
      </c>
      <c r="BN20" s="92">
        <f>SUM(BN16:BN19)</f>
        <v>135872000</v>
      </c>
      <c r="BO20" s="92">
        <f>SUM(BO16:BO19)</f>
        <v>0</v>
      </c>
      <c r="BP20" s="95">
        <f t="shared" si="2"/>
        <v>135872000</v>
      </c>
      <c r="BQ20" s="91"/>
      <c r="BR20" s="88"/>
      <c r="BS20" s="96"/>
      <c r="BT20" s="97"/>
      <c r="BU20" s="97"/>
      <c r="BV20" s="54"/>
      <c r="BW20" s="54"/>
      <c r="BX20" s="54"/>
      <c r="BY20" s="54"/>
      <c r="BZ20" s="54"/>
      <c r="CA20" s="54"/>
      <c r="CB20" s="54"/>
      <c r="CC20" s="54"/>
      <c r="CD20" s="58"/>
      <c r="CE20" s="58"/>
    </row>
    <row r="21" spans="1:83" ht="16.5" customHeight="1">
      <c r="A21" s="107"/>
      <c r="B21" s="1322">
        <f>+B16+1</f>
        <v>3</v>
      </c>
      <c r="C21" s="1328" t="s">
        <v>394</v>
      </c>
      <c r="D21" s="1329">
        <f>+'[5]DG-PV Organic'!O29</f>
        <v>210</v>
      </c>
      <c r="E21" s="1324" t="s">
        <v>387</v>
      </c>
      <c r="F21" s="63" t="s">
        <v>388</v>
      </c>
      <c r="G21" s="76">
        <f>+지급비율!F46/1000*$D$21</f>
        <v>231000000</v>
      </c>
      <c r="H21" s="64">
        <f>+G21*10%</f>
        <v>23100000</v>
      </c>
      <c r="I21" s="64">
        <f>SUM(G21:H21)</f>
        <v>254100000</v>
      </c>
      <c r="J21" s="65">
        <f t="shared" si="0"/>
        <v>0</v>
      </c>
      <c r="K21" s="70">
        <f>+IFERROR(R21+Y21+AF21+AT21+BA21+BH21+BO21,"-")</f>
        <v>0</v>
      </c>
      <c r="L21" s="70">
        <f>+I21-K21</f>
        <v>254100000</v>
      </c>
      <c r="M21" s="1325" t="s">
        <v>265</v>
      </c>
      <c r="N21" s="67"/>
      <c r="O21" s="68"/>
      <c r="P21" s="69"/>
      <c r="Q21" s="70">
        <f>+$I21*지급비율!G46</f>
        <v>0</v>
      </c>
      <c r="R21" s="70"/>
      <c r="S21" s="70">
        <f>+Q21-R21</f>
        <v>0</v>
      </c>
      <c r="T21" s="71"/>
      <c r="U21" s="67"/>
      <c r="V21" s="68"/>
      <c r="W21" s="69"/>
      <c r="X21" s="70">
        <f>+$I21*지급비율!N46</f>
        <v>0</v>
      </c>
      <c r="Y21" s="70"/>
      <c r="Z21" s="70">
        <f>+X21-Y21</f>
        <v>0</v>
      </c>
      <c r="AA21" s="71"/>
      <c r="AB21" s="67">
        <f>+EDATE(AI21,0)</f>
        <v>45991</v>
      </c>
      <c r="AC21" s="68"/>
      <c r="AD21" s="69">
        <f>+IFERROR(AE21/$I21,"-")</f>
        <v>0.5</v>
      </c>
      <c r="AE21" s="70">
        <f>+$I21*지급비율!U46</f>
        <v>127050000</v>
      </c>
      <c r="AF21" s="70"/>
      <c r="AG21" s="70">
        <f>+AE21-AF21</f>
        <v>127050000</v>
      </c>
      <c r="AH21" s="71"/>
      <c r="AI21" s="67">
        <f>+EDATE(AP21,-1)</f>
        <v>45991</v>
      </c>
      <c r="AJ21" s="68"/>
      <c r="AK21" s="69">
        <f>+IFERROR(AL21/$I21,"-")</f>
        <v>0</v>
      </c>
      <c r="AL21" s="70">
        <f>+$I21*지급비율!AB46</f>
        <v>0</v>
      </c>
      <c r="AM21" s="70"/>
      <c r="AN21" s="70">
        <f>+AL21-AM21</f>
        <v>0</v>
      </c>
      <c r="AO21" s="71"/>
      <c r="AP21" s="67">
        <f>+EDATE(AW21,-1)</f>
        <v>46022</v>
      </c>
      <c r="AQ21" s="68"/>
      <c r="AR21" s="69">
        <f>+IFERROR(AS21/$I21,"-")</f>
        <v>0</v>
      </c>
      <c r="AS21" s="70">
        <f>+$I21*지급비율!AI46</f>
        <v>0</v>
      </c>
      <c r="AT21" s="70"/>
      <c r="AU21" s="70">
        <f>+AS21-AT21</f>
        <v>0</v>
      </c>
      <c r="AV21" s="71"/>
      <c r="AW21" s="67">
        <f>+EDATE(BD21,-1)+3</f>
        <v>46053</v>
      </c>
      <c r="AX21" s="68"/>
      <c r="AY21" s="69">
        <f>+IFERROR(AZ21/$I21,"-")</f>
        <v>0</v>
      </c>
      <c r="AZ21" s="70">
        <f>+$I21*지급비율!AP46</f>
        <v>0</v>
      </c>
      <c r="BA21" s="70"/>
      <c r="BB21" s="70">
        <f>+AZ21-BA21</f>
        <v>0</v>
      </c>
      <c r="BC21" s="71"/>
      <c r="BD21" s="67">
        <f>+EDATE(BK21,-1)</f>
        <v>46081</v>
      </c>
      <c r="BE21" s="68"/>
      <c r="BF21" s="69">
        <f>+IFERROR(BG21/$I21,"-")</f>
        <v>0.4</v>
      </c>
      <c r="BG21" s="70">
        <f>+$I21*지급비율!AW46</f>
        <v>101640000</v>
      </c>
      <c r="BH21" s="70"/>
      <c r="BI21" s="70">
        <f>+BG21-BH21</f>
        <v>101640000</v>
      </c>
      <c r="BJ21" s="71"/>
      <c r="BK21" s="67">
        <v>46112</v>
      </c>
      <c r="BL21" s="68"/>
      <c r="BM21" s="69">
        <f t="shared" si="1"/>
        <v>0.1</v>
      </c>
      <c r="BN21" s="70">
        <f>+$I21*지급비율!BD46</f>
        <v>25410000</v>
      </c>
      <c r="BO21" s="70"/>
      <c r="BP21" s="70">
        <f t="shared" si="2"/>
        <v>25410000</v>
      </c>
      <c r="BQ21" s="71"/>
      <c r="BR21" s="73"/>
      <c r="BS21" s="74" t="b">
        <f>+Q21+X21+AE21+AS21+AZ21+BG21+BN21=I21</f>
        <v>1</v>
      </c>
      <c r="BT21" s="74" t="b">
        <f>+R21+Y21+AF21+AT21+BA21+BH21+BO21=K21</f>
        <v>1</v>
      </c>
      <c r="BU21" s="74"/>
      <c r="BV21" s="58"/>
      <c r="BW21" s="58"/>
      <c r="BX21" s="58"/>
      <c r="BY21" s="58"/>
      <c r="BZ21" s="58"/>
      <c r="CA21" s="58"/>
      <c r="CB21" s="58"/>
      <c r="CC21" s="58"/>
      <c r="CD21" s="58"/>
      <c r="CE21" s="58"/>
    </row>
    <row r="22" spans="1:83" ht="16.5" customHeight="1">
      <c r="A22" s="107"/>
      <c r="B22" s="1322"/>
      <c r="C22" s="1328"/>
      <c r="D22" s="1329"/>
      <c r="E22" s="1324"/>
      <c r="F22" s="75" t="s">
        <v>389</v>
      </c>
      <c r="G22" s="76">
        <f>+지급비율!F47/1000*$D$21</f>
        <v>63000000</v>
      </c>
      <c r="H22" s="76">
        <f>+G22*10%</f>
        <v>6300000</v>
      </c>
      <c r="I22" s="76">
        <f>SUM(G22:H22)</f>
        <v>69300000</v>
      </c>
      <c r="J22" s="75">
        <f t="shared" si="0"/>
        <v>0.4</v>
      </c>
      <c r="K22" s="80">
        <f>+IFERROR(R22+Y22+AF22+AT22+BA22+BH22+BO22,"-")</f>
        <v>27720000</v>
      </c>
      <c r="L22" s="80">
        <f>+I22-K22</f>
        <v>41580000</v>
      </c>
      <c r="M22" s="1326"/>
      <c r="N22" s="78">
        <f>+O22</f>
        <v>45764</v>
      </c>
      <c r="O22" s="78">
        <v>45764</v>
      </c>
      <c r="P22" s="79">
        <f>+IFERROR(Q22/$I22,"-")</f>
        <v>0.3</v>
      </c>
      <c r="Q22" s="80">
        <f>+$I22*지급비율!G47</f>
        <v>20790000</v>
      </c>
      <c r="R22" s="80">
        <v>20790000</v>
      </c>
      <c r="S22" s="80">
        <f>+Q22-R22</f>
        <v>0</v>
      </c>
      <c r="T22" s="81"/>
      <c r="U22" s="78">
        <v>45855</v>
      </c>
      <c r="V22" s="78">
        <v>45867</v>
      </c>
      <c r="W22" s="79">
        <f>+IFERROR(X22/$I22,"-")</f>
        <v>0.1</v>
      </c>
      <c r="X22" s="80">
        <f>+$I22*지급비율!N47</f>
        <v>6930000</v>
      </c>
      <c r="Y22" s="80">
        <v>6930000</v>
      </c>
      <c r="Z22" s="80">
        <f>+X22-Y22</f>
        <v>0</v>
      </c>
      <c r="AA22" s="161"/>
      <c r="AB22" s="284">
        <v>45961</v>
      </c>
      <c r="AC22" s="284"/>
      <c r="AD22" s="286">
        <f>+IFERROR(AE22/$I22,"-")</f>
        <v>0.5</v>
      </c>
      <c r="AE22" s="290">
        <f>+$I22*지급비율!U47</f>
        <v>34650000</v>
      </c>
      <c r="AF22" s="290"/>
      <c r="AG22" s="290">
        <f>+AE22-AF22</f>
        <v>34650000</v>
      </c>
      <c r="AH22" s="288"/>
      <c r="AI22" s="78"/>
      <c r="AJ22" s="78"/>
      <c r="AK22" s="79">
        <f>+IFERROR(AL22/$I22,"-")</f>
        <v>0</v>
      </c>
      <c r="AL22" s="80">
        <f>+$I22*지급비율!AB47</f>
        <v>0</v>
      </c>
      <c r="AM22" s="80"/>
      <c r="AN22" s="80">
        <f>+AL22-AM22</f>
        <v>0</v>
      </c>
      <c r="AO22" s="81"/>
      <c r="AP22" s="78"/>
      <c r="AQ22" s="78"/>
      <c r="AR22" s="79"/>
      <c r="AS22" s="80">
        <f>+$I22*지급비율!AI47</f>
        <v>0</v>
      </c>
      <c r="AT22" s="80"/>
      <c r="AU22" s="80">
        <f>+AS22-AT22</f>
        <v>0</v>
      </c>
      <c r="AV22" s="81"/>
      <c r="AW22" s="78"/>
      <c r="AX22" s="78"/>
      <c r="AY22" s="79"/>
      <c r="AZ22" s="80">
        <f>+$I22*지급비율!AP47</f>
        <v>0</v>
      </c>
      <c r="BA22" s="80"/>
      <c r="BB22" s="80">
        <f>+AZ22-BA22</f>
        <v>0</v>
      </c>
      <c r="BC22" s="81"/>
      <c r="BD22" s="78"/>
      <c r="BE22" s="78"/>
      <c r="BF22" s="79"/>
      <c r="BG22" s="80">
        <f>+$I22*지급비율!AW47</f>
        <v>0</v>
      </c>
      <c r="BH22" s="80"/>
      <c r="BI22" s="80">
        <f>+BG22-BH22</f>
        <v>0</v>
      </c>
      <c r="BJ22" s="81"/>
      <c r="BK22" s="68">
        <v>46112</v>
      </c>
      <c r="BL22" s="78"/>
      <c r="BM22" s="79">
        <f t="shared" si="1"/>
        <v>0.1</v>
      </c>
      <c r="BN22" s="80">
        <f>+$I22*지급비율!BD47</f>
        <v>6930000</v>
      </c>
      <c r="BO22" s="80"/>
      <c r="BP22" s="80">
        <f t="shared" si="2"/>
        <v>6930000</v>
      </c>
      <c r="BQ22" s="81"/>
      <c r="BR22" s="73"/>
      <c r="BS22" s="74" t="b">
        <f>+Q22+X22+AE22+AS22+AZ22+BG22+BN22=I22</f>
        <v>1</v>
      </c>
      <c r="BT22" s="74" t="b">
        <f>+R22+Y22+AF22+AT22+BA22+BH22+BO22=K22</f>
        <v>1</v>
      </c>
      <c r="BU22" s="74" t="b">
        <f>+BG22+BG23+AZ22+AZ23+AS22+AS23+AE22+AE23+X22+X23+Q22+Q23+BN22+BN23=([5]지급비율!$F$39+[5]지급비율!$F$40)*1.1*D21/1000</f>
        <v>1</v>
      </c>
      <c r="BV22" s="58"/>
      <c r="BW22" s="58"/>
      <c r="BX22" s="58"/>
      <c r="BY22" s="58"/>
      <c r="BZ22" s="58"/>
      <c r="CA22" s="58"/>
      <c r="CB22" s="58"/>
      <c r="CC22" s="58"/>
      <c r="CD22" s="58"/>
      <c r="CE22" s="58"/>
    </row>
    <row r="23" spans="1:83" ht="16.5" customHeight="1">
      <c r="A23" s="107"/>
      <c r="B23" s="1322"/>
      <c r="C23" s="1328"/>
      <c r="D23" s="1329"/>
      <c r="E23" s="1324"/>
      <c r="F23" s="75" t="s">
        <v>390</v>
      </c>
      <c r="G23" s="76">
        <f>+지급비율!F48/1000*$D$21</f>
        <v>31500000</v>
      </c>
      <c r="H23" s="76">
        <f>+G23*10%</f>
        <v>3150000</v>
      </c>
      <c r="I23" s="76">
        <f>SUM(G23:H23)</f>
        <v>34650000</v>
      </c>
      <c r="J23" s="75">
        <f t="shared" si="0"/>
        <v>0.4</v>
      </c>
      <c r="K23" s="80">
        <f>+IFERROR(R23+Y23+AF23+AT23+BA23+BH23+BO23,"-")</f>
        <v>13860000</v>
      </c>
      <c r="L23" s="80">
        <f>+I23-K23</f>
        <v>20790000</v>
      </c>
      <c r="M23" s="1326"/>
      <c r="N23" s="72">
        <f>+O23</f>
        <v>45764</v>
      </c>
      <c r="O23" s="72">
        <f>O22</f>
        <v>45764</v>
      </c>
      <c r="P23" s="79">
        <f>+IFERROR(Q23/$I23,"-")</f>
        <v>0.3</v>
      </c>
      <c r="Q23" s="80">
        <f>+$I23*지급비율!G48</f>
        <v>10395000</v>
      </c>
      <c r="R23" s="80">
        <v>10395000</v>
      </c>
      <c r="S23" s="80">
        <f>+Q23-R23</f>
        <v>0</v>
      </c>
      <c r="T23" s="81"/>
      <c r="U23" s="78">
        <v>45855</v>
      </c>
      <c r="V23" s="78">
        <v>45867</v>
      </c>
      <c r="W23" s="79">
        <f>+IFERROR(X23/$I23,"-")</f>
        <v>0.1</v>
      </c>
      <c r="X23" s="80">
        <f>+$I23*지급비율!N48</f>
        <v>3465000</v>
      </c>
      <c r="Y23" s="80">
        <v>3465000</v>
      </c>
      <c r="Z23" s="80">
        <f>+X23-Y23</f>
        <v>0</v>
      </c>
      <c r="AA23" s="81"/>
      <c r="AB23" s="284">
        <v>45961</v>
      </c>
      <c r="AC23" s="285"/>
      <c r="AD23" s="286">
        <f>+IFERROR(AE23/$I23,"-")</f>
        <v>0.5</v>
      </c>
      <c r="AE23" s="290">
        <f>+$I23*지급비율!U48</f>
        <v>17325000</v>
      </c>
      <c r="AF23" s="290"/>
      <c r="AG23" s="290">
        <f>+AE23-AF23</f>
        <v>17325000</v>
      </c>
      <c r="AH23" s="288"/>
      <c r="AI23" s="72"/>
      <c r="AJ23" s="72"/>
      <c r="AK23" s="79">
        <f>+IFERROR(AL23/$I23,"-")</f>
        <v>0</v>
      </c>
      <c r="AL23" s="80">
        <f>+$I23*지급비율!AB48</f>
        <v>0</v>
      </c>
      <c r="AM23" s="80"/>
      <c r="AN23" s="80">
        <f>+AL23-AM23</f>
        <v>0</v>
      </c>
      <c r="AO23" s="81"/>
      <c r="AP23" s="72"/>
      <c r="AQ23" s="72"/>
      <c r="AR23" s="79"/>
      <c r="AS23" s="80">
        <f>+$I23*지급비율!AI48</f>
        <v>0</v>
      </c>
      <c r="AT23" s="80"/>
      <c r="AU23" s="80">
        <f>+AS23-AT23</f>
        <v>0</v>
      </c>
      <c r="AV23" s="81"/>
      <c r="AW23" s="72"/>
      <c r="AX23" s="72"/>
      <c r="AY23" s="79"/>
      <c r="AZ23" s="80">
        <f>+$I23*지급비율!AP48</f>
        <v>0</v>
      </c>
      <c r="BA23" s="80"/>
      <c r="BB23" s="80">
        <f>+AZ23-BA23</f>
        <v>0</v>
      </c>
      <c r="BC23" s="81"/>
      <c r="BD23" s="72"/>
      <c r="BE23" s="72"/>
      <c r="BF23" s="79"/>
      <c r="BG23" s="80">
        <f>+$I23*지급비율!AW48</f>
        <v>0</v>
      </c>
      <c r="BH23" s="80"/>
      <c r="BI23" s="80">
        <f>+BG23-BH23</f>
        <v>0</v>
      </c>
      <c r="BJ23" s="81"/>
      <c r="BK23" s="72">
        <v>46112</v>
      </c>
      <c r="BL23" s="72"/>
      <c r="BM23" s="79">
        <f t="shared" si="1"/>
        <v>0.1</v>
      </c>
      <c r="BN23" s="80">
        <f>+$I23*지급비율!BD48</f>
        <v>3465000</v>
      </c>
      <c r="BO23" s="80"/>
      <c r="BP23" s="80">
        <f t="shared" si="2"/>
        <v>3465000</v>
      </c>
      <c r="BQ23" s="81"/>
      <c r="BR23" s="73"/>
      <c r="BS23" s="74" t="b">
        <f>+Q23+X23+AE23+AS23+AZ23+BG23+BN23=I23</f>
        <v>1</v>
      </c>
      <c r="BT23" s="74" t="b">
        <f>+R23+Y23+AF23+AT23+BA23+BH23+BO23=K23</f>
        <v>1</v>
      </c>
      <c r="BU23" s="74"/>
      <c r="BV23" s="58"/>
      <c r="BW23" s="58"/>
      <c r="BX23" s="58"/>
      <c r="BY23" s="58"/>
      <c r="BZ23" s="58"/>
      <c r="CA23" s="58"/>
      <c r="CB23" s="58"/>
      <c r="CC23" s="58"/>
      <c r="CD23" s="58"/>
      <c r="CE23" s="58"/>
    </row>
    <row r="24" spans="1:83" ht="16.5" customHeight="1">
      <c r="A24" s="107"/>
      <c r="B24" s="1322"/>
      <c r="C24" s="1328"/>
      <c r="D24" s="1329"/>
      <c r="E24" s="1324"/>
      <c r="F24" s="101" t="s">
        <v>391</v>
      </c>
      <c r="G24" s="102">
        <f>+지급비율!F49/1000*$D$21</f>
        <v>42000000</v>
      </c>
      <c r="H24" s="102">
        <f>+G24*0.1</f>
        <v>4200000</v>
      </c>
      <c r="I24" s="102">
        <f>SUM(G24:H24)</f>
        <v>46200000</v>
      </c>
      <c r="J24" s="101">
        <f t="shared" si="0"/>
        <v>0</v>
      </c>
      <c r="K24" s="106">
        <f>+IFERROR(R24+Y24+AF24+AT24+BA24+BH24+BO24,"-")</f>
        <v>0</v>
      </c>
      <c r="L24" s="106">
        <f>+I24-K24</f>
        <v>46200000</v>
      </c>
      <c r="M24" s="1327"/>
      <c r="N24" s="85"/>
      <c r="O24" s="83"/>
      <c r="P24" s="86"/>
      <c r="Q24" s="87">
        <f>+$I24*지급비율!G49</f>
        <v>0</v>
      </c>
      <c r="R24" s="87"/>
      <c r="S24" s="87"/>
      <c r="T24" s="83"/>
      <c r="U24" s="85"/>
      <c r="V24" s="83"/>
      <c r="W24" s="86"/>
      <c r="X24" s="87">
        <f>+$I24*지급비율!N49</f>
        <v>0</v>
      </c>
      <c r="Y24" s="87"/>
      <c r="Z24" s="87"/>
      <c r="AA24" s="83"/>
      <c r="AB24" s="85"/>
      <c r="AC24" s="83"/>
      <c r="AD24" s="86"/>
      <c r="AE24" s="87">
        <f>+$I24*지급비율!U49</f>
        <v>0</v>
      </c>
      <c r="AF24" s="87"/>
      <c r="AG24" s="87"/>
      <c r="AH24" s="83"/>
      <c r="AI24" s="85"/>
      <c r="AJ24" s="83"/>
      <c r="AK24" s="86"/>
      <c r="AL24" s="106">
        <f>+$I24*지급비율!AB49</f>
        <v>0</v>
      </c>
      <c r="AM24" s="87"/>
      <c r="AN24" s="87"/>
      <c r="AO24" s="83"/>
      <c r="AP24" s="85"/>
      <c r="AQ24" s="83"/>
      <c r="AR24" s="86"/>
      <c r="AS24" s="106">
        <f>+$I24*지급비율!AI49</f>
        <v>0</v>
      </c>
      <c r="AT24" s="87"/>
      <c r="AU24" s="87"/>
      <c r="AV24" s="83"/>
      <c r="AW24" s="85"/>
      <c r="AX24" s="83"/>
      <c r="AY24" s="86"/>
      <c r="AZ24" s="106">
        <f>+$I24*지급비율!AP49</f>
        <v>0</v>
      </c>
      <c r="BA24" s="87"/>
      <c r="BB24" s="87"/>
      <c r="BC24" s="83"/>
      <c r="BD24" s="85"/>
      <c r="BE24" s="83"/>
      <c r="BF24" s="86"/>
      <c r="BG24" s="106">
        <f>+$I24*지급비율!AW49</f>
        <v>0</v>
      </c>
      <c r="BH24" s="87"/>
      <c r="BI24" s="87"/>
      <c r="BJ24" s="83"/>
      <c r="BK24" s="104">
        <v>46112</v>
      </c>
      <c r="BL24" s="101"/>
      <c r="BM24" s="105">
        <f t="shared" si="1"/>
        <v>1</v>
      </c>
      <c r="BN24" s="106">
        <f>+$I24*지급비율!BD49</f>
        <v>46200000</v>
      </c>
      <c r="BO24" s="106"/>
      <c r="BP24" s="106">
        <f t="shared" si="2"/>
        <v>46200000</v>
      </c>
      <c r="BQ24" s="101"/>
      <c r="BR24" s="88"/>
      <c r="BS24" s="89" t="b">
        <f>+Q24+X24+AE24+AS24+AZ24+BG24+BN24=I24</f>
        <v>1</v>
      </c>
      <c r="BT24" s="90" t="b">
        <f>+R24+Y24+AF24+AT24+BA24+BH24+BO24=K24</f>
        <v>1</v>
      </c>
      <c r="BU24" s="90"/>
      <c r="BV24" s="58"/>
      <c r="BW24" s="58"/>
      <c r="BX24" s="58"/>
      <c r="BY24" s="58"/>
      <c r="BZ24" s="58"/>
      <c r="CA24" s="58"/>
      <c r="CB24" s="58"/>
      <c r="CC24" s="58"/>
      <c r="CD24" s="58"/>
      <c r="CE24" s="58"/>
    </row>
    <row r="25" spans="1:83" ht="16.5" customHeight="1">
      <c r="A25" s="62"/>
      <c r="B25" s="1322"/>
      <c r="C25" s="1328"/>
      <c r="D25" s="1329"/>
      <c r="E25" s="1324"/>
      <c r="F25" s="91" t="s">
        <v>392</v>
      </c>
      <c r="G25" s="92">
        <f>SUM(G21:G24)</f>
        <v>367500000</v>
      </c>
      <c r="H25" s="92">
        <f>SUM(H21:H24)</f>
        <v>36750000</v>
      </c>
      <c r="I25" s="92">
        <f>SUM(I21:I24)</f>
        <v>404250000</v>
      </c>
      <c r="J25" s="91">
        <f t="shared" si="0"/>
        <v>0.10285714285714286</v>
      </c>
      <c r="K25" s="92">
        <f>SUM(K21:K24)</f>
        <v>41580000</v>
      </c>
      <c r="L25" s="92">
        <f>SUM(L21:L24)</f>
        <v>362670000</v>
      </c>
      <c r="M25" s="419">
        <f>+AE22+AE23</f>
        <v>51975000</v>
      </c>
      <c r="N25" s="93"/>
      <c r="O25" s="91"/>
      <c r="P25" s="94">
        <f>+IFERROR(Q25/$I25,"-")</f>
        <v>7.7142857142857138E-2</v>
      </c>
      <c r="Q25" s="92">
        <f>SUM(Q21:Q24)</f>
        <v>31185000</v>
      </c>
      <c r="R25" s="170">
        <f>SUM(R21:R24)</f>
        <v>31185000</v>
      </c>
      <c r="S25" s="95">
        <f>+Q25-R25</f>
        <v>0</v>
      </c>
      <c r="T25" s="91"/>
      <c r="U25" s="93"/>
      <c r="V25" s="91"/>
      <c r="W25" s="94">
        <f>+IFERROR(X25/$I25,"-")</f>
        <v>2.5714285714285714E-2</v>
      </c>
      <c r="X25" s="92">
        <f>SUM(X21:X24)</f>
        <v>10395000</v>
      </c>
      <c r="Y25" s="170">
        <f>SUM(Y21:Y24)</f>
        <v>10395000</v>
      </c>
      <c r="Z25" s="95">
        <f>+X25-Y25</f>
        <v>0</v>
      </c>
      <c r="AA25" s="91"/>
      <c r="AB25" s="93"/>
      <c r="AC25" s="91"/>
      <c r="AD25" s="94">
        <f>+IFERROR(AE25/$I25,"-")</f>
        <v>0.44285714285714284</v>
      </c>
      <c r="AE25" s="92">
        <f>SUM(AE21:AE24)</f>
        <v>179025000</v>
      </c>
      <c r="AF25" s="92">
        <f>SUM(AF21:AF24)</f>
        <v>0</v>
      </c>
      <c r="AG25" s="95">
        <f>+AE25-AF25</f>
        <v>179025000</v>
      </c>
      <c r="AH25" s="91"/>
      <c r="AI25" s="93"/>
      <c r="AJ25" s="91"/>
      <c r="AK25" s="94">
        <f>+IFERROR(AL25/$I25,"-")</f>
        <v>0</v>
      </c>
      <c r="AL25" s="92">
        <f>SUM(AL21:AL24)</f>
        <v>0</v>
      </c>
      <c r="AM25" s="92">
        <f>SUM(AM21:AM24)</f>
        <v>0</v>
      </c>
      <c r="AN25" s="95">
        <f>+AL25-AM25</f>
        <v>0</v>
      </c>
      <c r="AO25" s="91"/>
      <c r="AP25" s="93"/>
      <c r="AQ25" s="91"/>
      <c r="AR25" s="94">
        <f>+IFERROR(AS25/$I25,"-")</f>
        <v>0</v>
      </c>
      <c r="AS25" s="92">
        <f>SUM(AS21:AS24)</f>
        <v>0</v>
      </c>
      <c r="AT25" s="92">
        <f>SUM(AT21:AT24)</f>
        <v>0</v>
      </c>
      <c r="AU25" s="95">
        <f>+AS25-AT25</f>
        <v>0</v>
      </c>
      <c r="AV25" s="91"/>
      <c r="AW25" s="93"/>
      <c r="AX25" s="91"/>
      <c r="AY25" s="94">
        <f>+IFERROR(AZ25/$I25,"-")</f>
        <v>0</v>
      </c>
      <c r="AZ25" s="92">
        <f>SUM(AZ21:AZ24)</f>
        <v>0</v>
      </c>
      <c r="BA25" s="92">
        <f>SUM(BA21:BA24)</f>
        <v>0</v>
      </c>
      <c r="BB25" s="95">
        <f>+AZ25-BA25</f>
        <v>0</v>
      </c>
      <c r="BC25" s="91"/>
      <c r="BD25" s="93"/>
      <c r="BE25" s="91"/>
      <c r="BF25" s="94">
        <f>+IFERROR(BG25/$I25,"-")</f>
        <v>0.25142857142857145</v>
      </c>
      <c r="BG25" s="92">
        <f>SUM(BG21:BG24)</f>
        <v>101640000</v>
      </c>
      <c r="BH25" s="92">
        <f>SUM(BH21:BH24)</f>
        <v>0</v>
      </c>
      <c r="BI25" s="95">
        <f>+BG25-BH25</f>
        <v>101640000</v>
      </c>
      <c r="BJ25" s="91"/>
      <c r="BK25" s="93"/>
      <c r="BL25" s="91"/>
      <c r="BM25" s="94">
        <f t="shared" si="1"/>
        <v>0.20285714285714285</v>
      </c>
      <c r="BN25" s="92">
        <f>SUM(BN21:BN24)</f>
        <v>82005000</v>
      </c>
      <c r="BO25" s="92">
        <f>SUM(BO21:BO24)</f>
        <v>0</v>
      </c>
      <c r="BP25" s="95">
        <f t="shared" si="2"/>
        <v>82005000</v>
      </c>
      <c r="BQ25" s="91"/>
      <c r="BR25" s="88"/>
      <c r="BS25" s="96"/>
      <c r="BT25" s="97"/>
      <c r="BU25" s="97"/>
      <c r="BV25" s="54"/>
      <c r="BW25" s="54"/>
      <c r="BX25" s="54"/>
      <c r="BY25" s="54"/>
      <c r="BZ25" s="54"/>
      <c r="CA25" s="54"/>
      <c r="CB25" s="54"/>
      <c r="CC25" s="54"/>
      <c r="CD25" s="58"/>
      <c r="CE25" s="58"/>
    </row>
    <row r="26" spans="1:83" ht="16.5" customHeight="1">
      <c r="A26" s="62"/>
      <c r="B26" s="1322">
        <f>+B21+1</f>
        <v>4</v>
      </c>
      <c r="C26" s="1328" t="s">
        <v>395</v>
      </c>
      <c r="D26" s="1329">
        <f>+'[5]ref.지급기준 (2)'!D144</f>
        <v>122</v>
      </c>
      <c r="E26" s="1324" t="s">
        <v>387</v>
      </c>
      <c r="F26" s="63" t="s">
        <v>388</v>
      </c>
      <c r="G26" s="76">
        <f>+지급비율!F42/1000*$D$26</f>
        <v>134200000</v>
      </c>
      <c r="H26" s="64">
        <f>+G26*10%</f>
        <v>13420000</v>
      </c>
      <c r="I26" s="64">
        <f>SUM(G26:H26)</f>
        <v>147620000</v>
      </c>
      <c r="J26" s="65">
        <f t="shared" si="0"/>
        <v>0</v>
      </c>
      <c r="K26" s="70">
        <f>+IFERROR(R26+Y26+AF26+AT26+BA26+BH26+BO26,"-")</f>
        <v>0</v>
      </c>
      <c r="L26" s="70">
        <f>+I26-K26</f>
        <v>147620000</v>
      </c>
      <c r="M26" s="1325" t="s">
        <v>265</v>
      </c>
      <c r="N26" s="67"/>
      <c r="O26" s="72"/>
      <c r="P26" s="69"/>
      <c r="Q26" s="70">
        <f>+$I26*지급비율!G42</f>
        <v>0</v>
      </c>
      <c r="R26" s="70"/>
      <c r="S26" s="70">
        <f>+Q26-R26</f>
        <v>0</v>
      </c>
      <c r="T26" s="81"/>
      <c r="U26" s="67"/>
      <c r="V26" s="68"/>
      <c r="W26" s="69"/>
      <c r="X26" s="70">
        <f>+$I26*지급비율!N42</f>
        <v>0</v>
      </c>
      <c r="Y26" s="70"/>
      <c r="Z26" s="70">
        <f>+X26-Y26</f>
        <v>0</v>
      </c>
      <c r="AA26" s="71"/>
      <c r="AB26" s="67">
        <f>+EDATE(AI26,1)</f>
        <v>45989</v>
      </c>
      <c r="AC26" s="68"/>
      <c r="AD26" s="69">
        <f>+IFERROR(AE26/$I26,"-")</f>
        <v>0.5</v>
      </c>
      <c r="AE26" s="70">
        <f>+$I26*지급비율!U42</f>
        <v>73810000</v>
      </c>
      <c r="AF26" s="70"/>
      <c r="AG26" s="70">
        <f>+AE26-AF26</f>
        <v>73810000</v>
      </c>
      <c r="AH26" s="71"/>
      <c r="AI26" s="67">
        <f>+EDATE(AP26,-1)</f>
        <v>45958</v>
      </c>
      <c r="AJ26" s="68"/>
      <c r="AK26" s="69">
        <f>+IFERROR(AL26/$I26,"-")</f>
        <v>0</v>
      </c>
      <c r="AL26" s="70">
        <f>+$I26*지급비율!AB42</f>
        <v>0</v>
      </c>
      <c r="AM26" s="70"/>
      <c r="AN26" s="70">
        <f>+AL26-AM26</f>
        <v>0</v>
      </c>
      <c r="AO26" s="71"/>
      <c r="AP26" s="67">
        <f>+EDATE(AW26,-1)</f>
        <v>45989</v>
      </c>
      <c r="AQ26" s="68"/>
      <c r="AR26" s="69">
        <f>+IFERROR(AS26/$I26,"-")</f>
        <v>0</v>
      </c>
      <c r="AS26" s="70">
        <f>+$I26*지급비율!AI42</f>
        <v>0</v>
      </c>
      <c r="AT26" s="70"/>
      <c r="AU26" s="70">
        <f>+AS26-AT26</f>
        <v>0</v>
      </c>
      <c r="AV26" s="71"/>
      <c r="AW26" s="67">
        <f>+EDATE(BD26,-1)</f>
        <v>46019</v>
      </c>
      <c r="AX26" s="68"/>
      <c r="AY26" s="69">
        <f>+IFERROR(AZ26/$I26,"-")</f>
        <v>0</v>
      </c>
      <c r="AZ26" s="70">
        <f>+$I26*지급비율!AP42</f>
        <v>0</v>
      </c>
      <c r="BA26" s="70"/>
      <c r="BB26" s="70">
        <f>+AZ26-BA26</f>
        <v>0</v>
      </c>
      <c r="BC26" s="71"/>
      <c r="BD26" s="67">
        <f>+EDATE(BK26,-1)</f>
        <v>46050</v>
      </c>
      <c r="BE26" s="68"/>
      <c r="BF26" s="69">
        <f>+IFERROR(BG26/$I26,"-")</f>
        <v>0.4</v>
      </c>
      <c r="BG26" s="70">
        <f>+$I26*지급비율!AW42</f>
        <v>59048000</v>
      </c>
      <c r="BH26" s="70"/>
      <c r="BI26" s="70">
        <f>+BG26-BH26</f>
        <v>59048000</v>
      </c>
      <c r="BJ26" s="71"/>
      <c r="BK26" s="68">
        <v>46081</v>
      </c>
      <c r="BL26" s="68"/>
      <c r="BM26" s="69">
        <f t="shared" si="1"/>
        <v>0.1</v>
      </c>
      <c r="BN26" s="70">
        <f>+$I26*지급비율!BD42</f>
        <v>14762000</v>
      </c>
      <c r="BO26" s="70"/>
      <c r="BP26" s="70">
        <f t="shared" si="2"/>
        <v>14762000</v>
      </c>
      <c r="BQ26" s="71"/>
      <c r="BR26" s="73"/>
      <c r="BS26" s="74" t="b">
        <f>+Q26+X26+AE26+AS26+AZ26+BG26+BN26=I26</f>
        <v>1</v>
      </c>
      <c r="BT26" s="74" t="b">
        <f>+R26+Y26+AF26+AT26+BA26+BH26+BO26=K26</f>
        <v>1</v>
      </c>
      <c r="BU26" s="74"/>
      <c r="BV26" s="54"/>
      <c r="BW26" s="54"/>
      <c r="BX26" s="54"/>
      <c r="BY26" s="54"/>
      <c r="BZ26" s="54"/>
      <c r="CA26" s="54"/>
      <c r="CB26" s="54"/>
      <c r="CC26" s="54"/>
      <c r="CD26" s="58"/>
      <c r="CE26" s="58"/>
    </row>
    <row r="27" spans="1:83" ht="16.5" customHeight="1">
      <c r="A27" s="62"/>
      <c r="B27" s="1322"/>
      <c r="C27" s="1328"/>
      <c r="D27" s="1329"/>
      <c r="E27" s="1324"/>
      <c r="F27" s="75" t="s">
        <v>389</v>
      </c>
      <c r="G27" s="76">
        <f>+지급비율!F43/1000*$D$26</f>
        <v>36600000</v>
      </c>
      <c r="H27" s="76">
        <f>+G27*10%</f>
        <v>3660000</v>
      </c>
      <c r="I27" s="76">
        <f>SUM(G27:H27)</f>
        <v>40260000</v>
      </c>
      <c r="J27" s="75">
        <f t="shared" si="0"/>
        <v>0.9</v>
      </c>
      <c r="K27" s="80">
        <f>+IFERROR(R27+Y27+AF27+AT27+BA27+BH27+BO27,"-")</f>
        <v>36234000</v>
      </c>
      <c r="L27" s="80">
        <f>+I27-K27</f>
        <v>4026000</v>
      </c>
      <c r="M27" s="1326"/>
      <c r="N27" s="72">
        <f>+O27</f>
        <v>45764</v>
      </c>
      <c r="O27" s="78">
        <v>45764</v>
      </c>
      <c r="P27" s="79">
        <f>+IFERROR(Q27/$I27,"-")</f>
        <v>0.3</v>
      </c>
      <c r="Q27" s="80">
        <f>+$I27*지급비율!G43</f>
        <v>12078000</v>
      </c>
      <c r="R27" s="80">
        <f>300000000*D26/1000*30%*1.1</f>
        <v>12078000.000000002</v>
      </c>
      <c r="S27" s="80">
        <f>+Q27-R27</f>
        <v>0</v>
      </c>
      <c r="T27" s="81"/>
      <c r="U27" s="78">
        <v>45855</v>
      </c>
      <c r="V27" s="78">
        <v>45867</v>
      </c>
      <c r="W27" s="79">
        <f>+IFERROR(X27/$I27,"-")</f>
        <v>0.1</v>
      </c>
      <c r="X27" s="80">
        <f>+$I27*지급비율!N43</f>
        <v>4026000</v>
      </c>
      <c r="Y27" s="80">
        <v>4026000</v>
      </c>
      <c r="Z27" s="80">
        <f>+X27-Y27</f>
        <v>0</v>
      </c>
      <c r="AA27" s="81"/>
      <c r="AB27" s="78">
        <v>45930</v>
      </c>
      <c r="AC27" s="78">
        <v>45922</v>
      </c>
      <c r="AD27" s="79">
        <f>+IFERROR(AE27/$I27,"-")</f>
        <v>0.5</v>
      </c>
      <c r="AE27" s="80">
        <f>+$I27*지급비율!U43</f>
        <v>20130000</v>
      </c>
      <c r="AF27" s="80">
        <v>20130000</v>
      </c>
      <c r="AG27" s="80">
        <f>+AE27-AF27</f>
        <v>0</v>
      </c>
      <c r="AH27" s="81"/>
      <c r="AI27" s="78"/>
      <c r="AJ27" s="78"/>
      <c r="AK27" s="79">
        <f>+IFERROR(AL27/$I27,"-")</f>
        <v>0</v>
      </c>
      <c r="AL27" s="70">
        <f>+$I27*지급비율!AB43</f>
        <v>0</v>
      </c>
      <c r="AM27" s="80"/>
      <c r="AN27" s="80">
        <f>+AL27-AM27</f>
        <v>0</v>
      </c>
      <c r="AO27" s="81"/>
      <c r="AP27" s="78"/>
      <c r="AQ27" s="78"/>
      <c r="AR27" s="79"/>
      <c r="AS27" s="70">
        <f>+$I27*지급비율!AI43</f>
        <v>0</v>
      </c>
      <c r="AT27" s="80"/>
      <c r="AU27" s="80">
        <f>+AS27-AT27</f>
        <v>0</v>
      </c>
      <c r="AV27" s="81"/>
      <c r="AW27" s="78"/>
      <c r="AX27" s="78"/>
      <c r="AY27" s="79"/>
      <c r="AZ27" s="70">
        <f>+$I27*지급비율!AP43</f>
        <v>0</v>
      </c>
      <c r="BA27" s="80"/>
      <c r="BB27" s="80">
        <f>+AZ27-BA27</f>
        <v>0</v>
      </c>
      <c r="BC27" s="81"/>
      <c r="BD27" s="78"/>
      <c r="BE27" s="78"/>
      <c r="BF27" s="79"/>
      <c r="BG27" s="70">
        <f>+$I27*지급비율!AW43</f>
        <v>0</v>
      </c>
      <c r="BH27" s="80"/>
      <c r="BI27" s="80">
        <f>+BG27-BH27</f>
        <v>0</v>
      </c>
      <c r="BJ27" s="81"/>
      <c r="BK27" s="78">
        <v>46053</v>
      </c>
      <c r="BL27" s="78"/>
      <c r="BM27" s="79">
        <f t="shared" si="1"/>
        <v>0.1</v>
      </c>
      <c r="BN27" s="70">
        <f>+$I27*지급비율!BD43</f>
        <v>4026000</v>
      </c>
      <c r="BO27" s="80"/>
      <c r="BP27" s="80">
        <f t="shared" si="2"/>
        <v>4026000</v>
      </c>
      <c r="BQ27" s="81"/>
      <c r="BR27" s="73"/>
      <c r="BS27" s="74" t="b">
        <f>+Q27+X27+AE27+AS27+AZ27+BG27+BN27=I27</f>
        <v>1</v>
      </c>
      <c r="BT27" s="74" t="b">
        <f>+R27+Y27+AF27+AT27+BA27+BH27+BO27=K27</f>
        <v>1</v>
      </c>
      <c r="BU27" s="74" t="b">
        <f>+BG27+BG28+AZ27+AZ28+AS27+AS28+AE27+AE28+X27+X28+Q27+Q28+BN27+BN28=([5]지급비율!$F$39+[5]지급비율!$F$40)*1.1*D26/1000</f>
        <v>1</v>
      </c>
      <c r="BV27" s="54"/>
      <c r="BW27" s="54"/>
      <c r="BX27" s="54"/>
      <c r="BY27" s="54"/>
      <c r="BZ27" s="54"/>
      <c r="CA27" s="54"/>
      <c r="CB27" s="54"/>
      <c r="CC27" s="54"/>
      <c r="CD27" s="58"/>
      <c r="CE27" s="58"/>
    </row>
    <row r="28" spans="1:83" ht="16.5" customHeight="1">
      <c r="A28" s="62"/>
      <c r="B28" s="1322"/>
      <c r="C28" s="1328"/>
      <c r="D28" s="1329"/>
      <c r="E28" s="1324"/>
      <c r="F28" s="75" t="s">
        <v>390</v>
      </c>
      <c r="G28" s="76">
        <f>+지급비율!F44/1000*$D$26</f>
        <v>18300000</v>
      </c>
      <c r="H28" s="76">
        <f>+G28*10%</f>
        <v>1830000</v>
      </c>
      <c r="I28" s="76">
        <f>SUM(G28:H28)</f>
        <v>20130000</v>
      </c>
      <c r="J28" s="75">
        <f t="shared" si="0"/>
        <v>0.9</v>
      </c>
      <c r="K28" s="80">
        <f>+IFERROR(R28+Y28+AF28+AT28+BA28+BH28+BO28,"-")</f>
        <v>18117000</v>
      </c>
      <c r="L28" s="80">
        <f>+I28-K28</f>
        <v>2013000</v>
      </c>
      <c r="M28" s="1326"/>
      <c r="N28" s="72">
        <f>N27</f>
        <v>45764</v>
      </c>
      <c r="O28" s="72">
        <v>45764</v>
      </c>
      <c r="P28" s="79">
        <f>+IFERROR(Q28/$I28,"-")</f>
        <v>0.3</v>
      </c>
      <c r="Q28" s="80">
        <f>+$I28*지급비율!G44</f>
        <v>6039000</v>
      </c>
      <c r="R28" s="80">
        <f>150000000*D26/1000*30%*1.1</f>
        <v>6039000.0000000009</v>
      </c>
      <c r="S28" s="80">
        <f>+Q28-R28</f>
        <v>0</v>
      </c>
      <c r="T28" s="81"/>
      <c r="U28" s="78">
        <v>45855</v>
      </c>
      <c r="V28" s="78">
        <v>45867</v>
      </c>
      <c r="W28" s="79">
        <f>+IFERROR(X28/$I28,"-")</f>
        <v>0.1</v>
      </c>
      <c r="X28" s="80">
        <f>+$I28*지급비율!N44</f>
        <v>2013000</v>
      </c>
      <c r="Y28" s="80">
        <v>2013000</v>
      </c>
      <c r="Z28" s="80">
        <f>+X28-Y28</f>
        <v>0</v>
      </c>
      <c r="AA28" s="81"/>
      <c r="AB28" s="78">
        <v>45930</v>
      </c>
      <c r="AC28" s="78">
        <v>45922</v>
      </c>
      <c r="AD28" s="79">
        <f>+IFERROR(AE28/$I28,"-")</f>
        <v>0.5</v>
      </c>
      <c r="AE28" s="80">
        <f>+$I28*지급비율!U44</f>
        <v>10065000</v>
      </c>
      <c r="AF28" s="80">
        <v>10065000</v>
      </c>
      <c r="AG28" s="80">
        <f>+AE28-AF28</f>
        <v>0</v>
      </c>
      <c r="AH28" s="81"/>
      <c r="AI28" s="72"/>
      <c r="AJ28" s="72"/>
      <c r="AK28" s="79">
        <f>+IFERROR(AL28/$I28,"-")</f>
        <v>0</v>
      </c>
      <c r="AL28" s="70">
        <f>+$I28*지급비율!AB44</f>
        <v>0</v>
      </c>
      <c r="AM28" s="80"/>
      <c r="AN28" s="80">
        <f>+AL28-AM28</f>
        <v>0</v>
      </c>
      <c r="AO28" s="81"/>
      <c r="AP28" s="72"/>
      <c r="AQ28" s="72"/>
      <c r="AR28" s="79"/>
      <c r="AS28" s="70">
        <f>+$I28*지급비율!AI44</f>
        <v>0</v>
      </c>
      <c r="AT28" s="80"/>
      <c r="AU28" s="80">
        <f>+AS28-AT28</f>
        <v>0</v>
      </c>
      <c r="AV28" s="81"/>
      <c r="AW28" s="72"/>
      <c r="AX28" s="72"/>
      <c r="AY28" s="79"/>
      <c r="AZ28" s="70">
        <f>+$I28*지급비율!AP44</f>
        <v>0</v>
      </c>
      <c r="BA28" s="80"/>
      <c r="BB28" s="80">
        <f>+AZ28-BA28</f>
        <v>0</v>
      </c>
      <c r="BC28" s="81"/>
      <c r="BD28" s="72"/>
      <c r="BE28" s="72"/>
      <c r="BF28" s="79"/>
      <c r="BG28" s="70">
        <f>+$I28*지급비율!AW44</f>
        <v>0</v>
      </c>
      <c r="BH28" s="80"/>
      <c r="BI28" s="80">
        <f>+BG28-BH28</f>
        <v>0</v>
      </c>
      <c r="BJ28" s="81"/>
      <c r="BK28" s="72">
        <v>46053</v>
      </c>
      <c r="BL28" s="72"/>
      <c r="BM28" s="79">
        <f t="shared" si="1"/>
        <v>0.1</v>
      </c>
      <c r="BN28" s="70">
        <f>+$I28*지급비율!BD44</f>
        <v>2013000</v>
      </c>
      <c r="BO28" s="80"/>
      <c r="BP28" s="80">
        <f t="shared" si="2"/>
        <v>2013000</v>
      </c>
      <c r="BQ28" s="81"/>
      <c r="BR28" s="73"/>
      <c r="BS28" s="74" t="b">
        <f>+Q28+X28+AE28+AS28+AZ28+BG28+BN28=I28</f>
        <v>1</v>
      </c>
      <c r="BT28" s="74" t="b">
        <f>+R28+Y28+AF28+AT28+BA28+BH28+BO28=K28</f>
        <v>1</v>
      </c>
      <c r="BU28" s="74"/>
      <c r="BV28" s="54"/>
      <c r="BW28" s="54"/>
      <c r="BX28" s="54"/>
      <c r="BY28" s="54"/>
      <c r="BZ28" s="54"/>
      <c r="CA28" s="54"/>
      <c r="CB28" s="54"/>
      <c r="CC28" s="54"/>
      <c r="CD28" s="58"/>
      <c r="CE28" s="58"/>
    </row>
    <row r="29" spans="1:83" ht="16.5" customHeight="1">
      <c r="A29" s="62"/>
      <c r="B29" s="1322"/>
      <c r="C29" s="1328"/>
      <c r="D29" s="1329"/>
      <c r="E29" s="1324"/>
      <c r="F29" s="101" t="s">
        <v>391</v>
      </c>
      <c r="G29" s="102">
        <f>+지급비율!F45/1000*$D$26</f>
        <v>21350000</v>
      </c>
      <c r="H29" s="102">
        <f>+G29*0.1</f>
        <v>2135000</v>
      </c>
      <c r="I29" s="102">
        <f>SUM(G29:H29)</f>
        <v>23485000</v>
      </c>
      <c r="J29" s="101">
        <f t="shared" si="0"/>
        <v>0</v>
      </c>
      <c r="K29" s="106">
        <f>+IFERROR(R29+Y29+AF29+AT29+BA29+BH29+BO29,"-")</f>
        <v>0</v>
      </c>
      <c r="L29" s="106">
        <f>+I29-K29</f>
        <v>23485000</v>
      </c>
      <c r="M29" s="1327"/>
      <c r="N29" s="85"/>
      <c r="O29" s="83"/>
      <c r="P29" s="86"/>
      <c r="Q29" s="87">
        <f>+$I29*지급비율!G45</f>
        <v>0</v>
      </c>
      <c r="R29" s="87"/>
      <c r="S29" s="87"/>
      <c r="T29" s="83"/>
      <c r="U29" s="85"/>
      <c r="V29" s="83"/>
      <c r="W29" s="86"/>
      <c r="X29" s="87">
        <f>+$I29*지급비율!N45</f>
        <v>0</v>
      </c>
      <c r="Y29" s="87"/>
      <c r="Z29" s="87"/>
      <c r="AA29" s="83"/>
      <c r="AB29" s="85"/>
      <c r="AC29" s="83"/>
      <c r="AD29" s="86"/>
      <c r="AE29" s="87">
        <f>+$I29*지급비율!U45</f>
        <v>0</v>
      </c>
      <c r="AF29" s="87"/>
      <c r="AG29" s="87"/>
      <c r="AH29" s="83"/>
      <c r="AI29" s="85"/>
      <c r="AJ29" s="83"/>
      <c r="AK29" s="86"/>
      <c r="AL29" s="70">
        <f>+$I29*지급비율!AB45</f>
        <v>0</v>
      </c>
      <c r="AM29" s="87"/>
      <c r="AN29" s="87"/>
      <c r="AO29" s="83"/>
      <c r="AP29" s="85"/>
      <c r="AQ29" s="83"/>
      <c r="AR29" s="86"/>
      <c r="AS29" s="70">
        <f>+$I29*지급비율!AI45</f>
        <v>0</v>
      </c>
      <c r="AT29" s="87"/>
      <c r="AU29" s="87"/>
      <c r="AV29" s="83"/>
      <c r="AW29" s="85"/>
      <c r="AX29" s="83"/>
      <c r="AY29" s="86"/>
      <c r="AZ29" s="70">
        <f>+$I29*지급비율!AP45</f>
        <v>0</v>
      </c>
      <c r="BA29" s="87"/>
      <c r="BB29" s="87"/>
      <c r="BC29" s="83"/>
      <c r="BD29" s="85"/>
      <c r="BE29" s="83"/>
      <c r="BF29" s="86"/>
      <c r="BG29" s="70">
        <f>+$I29*지급비율!AW45</f>
        <v>0</v>
      </c>
      <c r="BH29" s="87"/>
      <c r="BI29" s="87"/>
      <c r="BJ29" s="83"/>
      <c r="BK29" s="104">
        <v>46053</v>
      </c>
      <c r="BL29" s="101"/>
      <c r="BM29" s="105">
        <f t="shared" si="1"/>
        <v>1</v>
      </c>
      <c r="BN29" s="70">
        <f>+$I29*지급비율!BD45</f>
        <v>23485000</v>
      </c>
      <c r="BO29" s="106"/>
      <c r="BP29" s="106">
        <f t="shared" si="2"/>
        <v>23485000</v>
      </c>
      <c r="BQ29" s="101"/>
      <c r="BR29" s="88"/>
      <c r="BS29" s="89" t="b">
        <f>+Q29+X29+AE29+AS29+AZ29+BG29+BN29=I29</f>
        <v>1</v>
      </c>
      <c r="BT29" s="90" t="b">
        <f>+R29+Y29+AF29+AT29+BA29+BH29+BO29=K29</f>
        <v>1</v>
      </c>
      <c r="BU29" s="90"/>
      <c r="BV29" s="54"/>
      <c r="BW29" s="54"/>
      <c r="BX29" s="54"/>
      <c r="BY29" s="54"/>
      <c r="BZ29" s="54"/>
      <c r="CA29" s="54"/>
      <c r="CB29" s="54"/>
      <c r="CC29" s="54"/>
      <c r="CD29" s="58"/>
      <c r="CE29" s="58"/>
    </row>
    <row r="30" spans="1:83" ht="16.5" customHeight="1">
      <c r="A30" s="62"/>
      <c r="B30" s="1322"/>
      <c r="C30" s="1328"/>
      <c r="D30" s="1329"/>
      <c r="E30" s="1324"/>
      <c r="F30" s="91" t="s">
        <v>392</v>
      </c>
      <c r="G30" s="92">
        <f>SUM(G26:G29)</f>
        <v>210450000</v>
      </c>
      <c r="H30" s="92">
        <f>SUM(H26:H29)</f>
        <v>21045000</v>
      </c>
      <c r="I30" s="92">
        <f>SUM(I26:I29)</f>
        <v>231495000</v>
      </c>
      <c r="J30" s="91">
        <f t="shared" si="0"/>
        <v>0.23478260869565218</v>
      </c>
      <c r="K30" s="92">
        <f>SUM(K26:K29)</f>
        <v>54351000</v>
      </c>
      <c r="L30" s="92">
        <f>SUM(L26:L29)</f>
        <v>177144000</v>
      </c>
      <c r="M30" s="419">
        <f>+AE27+AE28</f>
        <v>30195000</v>
      </c>
      <c r="N30" s="93"/>
      <c r="O30" s="91"/>
      <c r="P30" s="94">
        <f>+IFERROR(Q30/$I30,"-")</f>
        <v>7.8260869565217397E-2</v>
      </c>
      <c r="Q30" s="92">
        <f>SUM(Q26:Q29)</f>
        <v>18117000</v>
      </c>
      <c r="R30" s="170">
        <f>SUM(R26:R29)</f>
        <v>18117000.000000004</v>
      </c>
      <c r="S30" s="95">
        <f>+Q30-R30</f>
        <v>0</v>
      </c>
      <c r="T30" s="91"/>
      <c r="U30" s="93"/>
      <c r="V30" s="91"/>
      <c r="W30" s="94">
        <f>+IFERROR(X30/$I30,"-")</f>
        <v>2.6086956521739129E-2</v>
      </c>
      <c r="X30" s="92">
        <f>SUM(X26:X29)</f>
        <v>6039000</v>
      </c>
      <c r="Y30" s="170">
        <f>SUM(Y26:Y29)</f>
        <v>6039000</v>
      </c>
      <c r="Z30" s="95">
        <f>+X30-Y30</f>
        <v>0</v>
      </c>
      <c r="AA30" s="91"/>
      <c r="AB30" s="93"/>
      <c r="AC30" s="91"/>
      <c r="AD30" s="94">
        <f>+IFERROR(AE30/$I30,"-")</f>
        <v>0.44927536231884058</v>
      </c>
      <c r="AE30" s="92">
        <f>SUM(AE26:AE29)</f>
        <v>104005000</v>
      </c>
      <c r="AF30" s="170">
        <f>SUM(AF26:AF29)</f>
        <v>30195000</v>
      </c>
      <c r="AG30" s="95">
        <f>+AE30-AF30</f>
        <v>73810000</v>
      </c>
      <c r="AH30" s="91"/>
      <c r="AI30" s="93"/>
      <c r="AJ30" s="91"/>
      <c r="AK30" s="94">
        <f>+IFERROR(AL30/$I30,"-")</f>
        <v>0</v>
      </c>
      <c r="AL30" s="92">
        <f>SUM(AL26:AL29)</f>
        <v>0</v>
      </c>
      <c r="AM30" s="92">
        <f>SUM(AM26:AM29)</f>
        <v>0</v>
      </c>
      <c r="AN30" s="95">
        <f>+AL30-AM30</f>
        <v>0</v>
      </c>
      <c r="AO30" s="91"/>
      <c r="AP30" s="93"/>
      <c r="AQ30" s="91"/>
      <c r="AR30" s="94">
        <f>+IFERROR(AS30/$I30,"-")</f>
        <v>0</v>
      </c>
      <c r="AS30" s="92">
        <f>SUM(AS26:AS29)</f>
        <v>0</v>
      </c>
      <c r="AT30" s="92">
        <f>SUM(AT26:AT29)</f>
        <v>0</v>
      </c>
      <c r="AU30" s="95">
        <f>+AS30-AT30</f>
        <v>0</v>
      </c>
      <c r="AV30" s="91"/>
      <c r="AW30" s="93"/>
      <c r="AX30" s="91"/>
      <c r="AY30" s="94">
        <f>+IFERROR(AZ30/$I30,"-")</f>
        <v>0</v>
      </c>
      <c r="AZ30" s="92">
        <f>SUM(AZ26:AZ29)</f>
        <v>0</v>
      </c>
      <c r="BA30" s="92">
        <f>SUM(BA26:BA29)</f>
        <v>0</v>
      </c>
      <c r="BB30" s="95">
        <f>+AZ30-BA30</f>
        <v>0</v>
      </c>
      <c r="BC30" s="91"/>
      <c r="BD30" s="93"/>
      <c r="BE30" s="91"/>
      <c r="BF30" s="94">
        <f>+IFERROR(BG30/$I30,"-")</f>
        <v>0.25507246376811593</v>
      </c>
      <c r="BG30" s="92">
        <f>SUM(BG26:BG29)</f>
        <v>59048000</v>
      </c>
      <c r="BH30" s="92">
        <f>SUM(BH26:BH29)</f>
        <v>0</v>
      </c>
      <c r="BI30" s="95">
        <f>+BG30-BH30</f>
        <v>59048000</v>
      </c>
      <c r="BJ30" s="91"/>
      <c r="BK30" s="93"/>
      <c r="BL30" s="91"/>
      <c r="BM30" s="94">
        <f t="shared" si="1"/>
        <v>0.19130434782608696</v>
      </c>
      <c r="BN30" s="92">
        <f>SUM(BN26:BN29)</f>
        <v>44286000</v>
      </c>
      <c r="BO30" s="92">
        <f>SUM(BO26:BO29)</f>
        <v>0</v>
      </c>
      <c r="BP30" s="95">
        <f t="shared" si="2"/>
        <v>44286000</v>
      </c>
      <c r="BQ30" s="91"/>
      <c r="BR30" s="88"/>
      <c r="BS30" s="96"/>
      <c r="BT30" s="97"/>
      <c r="BU30" s="97"/>
      <c r="BV30" s="54"/>
      <c r="BW30" s="54"/>
      <c r="BX30" s="54"/>
      <c r="BY30" s="54"/>
      <c r="BZ30" s="54"/>
      <c r="CA30" s="54"/>
      <c r="CB30" s="54"/>
      <c r="CC30" s="54"/>
      <c r="CD30" s="58"/>
      <c r="CE30" s="58"/>
    </row>
    <row r="31" spans="1:83" ht="16.5" customHeight="1">
      <c r="A31" s="62"/>
      <c r="B31" s="1322">
        <f>+B26+1</f>
        <v>5</v>
      </c>
      <c r="C31" s="1330" t="s">
        <v>396</v>
      </c>
      <c r="D31" s="1329">
        <f>+'[5]ref.지급기준 (2)'!D149</f>
        <v>172</v>
      </c>
      <c r="E31" s="1324" t="s">
        <v>387</v>
      </c>
      <c r="F31" s="63" t="s">
        <v>388</v>
      </c>
      <c r="G31" s="76">
        <f>+지급비율!F42/1000*$D$31</f>
        <v>189200000</v>
      </c>
      <c r="H31" s="64">
        <f>+G31*10%</f>
        <v>18920000</v>
      </c>
      <c r="I31" s="64">
        <f>SUM(G31:H31)</f>
        <v>208120000</v>
      </c>
      <c r="J31" s="65">
        <f t="shared" si="0"/>
        <v>0</v>
      </c>
      <c r="K31" s="70">
        <f>+IFERROR(R31+Y31+AF31+AT31+BA31+BH31+BO31,"-")</f>
        <v>0</v>
      </c>
      <c r="L31" s="70">
        <f>+I31-K31</f>
        <v>208120000</v>
      </c>
      <c r="M31" s="1325" t="s">
        <v>264</v>
      </c>
      <c r="N31" s="67"/>
      <c r="O31" s="72"/>
      <c r="P31" s="69"/>
      <c r="Q31" s="70">
        <f>+$I31*지급비율!G42</f>
        <v>0</v>
      </c>
      <c r="R31" s="70"/>
      <c r="S31" s="70">
        <f>+Q31-R31</f>
        <v>0</v>
      </c>
      <c r="T31" s="81"/>
      <c r="U31" s="67"/>
      <c r="V31" s="68"/>
      <c r="W31" s="69"/>
      <c r="X31" s="70">
        <f>+$I31*지급비율!N42</f>
        <v>0</v>
      </c>
      <c r="Y31" s="70"/>
      <c r="Z31" s="70">
        <f>+X31-Y31</f>
        <v>0</v>
      </c>
      <c r="AA31" s="71"/>
      <c r="AB31" s="67">
        <f>+EDATE(AI31,-1)+1</f>
        <v>45990</v>
      </c>
      <c r="AC31" s="68"/>
      <c r="AD31" s="69">
        <f>+IFERROR(AE31/$I31,"-")</f>
        <v>0.5</v>
      </c>
      <c r="AE31" s="70">
        <f>+$I31*지급비율!U42</f>
        <v>104060000</v>
      </c>
      <c r="AF31" s="70"/>
      <c r="AG31" s="70">
        <f>+AE31-AF31</f>
        <v>104060000</v>
      </c>
      <c r="AH31" s="71"/>
      <c r="AI31" s="67">
        <f>+EDATE(AP31,-1)</f>
        <v>46019</v>
      </c>
      <c r="AJ31" s="68"/>
      <c r="AK31" s="69">
        <f>+IFERROR(AL31/$I31,"-")</f>
        <v>0</v>
      </c>
      <c r="AL31" s="70">
        <f>+$I31*지급비율!AB42</f>
        <v>0</v>
      </c>
      <c r="AM31" s="70"/>
      <c r="AN31" s="70">
        <f>+AL31-AM31</f>
        <v>0</v>
      </c>
      <c r="AO31" s="71"/>
      <c r="AP31" s="67">
        <f>+EDATE(AW31,-1)</f>
        <v>46050</v>
      </c>
      <c r="AQ31" s="68"/>
      <c r="AR31" s="69">
        <f>+IFERROR(AS31/$I31,"-")</f>
        <v>0</v>
      </c>
      <c r="AS31" s="70">
        <f>+$I31*지급비율!AI42</f>
        <v>0</v>
      </c>
      <c r="AT31" s="70"/>
      <c r="AU31" s="70">
        <f>+AS31-AT31</f>
        <v>0</v>
      </c>
      <c r="AV31" s="71"/>
      <c r="AW31" s="67">
        <f>+EDATE(BD31,-1)</f>
        <v>46081</v>
      </c>
      <c r="AX31" s="68"/>
      <c r="AY31" s="69">
        <f>+IFERROR(AZ31/$I31,"-")</f>
        <v>0</v>
      </c>
      <c r="AZ31" s="70">
        <f>+$I31*지급비율!AP42</f>
        <v>0</v>
      </c>
      <c r="BA31" s="70"/>
      <c r="BB31" s="70">
        <f>+AZ31-BA31</f>
        <v>0</v>
      </c>
      <c r="BC31" s="71"/>
      <c r="BD31" s="67">
        <f>+EDATE(BK31,-1)</f>
        <v>46111</v>
      </c>
      <c r="BE31" s="68"/>
      <c r="BF31" s="69">
        <f>+IFERROR(BG31/$I31,"-")</f>
        <v>0.4</v>
      </c>
      <c r="BG31" s="70">
        <f>+$I31*지급비율!AW42</f>
        <v>83248000</v>
      </c>
      <c r="BH31" s="70"/>
      <c r="BI31" s="70">
        <f>+BG31-BH31</f>
        <v>83248000</v>
      </c>
      <c r="BJ31" s="71"/>
      <c r="BK31" s="68">
        <v>46142</v>
      </c>
      <c r="BL31" s="68"/>
      <c r="BM31" s="69">
        <f t="shared" si="1"/>
        <v>0.1</v>
      </c>
      <c r="BN31" s="70">
        <f>+$I31*지급비율!BD42</f>
        <v>20812000</v>
      </c>
      <c r="BO31" s="70"/>
      <c r="BP31" s="70">
        <f t="shared" si="2"/>
        <v>20812000</v>
      </c>
      <c r="BQ31" s="71"/>
      <c r="BR31" s="73"/>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22"/>
      <c r="C32" s="1330"/>
      <c r="D32" s="1329"/>
      <c r="E32" s="1324"/>
      <c r="F32" s="75" t="s">
        <v>389</v>
      </c>
      <c r="G32" s="76">
        <f>+지급비율!F43/1000*$D$31</f>
        <v>51600000</v>
      </c>
      <c r="H32" s="76">
        <f>+G32*10%</f>
        <v>5160000</v>
      </c>
      <c r="I32" s="76">
        <f>SUM(G32:H32)</f>
        <v>56760000</v>
      </c>
      <c r="J32" s="75">
        <f t="shared" si="0"/>
        <v>0.3</v>
      </c>
      <c r="K32" s="80">
        <f>+IFERROR(R32+Y32+AF32+AT32+BA32+BH32+BO32,"-")</f>
        <v>17028000</v>
      </c>
      <c r="L32" s="80">
        <f>+I32-K32</f>
        <v>39732000</v>
      </c>
      <c r="M32" s="1326"/>
      <c r="N32" s="72">
        <f>+O32</f>
        <v>45764</v>
      </c>
      <c r="O32" s="78">
        <v>45764</v>
      </c>
      <c r="P32" s="79">
        <f>+IFERROR(Q32/$I32,"-")</f>
        <v>0.3</v>
      </c>
      <c r="Q32" s="80">
        <f>+$I32*지급비율!G43</f>
        <v>17028000</v>
      </c>
      <c r="R32" s="80">
        <f>300000000*D31/1000*30%*1.1</f>
        <v>17028000</v>
      </c>
      <c r="S32" s="80">
        <f>+Q32-R32</f>
        <v>0</v>
      </c>
      <c r="T32" s="81"/>
      <c r="U32" s="284">
        <v>45961</v>
      </c>
      <c r="V32" s="284"/>
      <c r="W32" s="286">
        <f>+IFERROR(X32/$I32,"-")</f>
        <v>0.1</v>
      </c>
      <c r="X32" s="290">
        <f>+$I32*지급비율!N43</f>
        <v>5676000</v>
      </c>
      <c r="Y32" s="290"/>
      <c r="Z32" s="290">
        <f>+X32-Y32</f>
        <v>5676000</v>
      </c>
      <c r="AA32" s="288"/>
      <c r="AB32" s="152">
        <v>45991</v>
      </c>
      <c r="AC32" s="152"/>
      <c r="AD32" s="117">
        <f>+IFERROR(AE32/$I32,"-")</f>
        <v>0.5</v>
      </c>
      <c r="AE32" s="153">
        <f>+$I32*지급비율!U43</f>
        <v>28380000</v>
      </c>
      <c r="AF32" s="153"/>
      <c r="AG32" s="153">
        <f>+AE32-AF32</f>
        <v>28380000</v>
      </c>
      <c r="AH32" s="118"/>
      <c r="AI32" s="78"/>
      <c r="AJ32" s="78"/>
      <c r="AK32" s="79">
        <f>+IFERROR(AL32/$I32,"-")</f>
        <v>0</v>
      </c>
      <c r="AL32" s="80">
        <f>+$I32*지급비율!AB43</f>
        <v>0</v>
      </c>
      <c r="AM32" s="80"/>
      <c r="AN32" s="80">
        <f>+AL32-AM32</f>
        <v>0</v>
      </c>
      <c r="AO32" s="81"/>
      <c r="AP32" s="78"/>
      <c r="AQ32" s="78"/>
      <c r="AR32" s="79"/>
      <c r="AS32" s="80">
        <f>+$I32*지급비율!AI43</f>
        <v>0</v>
      </c>
      <c r="AT32" s="80"/>
      <c r="AU32" s="80">
        <f>+AS32-AT32</f>
        <v>0</v>
      </c>
      <c r="AV32" s="81"/>
      <c r="AW32" s="78"/>
      <c r="AX32" s="78"/>
      <c r="AY32" s="79"/>
      <c r="AZ32" s="80">
        <f>+$I32*지급비율!AP43</f>
        <v>0</v>
      </c>
      <c r="BA32" s="80"/>
      <c r="BB32" s="80">
        <f>+AZ32-BA32</f>
        <v>0</v>
      </c>
      <c r="BC32" s="81"/>
      <c r="BD32" s="78"/>
      <c r="BE32" s="78"/>
      <c r="BF32" s="79"/>
      <c r="BG32" s="80">
        <f>+$I32*지급비율!AW43</f>
        <v>0</v>
      </c>
      <c r="BH32" s="80"/>
      <c r="BI32" s="80">
        <f>+BG32-BH32</f>
        <v>0</v>
      </c>
      <c r="BJ32" s="81"/>
      <c r="BK32" s="68">
        <v>46142</v>
      </c>
      <c r="BL32" s="78"/>
      <c r="BM32" s="79">
        <f t="shared" si="1"/>
        <v>0.1</v>
      </c>
      <c r="BN32" s="80">
        <f>+$I32*지급비율!BD43</f>
        <v>5676000</v>
      </c>
      <c r="BO32" s="80"/>
      <c r="BP32" s="80">
        <f t="shared" si="2"/>
        <v>5676000</v>
      </c>
      <c r="BQ32" s="81"/>
      <c r="BR32" s="73"/>
      <c r="BS32" s="74" t="b">
        <f>+Q32+X32+AE32+AS32+AZ32+BG32+BN32=I32</f>
        <v>1</v>
      </c>
      <c r="BT32" s="74" t="b">
        <f>+R32+Y32+AF32+AT32+BA32+BH32+BO32=K32</f>
        <v>1</v>
      </c>
      <c r="BU32" s="74" t="b">
        <f>+BG32+BG33+AZ32+AZ33+AS32+AS33+AE32+AE33+X32+X33+Q32+Q33+BN32+BN33=([5]지급비율!$F$39+[5]지급비율!$F$40)*1.1*D31/1000</f>
        <v>1</v>
      </c>
      <c r="BV32" s="54"/>
      <c r="BW32" s="54"/>
      <c r="BX32" s="54"/>
      <c r="BY32" s="54"/>
      <c r="BZ32" s="54"/>
      <c r="CA32" s="54"/>
      <c r="CB32" s="54"/>
      <c r="CC32" s="54"/>
      <c r="CD32" s="58"/>
      <c r="CE32" s="58"/>
    </row>
    <row r="33" spans="1:83" ht="16.5" customHeight="1">
      <c r="A33" s="62"/>
      <c r="B33" s="1322"/>
      <c r="C33" s="1330"/>
      <c r="D33" s="1329"/>
      <c r="E33" s="1324"/>
      <c r="F33" s="75" t="s">
        <v>390</v>
      </c>
      <c r="G33" s="76">
        <f>+지급비율!F44/1000*$D$31</f>
        <v>25800000</v>
      </c>
      <c r="H33" s="76">
        <f>+G33*10%</f>
        <v>2580000</v>
      </c>
      <c r="I33" s="76">
        <f>SUM(G33:H33)</f>
        <v>28380000</v>
      </c>
      <c r="J33" s="75">
        <f t="shared" si="0"/>
        <v>0.3</v>
      </c>
      <c r="K33" s="80">
        <f>+IFERROR(R33+Y33+AF33+AT33+BA33+BH33+BO33,"-")</f>
        <v>8514000</v>
      </c>
      <c r="L33" s="80">
        <f>+I33-K33</f>
        <v>19866000</v>
      </c>
      <c r="M33" s="1326"/>
      <c r="N33" s="72">
        <f>N32</f>
        <v>45764</v>
      </c>
      <c r="O33" s="72">
        <v>45764</v>
      </c>
      <c r="P33" s="79">
        <f>+IFERROR(Q33/$I33,"-")</f>
        <v>0.3</v>
      </c>
      <c r="Q33" s="80">
        <f>+$I33*지급비율!G44</f>
        <v>8514000</v>
      </c>
      <c r="R33" s="80">
        <f>150000000*D31/1000*30%*1.1</f>
        <v>8514000</v>
      </c>
      <c r="S33" s="80">
        <f>+Q33-R33</f>
        <v>0</v>
      </c>
      <c r="T33" s="81"/>
      <c r="U33" s="284">
        <v>45961</v>
      </c>
      <c r="V33" s="284"/>
      <c r="W33" s="286">
        <f>+IFERROR(X33/$I33,"-")</f>
        <v>0.1</v>
      </c>
      <c r="X33" s="290">
        <f>+$I33*지급비율!N44</f>
        <v>2838000</v>
      </c>
      <c r="Y33" s="290"/>
      <c r="Z33" s="290">
        <f>+X33-Y33</f>
        <v>2838000</v>
      </c>
      <c r="AA33" s="288"/>
      <c r="AB33" s="152">
        <v>45991</v>
      </c>
      <c r="AC33" s="116"/>
      <c r="AD33" s="117">
        <f>+IFERROR(AE33/$I33,"-")</f>
        <v>0.5</v>
      </c>
      <c r="AE33" s="153">
        <f>+$I33*지급비율!U44</f>
        <v>14190000</v>
      </c>
      <c r="AF33" s="153"/>
      <c r="AG33" s="153">
        <f>+AE33-AF33</f>
        <v>14190000</v>
      </c>
      <c r="AH33" s="118"/>
      <c r="AI33" s="72"/>
      <c r="AJ33" s="72"/>
      <c r="AK33" s="79">
        <f>+IFERROR(AL33/$I33,"-")</f>
        <v>0</v>
      </c>
      <c r="AL33" s="80">
        <f>+$I33*지급비율!AB44</f>
        <v>0</v>
      </c>
      <c r="AM33" s="80"/>
      <c r="AN33" s="80">
        <f>+AL33-AM33</f>
        <v>0</v>
      </c>
      <c r="AO33" s="81"/>
      <c r="AP33" s="72"/>
      <c r="AQ33" s="72"/>
      <c r="AR33" s="79"/>
      <c r="AS33" s="80">
        <f>+$I33*지급비율!AI44</f>
        <v>0</v>
      </c>
      <c r="AT33" s="80"/>
      <c r="AU33" s="80">
        <f>+AS33-AT33</f>
        <v>0</v>
      </c>
      <c r="AV33" s="81"/>
      <c r="AW33" s="72"/>
      <c r="AX33" s="72"/>
      <c r="AY33" s="79"/>
      <c r="AZ33" s="80">
        <f>+$I33*지급비율!AP44</f>
        <v>0</v>
      </c>
      <c r="BA33" s="80"/>
      <c r="BB33" s="80">
        <f>+AZ33-BA33</f>
        <v>0</v>
      </c>
      <c r="BC33" s="81"/>
      <c r="BD33" s="72"/>
      <c r="BE33" s="72"/>
      <c r="BF33" s="79"/>
      <c r="BG33" s="80">
        <f>+$I33*지급비율!AW44</f>
        <v>0</v>
      </c>
      <c r="BH33" s="80"/>
      <c r="BI33" s="80">
        <f>+BG33-BH33</f>
        <v>0</v>
      </c>
      <c r="BJ33" s="81"/>
      <c r="BK33" s="68">
        <v>46142</v>
      </c>
      <c r="BL33" s="72"/>
      <c r="BM33" s="79">
        <f t="shared" si="1"/>
        <v>0.1</v>
      </c>
      <c r="BN33" s="80">
        <f>+$I33*지급비율!BD44</f>
        <v>2838000</v>
      </c>
      <c r="BO33" s="80"/>
      <c r="BP33" s="80">
        <f t="shared" si="2"/>
        <v>2838000</v>
      </c>
      <c r="BQ33" s="81"/>
      <c r="BR33" s="73"/>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22"/>
      <c r="C34" s="1330"/>
      <c r="D34" s="1329"/>
      <c r="E34" s="1324"/>
      <c r="F34" s="101" t="s">
        <v>391</v>
      </c>
      <c r="G34" s="102">
        <f>+지급비율!F45/1000*$D$31</f>
        <v>30100000</v>
      </c>
      <c r="H34" s="102">
        <f>+G34*0.1</f>
        <v>3010000</v>
      </c>
      <c r="I34" s="102">
        <f>SUM(G34:H34)</f>
        <v>33110000</v>
      </c>
      <c r="J34" s="101">
        <f t="shared" si="0"/>
        <v>0</v>
      </c>
      <c r="K34" s="106">
        <f>+IFERROR(R34+Y34+AF34+AT34+BA34+BH34+BO34,"-")</f>
        <v>0</v>
      </c>
      <c r="L34" s="106">
        <f>+I34-K34</f>
        <v>33110000</v>
      </c>
      <c r="M34" s="1327"/>
      <c r="N34" s="85"/>
      <c r="O34" s="83"/>
      <c r="P34" s="86"/>
      <c r="Q34" s="87">
        <f>+$I34*지급비율!G45</f>
        <v>0</v>
      </c>
      <c r="R34" s="87"/>
      <c r="S34" s="87"/>
      <c r="T34" s="83"/>
      <c r="U34" s="85"/>
      <c r="V34" s="83"/>
      <c r="W34" s="86"/>
      <c r="X34" s="87">
        <f>+$I34*지급비율!N45</f>
        <v>0</v>
      </c>
      <c r="Y34" s="87"/>
      <c r="Z34" s="87"/>
      <c r="AA34" s="83"/>
      <c r="AB34" s="85"/>
      <c r="AC34" s="83"/>
      <c r="AD34" s="86"/>
      <c r="AE34" s="87">
        <f>+$I34*지급비율!U45</f>
        <v>0</v>
      </c>
      <c r="AF34" s="87"/>
      <c r="AG34" s="87"/>
      <c r="AH34" s="83"/>
      <c r="AI34" s="85"/>
      <c r="AJ34" s="83"/>
      <c r="AK34" s="86"/>
      <c r="AL34" s="106">
        <f>+$I34*지급비율!AB45</f>
        <v>0</v>
      </c>
      <c r="AM34" s="87"/>
      <c r="AN34" s="87"/>
      <c r="AO34" s="83"/>
      <c r="AP34" s="85"/>
      <c r="AQ34" s="83"/>
      <c r="AR34" s="86"/>
      <c r="AS34" s="106">
        <f>+$I34*지급비율!AI45</f>
        <v>0</v>
      </c>
      <c r="AT34" s="87"/>
      <c r="AU34" s="87"/>
      <c r="AV34" s="83"/>
      <c r="AW34" s="85"/>
      <c r="AX34" s="83"/>
      <c r="AY34" s="86"/>
      <c r="AZ34" s="106">
        <f>+$I34*지급비율!AP45</f>
        <v>0</v>
      </c>
      <c r="BA34" s="87"/>
      <c r="BB34" s="87"/>
      <c r="BC34" s="83"/>
      <c r="BD34" s="85"/>
      <c r="BE34" s="83"/>
      <c r="BF34" s="86"/>
      <c r="BG34" s="106">
        <f>+$I34*지급비율!AW45</f>
        <v>0</v>
      </c>
      <c r="BH34" s="87"/>
      <c r="BI34" s="87"/>
      <c r="BJ34" s="83"/>
      <c r="BK34" s="68">
        <v>46142</v>
      </c>
      <c r="BL34" s="101"/>
      <c r="BM34" s="105">
        <f t="shared" si="1"/>
        <v>1</v>
      </c>
      <c r="BN34" s="106">
        <f>+$I34*지급비율!BD45</f>
        <v>33110000</v>
      </c>
      <c r="BO34" s="106"/>
      <c r="BP34" s="106">
        <f t="shared" si="2"/>
        <v>33110000</v>
      </c>
      <c r="BQ34" s="101"/>
      <c r="BR34" s="88"/>
      <c r="BS34" s="89" t="b">
        <f>+Q34+X34+AE34+AS34+AZ34+BG34+BN34=I34</f>
        <v>1</v>
      </c>
      <c r="BT34" s="90" t="b">
        <f>+R34+Y34+AF34+AT34+BA34+BH34+BO34=K34</f>
        <v>1</v>
      </c>
      <c r="BU34" s="90"/>
      <c r="BV34" s="54"/>
      <c r="BW34" s="54"/>
      <c r="BX34" s="54"/>
      <c r="BY34" s="54"/>
      <c r="BZ34" s="54"/>
      <c r="CA34" s="54"/>
      <c r="CB34" s="54"/>
      <c r="CC34" s="54"/>
      <c r="CD34" s="58"/>
      <c r="CE34" s="58"/>
    </row>
    <row r="35" spans="1:83" ht="16.5" customHeight="1">
      <c r="A35" s="62"/>
      <c r="B35" s="1322"/>
      <c r="C35" s="1330"/>
      <c r="D35" s="1329"/>
      <c r="E35" s="1324"/>
      <c r="F35" s="91" t="s">
        <v>392</v>
      </c>
      <c r="G35" s="92">
        <f>SUM(G31:G34)</f>
        <v>296700000</v>
      </c>
      <c r="H35" s="92">
        <f>SUM(H31:H34)</f>
        <v>29670000</v>
      </c>
      <c r="I35" s="92">
        <f>SUM(I31:I34)</f>
        <v>326370000</v>
      </c>
      <c r="J35" s="91">
        <f t="shared" si="0"/>
        <v>7.8260869565217397E-2</v>
      </c>
      <c r="K35" s="92">
        <f>SUM(K31:K34)</f>
        <v>25542000</v>
      </c>
      <c r="L35" s="92">
        <f>SUM(L31:L34)</f>
        <v>300828000</v>
      </c>
      <c r="M35" s="419">
        <f>+X32+X33</f>
        <v>8514000</v>
      </c>
      <c r="N35" s="93"/>
      <c r="O35" s="91"/>
      <c r="P35" s="94">
        <f>+IFERROR(Q35/$I35,"-")</f>
        <v>7.8260869565217397E-2</v>
      </c>
      <c r="Q35" s="92">
        <f>SUM(Q31:Q34)</f>
        <v>25542000</v>
      </c>
      <c r="R35" s="170">
        <f>SUM(R31:R34)</f>
        <v>25542000</v>
      </c>
      <c r="S35" s="95">
        <f>+Q35-R35</f>
        <v>0</v>
      </c>
      <c r="T35" s="91"/>
      <c r="U35" s="93"/>
      <c r="V35" s="91"/>
      <c r="W35" s="94">
        <f>+IFERROR(X35/$I35,"-")</f>
        <v>2.6086956521739129E-2</v>
      </c>
      <c r="X35" s="92">
        <f>SUM(X31:X34)</f>
        <v>8514000</v>
      </c>
      <c r="Y35" s="92">
        <f>SUM(Y31:Y34)</f>
        <v>0</v>
      </c>
      <c r="Z35" s="95">
        <f>+X35-Y35</f>
        <v>8514000</v>
      </c>
      <c r="AA35" s="91"/>
      <c r="AB35" s="93"/>
      <c r="AC35" s="91"/>
      <c r="AD35" s="94">
        <f>+IFERROR(AE35/$I35,"-")</f>
        <v>0.44927536231884058</v>
      </c>
      <c r="AE35" s="92">
        <f>SUM(AE31:AE34)</f>
        <v>146630000</v>
      </c>
      <c r="AF35" s="92">
        <f>SUM(AF31:AF34)</f>
        <v>0</v>
      </c>
      <c r="AG35" s="95">
        <f>+AE35-AF35</f>
        <v>146630000</v>
      </c>
      <c r="AH35" s="91"/>
      <c r="AI35" s="93"/>
      <c r="AJ35" s="91"/>
      <c r="AK35" s="94">
        <f>+IFERROR(AL35/$I35,"-")</f>
        <v>0</v>
      </c>
      <c r="AL35" s="92">
        <f>SUM(AL31:AL34)</f>
        <v>0</v>
      </c>
      <c r="AM35" s="92">
        <f>SUM(AM31:AM34)</f>
        <v>0</v>
      </c>
      <c r="AN35" s="95">
        <f>+AL35-AM35</f>
        <v>0</v>
      </c>
      <c r="AO35" s="91"/>
      <c r="AP35" s="93"/>
      <c r="AQ35" s="91"/>
      <c r="AR35" s="94">
        <f>+IFERROR(AS35/$I35,"-")</f>
        <v>0</v>
      </c>
      <c r="AS35" s="92">
        <f>SUM(AS31:AS34)</f>
        <v>0</v>
      </c>
      <c r="AT35" s="92">
        <f>SUM(AT31:AT34)</f>
        <v>0</v>
      </c>
      <c r="AU35" s="95">
        <f>+AS35-AT35</f>
        <v>0</v>
      </c>
      <c r="AV35" s="91"/>
      <c r="AW35" s="93"/>
      <c r="AX35" s="91"/>
      <c r="AY35" s="94">
        <f>+IFERROR(AZ35/$I35,"-")</f>
        <v>0</v>
      </c>
      <c r="AZ35" s="92">
        <f>SUM(AZ31:AZ34)</f>
        <v>0</v>
      </c>
      <c r="BA35" s="92">
        <f>SUM(BA31:BA34)</f>
        <v>0</v>
      </c>
      <c r="BB35" s="95">
        <f>+AZ35-BA35</f>
        <v>0</v>
      </c>
      <c r="BC35" s="91"/>
      <c r="BD35" s="93"/>
      <c r="BE35" s="91"/>
      <c r="BF35" s="94">
        <f>+IFERROR(BG35/$I35,"-")</f>
        <v>0.25507246376811593</v>
      </c>
      <c r="BG35" s="92">
        <f>SUM(BG31:BG34)</f>
        <v>83248000</v>
      </c>
      <c r="BH35" s="92">
        <f>SUM(BH31:BH34)</f>
        <v>0</v>
      </c>
      <c r="BI35" s="95">
        <f>+BG35-BH35</f>
        <v>83248000</v>
      </c>
      <c r="BJ35" s="91"/>
      <c r="BK35" s="93"/>
      <c r="BL35" s="91"/>
      <c r="BM35" s="94">
        <f t="shared" si="1"/>
        <v>0.19130434782608696</v>
      </c>
      <c r="BN35" s="92">
        <f>SUM(BN31:BN34)</f>
        <v>62436000</v>
      </c>
      <c r="BO35" s="92">
        <f>SUM(BO31:BO34)</f>
        <v>0</v>
      </c>
      <c r="BP35" s="95">
        <f t="shared" si="2"/>
        <v>62436000</v>
      </c>
      <c r="BQ35" s="91"/>
      <c r="BR35" s="88"/>
      <c r="BS35" s="96"/>
      <c r="BT35" s="97"/>
      <c r="BU35" s="97"/>
      <c r="BV35" s="54"/>
      <c r="BW35" s="54"/>
      <c r="BX35" s="54"/>
      <c r="BY35" s="54"/>
      <c r="BZ35" s="54"/>
      <c r="CA35" s="54"/>
      <c r="CB35" s="54"/>
      <c r="CC35" s="54"/>
      <c r="CD35" s="58"/>
      <c r="CE35" s="58"/>
    </row>
    <row r="36" spans="1:83" ht="16.5" customHeight="1">
      <c r="A36" s="62"/>
      <c r="B36" s="1322">
        <f>+B31+1</f>
        <v>6</v>
      </c>
      <c r="C36" s="1330" t="s">
        <v>397</v>
      </c>
      <c r="D36" s="1329">
        <v>438</v>
      </c>
      <c r="E36" s="1324" t="s">
        <v>387</v>
      </c>
      <c r="F36" s="63" t="s">
        <v>388</v>
      </c>
      <c r="G36" s="76">
        <f>+지급비율!F42/1000*$D$36</f>
        <v>481800000</v>
      </c>
      <c r="H36" s="64">
        <f>+G36*10%</f>
        <v>48180000</v>
      </c>
      <c r="I36" s="64">
        <f>SUM(G36:H36)</f>
        <v>529980000</v>
      </c>
      <c r="J36" s="65">
        <f t="shared" si="0"/>
        <v>0</v>
      </c>
      <c r="K36" s="70">
        <f>+IFERROR(R36+Y36+AF36+AT36+BA36+BH36+BO36,"-")</f>
        <v>0</v>
      </c>
      <c r="L36" s="70">
        <f>+I36-K36</f>
        <v>529980000</v>
      </c>
      <c r="M36" s="1325" t="s">
        <v>264</v>
      </c>
      <c r="N36" s="67"/>
      <c r="O36" s="72"/>
      <c r="P36" s="69"/>
      <c r="Q36" s="70">
        <f>+$I36*지급비율!G42</f>
        <v>0</v>
      </c>
      <c r="R36" s="70"/>
      <c r="S36" s="70">
        <f>+Q36-R36</f>
        <v>0</v>
      </c>
      <c r="T36" s="81"/>
      <c r="U36" s="67"/>
      <c r="V36" s="68"/>
      <c r="W36" s="69"/>
      <c r="X36" s="70">
        <f>+$I36*지급비율!N42</f>
        <v>0</v>
      </c>
      <c r="Y36" s="70"/>
      <c r="Z36" s="70">
        <f>+X36-Y36</f>
        <v>0</v>
      </c>
      <c r="AA36" s="71"/>
      <c r="AB36" s="67">
        <f>+EDATE(AI36,-1)</f>
        <v>45989</v>
      </c>
      <c r="AC36" s="68"/>
      <c r="AD36" s="69">
        <f>+IFERROR(AE36/$I36,"-")</f>
        <v>0.5</v>
      </c>
      <c r="AE36" s="70">
        <f>+$I36*지급비율!U42</f>
        <v>264990000</v>
      </c>
      <c r="AF36" s="70"/>
      <c r="AG36" s="70">
        <f>+AE36-AF36</f>
        <v>264990000</v>
      </c>
      <c r="AH36" s="71"/>
      <c r="AI36" s="67">
        <f>+EDATE(AP36,-1)</f>
        <v>46019</v>
      </c>
      <c r="AJ36" s="68"/>
      <c r="AK36" s="69">
        <f>+IFERROR(AL36/$I36,"-")</f>
        <v>0</v>
      </c>
      <c r="AL36" s="70">
        <f>+$I36*지급비율!AB42</f>
        <v>0</v>
      </c>
      <c r="AM36" s="70"/>
      <c r="AN36" s="70">
        <f>+AL36-AM36</f>
        <v>0</v>
      </c>
      <c r="AO36" s="71"/>
      <c r="AP36" s="67">
        <f>+EDATE(AW36,-1)</f>
        <v>46050</v>
      </c>
      <c r="AQ36" s="68"/>
      <c r="AR36" s="69">
        <f>+IFERROR(AS36/$I36,"-")</f>
        <v>0</v>
      </c>
      <c r="AS36" s="70">
        <f>+$I36*지급비율!AI42</f>
        <v>0</v>
      </c>
      <c r="AT36" s="70"/>
      <c r="AU36" s="70">
        <f>+AS36-AT36</f>
        <v>0</v>
      </c>
      <c r="AV36" s="71"/>
      <c r="AW36" s="67">
        <f>+EDATE(BD36,-1)</f>
        <v>46081</v>
      </c>
      <c r="AX36" s="68"/>
      <c r="AY36" s="69">
        <f>+IFERROR(AZ36/$I36,"-")</f>
        <v>0</v>
      </c>
      <c r="AZ36" s="70">
        <f>+$I36*지급비율!AP42</f>
        <v>0</v>
      </c>
      <c r="BA36" s="70"/>
      <c r="BB36" s="70">
        <f>+AZ36-BA36</f>
        <v>0</v>
      </c>
      <c r="BC36" s="71"/>
      <c r="BD36" s="67">
        <f>+EDATE(BK36,-1)</f>
        <v>46111</v>
      </c>
      <c r="BE36" s="68"/>
      <c r="BF36" s="69">
        <f>+IFERROR(BG36/$I36,"-")</f>
        <v>0.4</v>
      </c>
      <c r="BG36" s="70">
        <f>+$I36*지급비율!AW42</f>
        <v>211992000</v>
      </c>
      <c r="BH36" s="70"/>
      <c r="BI36" s="70">
        <f>+BG36-BH36</f>
        <v>211992000</v>
      </c>
      <c r="BJ36" s="71"/>
      <c r="BK36" s="68">
        <v>46142</v>
      </c>
      <c r="BL36" s="68"/>
      <c r="BM36" s="69">
        <f t="shared" si="1"/>
        <v>0.1</v>
      </c>
      <c r="BN36" s="70">
        <f>+$I36*지급비율!BD42</f>
        <v>52998000</v>
      </c>
      <c r="BO36" s="70"/>
      <c r="BP36" s="70">
        <f t="shared" si="2"/>
        <v>52998000</v>
      </c>
      <c r="BQ36" s="71"/>
      <c r="BR36" s="73"/>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22"/>
      <c r="C37" s="1330"/>
      <c r="D37" s="1329"/>
      <c r="E37" s="1324"/>
      <c r="F37" s="75" t="s">
        <v>389</v>
      </c>
      <c r="G37" s="76">
        <f>+지급비율!F43/1000*$D$36</f>
        <v>131400000</v>
      </c>
      <c r="H37" s="76">
        <f>+G37*10%</f>
        <v>13140000</v>
      </c>
      <c r="I37" s="76">
        <f>SUM(G37:H37)</f>
        <v>144540000</v>
      </c>
      <c r="J37" s="75">
        <f t="shared" si="0"/>
        <v>0.4</v>
      </c>
      <c r="K37" s="80">
        <f>+IFERROR(R37+Y37+AF37+AT37+BA37+BH37+BO37,"-")</f>
        <v>57816000</v>
      </c>
      <c r="L37" s="80">
        <f>+I37-K37</f>
        <v>86724000</v>
      </c>
      <c r="M37" s="1326"/>
      <c r="N37" s="78">
        <v>45810</v>
      </c>
      <c r="O37" s="78">
        <v>45810</v>
      </c>
      <c r="P37" s="79">
        <f>+IFERROR(Q37/$I37,"-")</f>
        <v>0.3</v>
      </c>
      <c r="Q37" s="80">
        <f>+$I37*지급비율!G43</f>
        <v>43362000</v>
      </c>
      <c r="R37" s="80">
        <f>+Q37</f>
        <v>43362000</v>
      </c>
      <c r="S37" s="80">
        <f>+Q37-R37</f>
        <v>0</v>
      </c>
      <c r="T37" s="81"/>
      <c r="U37" s="78">
        <v>45930</v>
      </c>
      <c r="V37" s="78">
        <v>45922</v>
      </c>
      <c r="W37" s="79">
        <f>+IFERROR(X37/$I37,"-")</f>
        <v>0.1</v>
      </c>
      <c r="X37" s="80">
        <f>+$I37*지급비율!N43</f>
        <v>14454000</v>
      </c>
      <c r="Y37" s="80">
        <f>+X37</f>
        <v>14454000</v>
      </c>
      <c r="Z37" s="80">
        <f>+X37-Y37</f>
        <v>0</v>
      </c>
      <c r="AA37" s="81"/>
      <c r="AB37" s="152">
        <v>45961</v>
      </c>
      <c r="AC37" s="152"/>
      <c r="AD37" s="117">
        <f>+IFERROR(AE37/$I37,"-")</f>
        <v>0.5</v>
      </c>
      <c r="AE37" s="153">
        <f>+$I37*지급비율!U43</f>
        <v>72270000</v>
      </c>
      <c r="AF37" s="153"/>
      <c r="AG37" s="153">
        <f>+AE37-AF37</f>
        <v>72270000</v>
      </c>
      <c r="AH37" s="118"/>
      <c r="AI37" s="78"/>
      <c r="AJ37" s="78"/>
      <c r="AK37" s="79">
        <f>+IFERROR(AL37/$I37,"-")</f>
        <v>0</v>
      </c>
      <c r="AL37" s="80">
        <f>+$I37*지급비율!AB43</f>
        <v>0</v>
      </c>
      <c r="AM37" s="80"/>
      <c r="AN37" s="80">
        <f>+AL37-AM37</f>
        <v>0</v>
      </c>
      <c r="AO37" s="81"/>
      <c r="AP37" s="78"/>
      <c r="AQ37" s="78"/>
      <c r="AR37" s="79"/>
      <c r="AS37" s="80">
        <f>+$I37*지급비율!AI43</f>
        <v>0</v>
      </c>
      <c r="AT37" s="80"/>
      <c r="AU37" s="80">
        <f>+AS37-AT37</f>
        <v>0</v>
      </c>
      <c r="AV37" s="81"/>
      <c r="AW37" s="78"/>
      <c r="AX37" s="78"/>
      <c r="AY37" s="79"/>
      <c r="AZ37" s="80">
        <f>+$I37*지급비율!AP43</f>
        <v>0</v>
      </c>
      <c r="BA37" s="80"/>
      <c r="BB37" s="80">
        <f>+AZ37-BA37</f>
        <v>0</v>
      </c>
      <c r="BC37" s="81"/>
      <c r="BD37" s="78"/>
      <c r="BE37" s="78"/>
      <c r="BF37" s="79"/>
      <c r="BG37" s="80">
        <f>+$I37*지급비율!AW43</f>
        <v>0</v>
      </c>
      <c r="BH37" s="80"/>
      <c r="BI37" s="80">
        <f>+BG37-BH37</f>
        <v>0</v>
      </c>
      <c r="BJ37" s="81"/>
      <c r="BK37" s="78">
        <v>46142</v>
      </c>
      <c r="BL37" s="78"/>
      <c r="BM37" s="79">
        <f t="shared" si="1"/>
        <v>0.1</v>
      </c>
      <c r="BN37" s="80">
        <f>+$I37*지급비율!BD43</f>
        <v>14454000</v>
      </c>
      <c r="BO37" s="80"/>
      <c r="BP37" s="80">
        <f t="shared" si="2"/>
        <v>14454000</v>
      </c>
      <c r="BQ37" s="81"/>
      <c r="BR37" s="73"/>
      <c r="BS37" s="74" t="b">
        <f>+Q37+X37+AE37+AS37+AZ37+BG37+BN37=I37</f>
        <v>1</v>
      </c>
      <c r="BT37" s="74" t="b">
        <f>+R37+Y37+AF37+AT37+BA37+BH37+BO37=K37</f>
        <v>1</v>
      </c>
      <c r="BU37" s="74" t="b">
        <f>+BG37+BG38+AZ37+AZ38+AS37+AS38+AE37+AE38+X37+X38+Q37+Q38+BN37+BN38=([5]지급비율!$F$39+[5]지급비율!$F$40)*1.1*D36/1000</f>
        <v>1</v>
      </c>
      <c r="BV37" s="54"/>
      <c r="BW37" s="54"/>
      <c r="BX37" s="54"/>
      <c r="BY37" s="54"/>
      <c r="BZ37" s="54"/>
      <c r="CA37" s="54"/>
      <c r="CB37" s="54"/>
      <c r="CC37" s="54"/>
      <c r="CD37" s="58"/>
      <c r="CE37" s="58"/>
    </row>
    <row r="38" spans="1:83" ht="16.5" customHeight="1">
      <c r="A38" s="62"/>
      <c r="B38" s="1322"/>
      <c r="C38" s="1330"/>
      <c r="D38" s="1329"/>
      <c r="E38" s="1324"/>
      <c r="F38" s="75" t="s">
        <v>390</v>
      </c>
      <c r="G38" s="76">
        <f>+지급비율!F44/1000*$D$36</f>
        <v>65700000</v>
      </c>
      <c r="H38" s="76">
        <f>+G38*10%</f>
        <v>6570000</v>
      </c>
      <c r="I38" s="76">
        <f>SUM(G38:H38)</f>
        <v>72270000</v>
      </c>
      <c r="J38" s="75">
        <f t="shared" si="0"/>
        <v>0.4</v>
      </c>
      <c r="K38" s="80">
        <f>+IFERROR(R38+Y38+AF38+AT38+BA38+BH38+BO38,"-")</f>
        <v>28908000</v>
      </c>
      <c r="L38" s="80">
        <f>+I38-K38</f>
        <v>43362000</v>
      </c>
      <c r="M38" s="1326"/>
      <c r="N38" s="78">
        <v>45810</v>
      </c>
      <c r="O38" s="78">
        <v>45810</v>
      </c>
      <c r="P38" s="79">
        <f>+IFERROR(Q38/$I38,"-")</f>
        <v>0.3</v>
      </c>
      <c r="Q38" s="80">
        <f>+$I38*지급비율!G44</f>
        <v>21681000</v>
      </c>
      <c r="R38" s="80">
        <f>+Q38</f>
        <v>21681000</v>
      </c>
      <c r="S38" s="80">
        <f>+Q38-R38</f>
        <v>0</v>
      </c>
      <c r="T38" s="81"/>
      <c r="U38" s="78">
        <v>45930</v>
      </c>
      <c r="V38" s="78">
        <v>45922</v>
      </c>
      <c r="W38" s="79">
        <f>+IFERROR(X38/$I38,"-")</f>
        <v>0.1</v>
      </c>
      <c r="X38" s="80">
        <f>+$I38*지급비율!N44</f>
        <v>7227000</v>
      </c>
      <c r="Y38" s="80">
        <f>+X38</f>
        <v>7227000</v>
      </c>
      <c r="Z38" s="80">
        <f>+X38-Y38</f>
        <v>0</v>
      </c>
      <c r="AA38" s="81"/>
      <c r="AB38" s="152">
        <v>45961</v>
      </c>
      <c r="AC38" s="116"/>
      <c r="AD38" s="117">
        <f>+IFERROR(AE38/$I38,"-")</f>
        <v>0.5</v>
      </c>
      <c r="AE38" s="153">
        <f>+$I38*지급비율!U44</f>
        <v>36135000</v>
      </c>
      <c r="AF38" s="153"/>
      <c r="AG38" s="153">
        <f>+AE38-AF38</f>
        <v>36135000</v>
      </c>
      <c r="AH38" s="118"/>
      <c r="AI38" s="72"/>
      <c r="AJ38" s="72"/>
      <c r="AK38" s="79">
        <f>+IFERROR(AL38/$I38,"-")</f>
        <v>0</v>
      </c>
      <c r="AL38" s="80">
        <f>+$I38*지급비율!AB44</f>
        <v>0</v>
      </c>
      <c r="AM38" s="80"/>
      <c r="AN38" s="80">
        <f>+AL38-AM38</f>
        <v>0</v>
      </c>
      <c r="AO38" s="81"/>
      <c r="AP38" s="72"/>
      <c r="AQ38" s="72"/>
      <c r="AR38" s="79"/>
      <c r="AS38" s="80">
        <f>+$I38*지급비율!AI44</f>
        <v>0</v>
      </c>
      <c r="AT38" s="80"/>
      <c r="AU38" s="80">
        <f>+AS38-AT38</f>
        <v>0</v>
      </c>
      <c r="AV38" s="81"/>
      <c r="AW38" s="72"/>
      <c r="AX38" s="72"/>
      <c r="AY38" s="79"/>
      <c r="AZ38" s="80">
        <f>+$I38*지급비율!AP44</f>
        <v>0</v>
      </c>
      <c r="BA38" s="80"/>
      <c r="BB38" s="80">
        <f>+AZ38-BA38</f>
        <v>0</v>
      </c>
      <c r="BC38" s="81"/>
      <c r="BD38" s="72"/>
      <c r="BE38" s="72"/>
      <c r="BF38" s="79"/>
      <c r="BG38" s="80">
        <f>+$I38*지급비율!AW44</f>
        <v>0</v>
      </c>
      <c r="BH38" s="80"/>
      <c r="BI38" s="80">
        <f>+BG38-BH38</f>
        <v>0</v>
      </c>
      <c r="BJ38" s="81"/>
      <c r="BK38" s="72">
        <v>46142</v>
      </c>
      <c r="BL38" s="72"/>
      <c r="BM38" s="79">
        <f t="shared" si="1"/>
        <v>0.1</v>
      </c>
      <c r="BN38" s="80">
        <f>+$I38*지급비율!BD44</f>
        <v>7227000</v>
      </c>
      <c r="BO38" s="80"/>
      <c r="BP38" s="80">
        <f t="shared" si="2"/>
        <v>7227000</v>
      </c>
      <c r="BQ38" s="81"/>
      <c r="BR38" s="73"/>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22"/>
      <c r="C39" s="1330"/>
      <c r="D39" s="1329"/>
      <c r="E39" s="1324"/>
      <c r="F39" s="101" t="s">
        <v>391</v>
      </c>
      <c r="G39" s="102">
        <f>+지급비율!F45/1000*$D$36</f>
        <v>76650000</v>
      </c>
      <c r="H39" s="102">
        <f>+G39*0.1</f>
        <v>7665000</v>
      </c>
      <c r="I39" s="102">
        <f>SUM(G39:H39)</f>
        <v>84315000</v>
      </c>
      <c r="J39" s="101">
        <f t="shared" si="0"/>
        <v>0</v>
      </c>
      <c r="K39" s="106">
        <f>+IFERROR(R39+Y39+AF39+AT39+BA39+BH39+BO39,"-")</f>
        <v>0</v>
      </c>
      <c r="L39" s="106">
        <f>+I39-K39</f>
        <v>84315000</v>
      </c>
      <c r="M39" s="1327"/>
      <c r="N39" s="85"/>
      <c r="O39" s="83"/>
      <c r="P39" s="86"/>
      <c r="Q39" s="87">
        <f>+$I39*지급비율!G45</f>
        <v>0</v>
      </c>
      <c r="R39" s="87"/>
      <c r="S39" s="87"/>
      <c r="T39" s="83"/>
      <c r="U39" s="85"/>
      <c r="V39" s="83"/>
      <c r="W39" s="86"/>
      <c r="X39" s="87">
        <f>+$I39*지급비율!N45</f>
        <v>0</v>
      </c>
      <c r="Y39" s="87"/>
      <c r="Z39" s="87"/>
      <c r="AA39" s="83"/>
      <c r="AB39" s="85"/>
      <c r="AC39" s="83"/>
      <c r="AD39" s="86"/>
      <c r="AE39" s="87">
        <f>+$I39*지급비율!U45</f>
        <v>0</v>
      </c>
      <c r="AF39" s="87"/>
      <c r="AG39" s="87"/>
      <c r="AH39" s="83"/>
      <c r="AI39" s="85"/>
      <c r="AJ39" s="83"/>
      <c r="AK39" s="86"/>
      <c r="AL39" s="106">
        <f>+$I39*지급비율!AB45</f>
        <v>0</v>
      </c>
      <c r="AM39" s="87"/>
      <c r="AN39" s="87"/>
      <c r="AO39" s="83"/>
      <c r="AP39" s="85"/>
      <c r="AQ39" s="83"/>
      <c r="AR39" s="86"/>
      <c r="AS39" s="106">
        <f>+$I39*지급비율!AI45</f>
        <v>0</v>
      </c>
      <c r="AT39" s="87"/>
      <c r="AU39" s="87"/>
      <c r="AV39" s="83"/>
      <c r="AW39" s="85"/>
      <c r="AX39" s="83"/>
      <c r="AY39" s="86"/>
      <c r="AZ39" s="106">
        <f>+$I39*지급비율!AP45</f>
        <v>0</v>
      </c>
      <c r="BA39" s="87"/>
      <c r="BB39" s="87"/>
      <c r="BC39" s="83"/>
      <c r="BD39" s="85"/>
      <c r="BE39" s="83"/>
      <c r="BF39" s="86"/>
      <c r="BG39" s="106">
        <f>+$I39*지급비율!AW45</f>
        <v>0</v>
      </c>
      <c r="BH39" s="87"/>
      <c r="BI39" s="87"/>
      <c r="BJ39" s="83"/>
      <c r="BK39" s="72">
        <v>46142</v>
      </c>
      <c r="BL39" s="101"/>
      <c r="BM39" s="105">
        <f t="shared" si="1"/>
        <v>1</v>
      </c>
      <c r="BN39" s="106">
        <f>+$I39*지급비율!BD45</f>
        <v>84315000</v>
      </c>
      <c r="BO39" s="106"/>
      <c r="BP39" s="106">
        <f t="shared" si="2"/>
        <v>84315000</v>
      </c>
      <c r="BQ39" s="101"/>
      <c r="BR39" s="88"/>
      <c r="BS39" s="89" t="b">
        <f>+Q39+X39+AE39+AS39+AZ39+BG39+BN39=I39</f>
        <v>1</v>
      </c>
      <c r="BT39" s="90" t="b">
        <f>+R39+Y39+AF39+AT39+BA39+BH39+BO39=K39</f>
        <v>1</v>
      </c>
      <c r="BU39" s="90"/>
      <c r="BV39" s="54"/>
      <c r="BW39" s="54"/>
      <c r="BX39" s="54"/>
      <c r="BY39" s="54"/>
      <c r="BZ39" s="54"/>
      <c r="CA39" s="54"/>
      <c r="CB39" s="54"/>
      <c r="CC39" s="54"/>
      <c r="CD39" s="58"/>
      <c r="CE39" s="58"/>
    </row>
    <row r="40" spans="1:83" ht="16.5" customHeight="1">
      <c r="A40" s="62"/>
      <c r="B40" s="1322"/>
      <c r="C40" s="1330"/>
      <c r="D40" s="1329"/>
      <c r="E40" s="1324"/>
      <c r="F40" s="91" t="s">
        <v>392</v>
      </c>
      <c r="G40" s="92">
        <f>SUM(G36:G39)</f>
        <v>755550000</v>
      </c>
      <c r="H40" s="92">
        <f>SUM(H36:H39)</f>
        <v>75555000</v>
      </c>
      <c r="I40" s="92">
        <f>SUM(I36:I39)</f>
        <v>831105000</v>
      </c>
      <c r="J40" s="91">
        <f t="shared" si="0"/>
        <v>0.10434782608695652</v>
      </c>
      <c r="K40" s="92">
        <f>SUM(K36:K39)</f>
        <v>86724000</v>
      </c>
      <c r="L40" s="92">
        <f>SUM(L36:L39)</f>
        <v>744381000</v>
      </c>
      <c r="M40" s="419">
        <f>+X37+X38</f>
        <v>21681000</v>
      </c>
      <c r="N40" s="93"/>
      <c r="O40" s="91"/>
      <c r="P40" s="94">
        <f>+IFERROR(Q40/$I40,"-")</f>
        <v>7.8260869565217397E-2</v>
      </c>
      <c r="Q40" s="92">
        <f>SUM(Q36:Q39)</f>
        <v>65043000</v>
      </c>
      <c r="R40" s="170">
        <f>SUM(R36:R39)</f>
        <v>65043000</v>
      </c>
      <c r="S40" s="95">
        <f>+Q40-R40</f>
        <v>0</v>
      </c>
      <c r="T40" s="91"/>
      <c r="U40" s="93"/>
      <c r="V40" s="91"/>
      <c r="W40" s="94">
        <f>+IFERROR(X40/$I40,"-")</f>
        <v>2.6086956521739129E-2</v>
      </c>
      <c r="X40" s="92">
        <f>SUM(X36:X39)</f>
        <v>21681000</v>
      </c>
      <c r="Y40" s="170">
        <f>SUM(Y36:Y39)</f>
        <v>21681000</v>
      </c>
      <c r="Z40" s="95">
        <f>+X40-Y40</f>
        <v>0</v>
      </c>
      <c r="AA40" s="91"/>
      <c r="AB40" s="93"/>
      <c r="AC40" s="91"/>
      <c r="AD40" s="94">
        <f>+IFERROR(AE40/$I40,"-")</f>
        <v>0.44927536231884058</v>
      </c>
      <c r="AE40" s="92">
        <f>SUM(AE36:AE39)</f>
        <v>373395000</v>
      </c>
      <c r="AF40" s="92">
        <f>SUM(AF36:AF39)</f>
        <v>0</v>
      </c>
      <c r="AG40" s="95">
        <f>+AE40-AF40</f>
        <v>373395000</v>
      </c>
      <c r="AH40" s="91"/>
      <c r="AI40" s="93"/>
      <c r="AJ40" s="91"/>
      <c r="AK40" s="94">
        <f>+IFERROR(AL40/$I40,"-")</f>
        <v>0</v>
      </c>
      <c r="AL40" s="92">
        <f>SUM(AL36:AL39)</f>
        <v>0</v>
      </c>
      <c r="AM40" s="92">
        <f>SUM(AM36:AM39)</f>
        <v>0</v>
      </c>
      <c r="AN40" s="95">
        <f>+AL40-AM40</f>
        <v>0</v>
      </c>
      <c r="AO40" s="91"/>
      <c r="AP40" s="93"/>
      <c r="AQ40" s="91"/>
      <c r="AR40" s="94">
        <f>+IFERROR(AS40/$I40,"-")</f>
        <v>0</v>
      </c>
      <c r="AS40" s="92">
        <f>SUM(AS36:AS39)</f>
        <v>0</v>
      </c>
      <c r="AT40" s="92">
        <f>SUM(AT36:AT39)</f>
        <v>0</v>
      </c>
      <c r="AU40" s="95">
        <f>+AS40-AT40</f>
        <v>0</v>
      </c>
      <c r="AV40" s="91"/>
      <c r="AW40" s="93"/>
      <c r="AX40" s="91"/>
      <c r="AY40" s="94">
        <f>+IFERROR(AZ40/$I40,"-")</f>
        <v>0</v>
      </c>
      <c r="AZ40" s="92">
        <f>SUM(AZ36:AZ39)</f>
        <v>0</v>
      </c>
      <c r="BA40" s="92">
        <f>SUM(BA36:BA39)</f>
        <v>0</v>
      </c>
      <c r="BB40" s="95">
        <f>+AZ40-BA40</f>
        <v>0</v>
      </c>
      <c r="BC40" s="91"/>
      <c r="BD40" s="93"/>
      <c r="BE40" s="91"/>
      <c r="BF40" s="94">
        <f>+IFERROR(BG40/$I40,"-")</f>
        <v>0.25507246376811593</v>
      </c>
      <c r="BG40" s="92">
        <f>SUM(BG36:BG39)</f>
        <v>211992000</v>
      </c>
      <c r="BH40" s="92">
        <f>SUM(BH36:BH39)</f>
        <v>0</v>
      </c>
      <c r="BI40" s="95">
        <f>+BG40-BH40</f>
        <v>211992000</v>
      </c>
      <c r="BJ40" s="91"/>
      <c r="BK40" s="93"/>
      <c r="BL40" s="91"/>
      <c r="BM40" s="94">
        <f t="shared" si="1"/>
        <v>0.19130434782608696</v>
      </c>
      <c r="BN40" s="92">
        <f>SUM(BN36:BN39)</f>
        <v>158994000</v>
      </c>
      <c r="BO40" s="92">
        <f>SUM(BO36:BO39)</f>
        <v>0</v>
      </c>
      <c r="BP40" s="95">
        <f t="shared" si="2"/>
        <v>158994000</v>
      </c>
      <c r="BQ40" s="91"/>
      <c r="BR40" s="88"/>
      <c r="BS40" s="96"/>
      <c r="BT40" s="97"/>
      <c r="BU40" s="97"/>
      <c r="BV40" s="54"/>
      <c r="BW40" s="54"/>
      <c r="BX40" s="54"/>
      <c r="BY40" s="54"/>
      <c r="BZ40" s="54"/>
      <c r="CA40" s="54"/>
      <c r="CB40" s="54"/>
      <c r="CC40" s="54"/>
      <c r="CD40" s="58"/>
      <c r="CE40" s="58"/>
    </row>
    <row r="41" spans="1:83" ht="16.5" customHeight="1">
      <c r="A41" s="62"/>
      <c r="B41" s="1322">
        <f>+B36+1</f>
        <v>7</v>
      </c>
      <c r="C41" s="1330" t="s">
        <v>398</v>
      </c>
      <c r="D41" s="1329">
        <v>171</v>
      </c>
      <c r="E41" s="1324" t="s">
        <v>387</v>
      </c>
      <c r="F41" s="63" t="s">
        <v>388</v>
      </c>
      <c r="G41" s="76">
        <f>+지급비율!F42/1000*$D$41</f>
        <v>188100000</v>
      </c>
      <c r="H41" s="64">
        <f>+G41*10%</f>
        <v>18810000</v>
      </c>
      <c r="I41" s="64">
        <f>SUM(G41:H41)</f>
        <v>206910000</v>
      </c>
      <c r="J41" s="65">
        <f t="shared" si="0"/>
        <v>0</v>
      </c>
      <c r="K41" s="70">
        <f>+IFERROR(R41+Y41+AF41+AT41+BA41+BH41+BO41,"-")</f>
        <v>0</v>
      </c>
      <c r="L41" s="70">
        <f>+I41-K41</f>
        <v>206910000</v>
      </c>
      <c r="M41" s="1325" t="s">
        <v>265</v>
      </c>
      <c r="N41" s="67"/>
      <c r="O41" s="72"/>
      <c r="P41" s="69"/>
      <c r="Q41" s="70"/>
      <c r="R41" s="70"/>
      <c r="S41" s="70">
        <f>+Q41-R41</f>
        <v>0</v>
      </c>
      <c r="T41" s="81"/>
      <c r="U41" s="67"/>
      <c r="V41" s="68"/>
      <c r="W41" s="69"/>
      <c r="X41" s="70">
        <f>+$I41*지급비율!N42</f>
        <v>0</v>
      </c>
      <c r="Y41" s="70"/>
      <c r="Z41" s="70">
        <f>+X41-Y41</f>
        <v>0</v>
      </c>
      <c r="AA41" s="71"/>
      <c r="AB41" s="67">
        <f>+EDATE(AI41,-1)</f>
        <v>45989</v>
      </c>
      <c r="AC41" s="68"/>
      <c r="AD41" s="69">
        <f>+IFERROR(AE41/$I41,"-")</f>
        <v>0.5</v>
      </c>
      <c r="AE41" s="70">
        <f>+$I41*지급비율!U42</f>
        <v>103455000</v>
      </c>
      <c r="AF41" s="70"/>
      <c r="AG41" s="70">
        <f>+AE41-AF41</f>
        <v>103455000</v>
      </c>
      <c r="AH41" s="71"/>
      <c r="AI41" s="67">
        <f>+EDATE(AP41,-1)</f>
        <v>46019</v>
      </c>
      <c r="AJ41" s="68"/>
      <c r="AK41" s="69">
        <f>+IFERROR(AL41/$I41,"-")</f>
        <v>0</v>
      </c>
      <c r="AL41" s="70">
        <f>+$I41*지급비율!AB42</f>
        <v>0</v>
      </c>
      <c r="AM41" s="70"/>
      <c r="AN41" s="70">
        <f>+AL41-AM41</f>
        <v>0</v>
      </c>
      <c r="AO41" s="71"/>
      <c r="AP41" s="67">
        <f>+EDATE(AW41,-1)</f>
        <v>46050</v>
      </c>
      <c r="AQ41" s="68"/>
      <c r="AR41" s="69">
        <f>+IFERROR(AS41/$I41,"-")</f>
        <v>0</v>
      </c>
      <c r="AS41" s="70">
        <f>+$I41*지급비율!AI42</f>
        <v>0</v>
      </c>
      <c r="AT41" s="70"/>
      <c r="AU41" s="70">
        <f>+AS41-AT41</f>
        <v>0</v>
      </c>
      <c r="AV41" s="71"/>
      <c r="AW41" s="67">
        <f>+EDATE(BD41,-1)</f>
        <v>46081</v>
      </c>
      <c r="AX41" s="68"/>
      <c r="AY41" s="69">
        <f>+IFERROR(AZ41/$I41,"-")</f>
        <v>0</v>
      </c>
      <c r="AZ41" s="70">
        <f>+$I41*지급비율!AP42</f>
        <v>0</v>
      </c>
      <c r="BA41" s="70"/>
      <c r="BB41" s="70">
        <f>+AZ41-BA41</f>
        <v>0</v>
      </c>
      <c r="BC41" s="71"/>
      <c r="BD41" s="67">
        <f>+EDATE(BK41,-1)</f>
        <v>46111</v>
      </c>
      <c r="BE41" s="68"/>
      <c r="BF41" s="69">
        <f>+IFERROR(BG41/$I41,"-")</f>
        <v>0.4</v>
      </c>
      <c r="BG41" s="70">
        <f>+$I41*지급비율!AW42</f>
        <v>82764000</v>
      </c>
      <c r="BH41" s="70"/>
      <c r="BI41" s="70">
        <f>+BG41-BH41</f>
        <v>82764000</v>
      </c>
      <c r="BJ41" s="71"/>
      <c r="BK41" s="68">
        <v>46142</v>
      </c>
      <c r="BL41" s="68"/>
      <c r="BM41" s="69">
        <f t="shared" si="1"/>
        <v>0.1</v>
      </c>
      <c r="BN41" s="70">
        <f>+$I41*지급비율!BD42</f>
        <v>20691000</v>
      </c>
      <c r="BO41" s="70"/>
      <c r="BP41" s="70">
        <f t="shared" si="2"/>
        <v>20691000</v>
      </c>
      <c r="BQ41" s="71"/>
      <c r="BR41" s="73"/>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22"/>
      <c r="C42" s="1330"/>
      <c r="D42" s="1329"/>
      <c r="E42" s="1324"/>
      <c r="F42" s="75" t="s">
        <v>389</v>
      </c>
      <c r="G42" s="76">
        <f>+지급비율!F43/1000*$D$41</f>
        <v>51300000</v>
      </c>
      <c r="H42" s="76">
        <f>+G42*10%</f>
        <v>5130000</v>
      </c>
      <c r="I42" s="76">
        <f>SUM(G42:H42)</f>
        <v>56430000</v>
      </c>
      <c r="J42" s="75">
        <f t="shared" si="0"/>
        <v>0.9</v>
      </c>
      <c r="K42" s="80">
        <f>+IFERROR(R42+Y42+AF42+AT42+BA42+BH42+BO42,"-")</f>
        <v>50787000</v>
      </c>
      <c r="L42" s="80">
        <f>+I42-K42</f>
        <v>5643000</v>
      </c>
      <c r="M42" s="1326"/>
      <c r="N42" s="78">
        <v>45810</v>
      </c>
      <c r="O42" s="78">
        <v>45810</v>
      </c>
      <c r="P42" s="79">
        <f>+IFERROR(Q42/$I42,"-")</f>
        <v>0.3</v>
      </c>
      <c r="Q42" s="80">
        <f>+$I42*[5]지급비율!G$39</f>
        <v>16929000</v>
      </c>
      <c r="R42" s="80">
        <f>+Q42</f>
        <v>16929000</v>
      </c>
      <c r="S42" s="80">
        <f>+Q42-R42</f>
        <v>0</v>
      </c>
      <c r="T42" s="81"/>
      <c r="U42" s="78">
        <v>45930</v>
      </c>
      <c r="V42" s="78">
        <v>45898</v>
      </c>
      <c r="W42" s="79">
        <f>+IFERROR(X42/$I42,"-")</f>
        <v>0.1</v>
      </c>
      <c r="X42" s="80">
        <f>+$I42*지급비율!N43</f>
        <v>5643000</v>
      </c>
      <c r="Y42" s="80">
        <v>5643000</v>
      </c>
      <c r="Z42" s="80">
        <f>+X42-Y42</f>
        <v>0</v>
      </c>
      <c r="AA42" s="81"/>
      <c r="AB42" s="78">
        <v>45961</v>
      </c>
      <c r="AC42" s="78">
        <v>45931</v>
      </c>
      <c r="AD42" s="79">
        <f>+IFERROR(AE42/$I42,"-")</f>
        <v>0.5</v>
      </c>
      <c r="AE42" s="80">
        <f>+$I42*지급비율!U43</f>
        <v>28215000</v>
      </c>
      <c r="AF42" s="80">
        <v>28215000</v>
      </c>
      <c r="AG42" s="80">
        <f>+AE42-AF42</f>
        <v>0</v>
      </c>
      <c r="AH42" s="81"/>
      <c r="AI42" s="78"/>
      <c r="AJ42" s="78"/>
      <c r="AK42" s="79">
        <f>+IFERROR(AL42/$I42,"-")</f>
        <v>0</v>
      </c>
      <c r="AL42" s="70">
        <f>+$I42*지급비율!AB43</f>
        <v>0</v>
      </c>
      <c r="AM42" s="80"/>
      <c r="AN42" s="80">
        <f>+AL42-AM42</f>
        <v>0</v>
      </c>
      <c r="AO42" s="81"/>
      <c r="AP42" s="78"/>
      <c r="AQ42" s="78"/>
      <c r="AR42" s="79"/>
      <c r="AS42" s="70">
        <f>+$I42*지급비율!AI43</f>
        <v>0</v>
      </c>
      <c r="AT42" s="80"/>
      <c r="AU42" s="80">
        <f>+AS42-AT42</f>
        <v>0</v>
      </c>
      <c r="AV42" s="81"/>
      <c r="AW42" s="78"/>
      <c r="AX42" s="78"/>
      <c r="AY42" s="79"/>
      <c r="AZ42" s="70">
        <f>+$I42*지급비율!AP43</f>
        <v>0</v>
      </c>
      <c r="BA42" s="80"/>
      <c r="BB42" s="80">
        <f>+AZ42-BA42</f>
        <v>0</v>
      </c>
      <c r="BC42" s="81"/>
      <c r="BD42" s="78"/>
      <c r="BE42" s="78"/>
      <c r="BF42" s="79"/>
      <c r="BG42" s="70">
        <f>+$I42*지급비율!AW43</f>
        <v>0</v>
      </c>
      <c r="BH42" s="80"/>
      <c r="BI42" s="80">
        <f>+BG42-BH42</f>
        <v>0</v>
      </c>
      <c r="BJ42" s="81"/>
      <c r="BK42" s="68">
        <v>46142</v>
      </c>
      <c r="BL42" s="78"/>
      <c r="BM42" s="79">
        <f t="shared" si="1"/>
        <v>0.1</v>
      </c>
      <c r="BN42" s="70">
        <f>+$I42*지급비율!BD43</f>
        <v>5643000</v>
      </c>
      <c r="BO42" s="80"/>
      <c r="BP42" s="80">
        <f t="shared" si="2"/>
        <v>5643000</v>
      </c>
      <c r="BQ42" s="81"/>
      <c r="BR42" s="73"/>
      <c r="BS42" s="74" t="b">
        <f>+Q42+X42+AE42+AS42+AZ42+BG42+BN42=I42</f>
        <v>1</v>
      </c>
      <c r="BT42" s="74" t="b">
        <f>+R42+Y42+AF42+AT42+BA42+BH42+BO42=K42</f>
        <v>1</v>
      </c>
      <c r="BU42" s="74" t="b">
        <f>+BG42+BG43+AZ42+AZ43+AS42+AS43+AE42+AE43+X42+X43+Q42+Q43+BN42+BN43=([5]지급비율!$F$39+[5]지급비율!$F$40)*1.1*D41/1000</f>
        <v>1</v>
      </c>
      <c r="BV42" s="54"/>
      <c r="BW42" s="54"/>
      <c r="BX42" s="54"/>
      <c r="BY42" s="54"/>
      <c r="BZ42" s="54"/>
      <c r="CA42" s="54"/>
      <c r="CB42" s="54"/>
      <c r="CC42" s="54"/>
      <c r="CD42" s="58"/>
      <c r="CE42" s="58"/>
    </row>
    <row r="43" spans="1:83" ht="16.5" customHeight="1">
      <c r="A43" s="62"/>
      <c r="B43" s="1322"/>
      <c r="C43" s="1330"/>
      <c r="D43" s="1329"/>
      <c r="E43" s="1324"/>
      <c r="F43" s="75" t="s">
        <v>390</v>
      </c>
      <c r="G43" s="76">
        <f>+지급비율!F44/1000*$D$41</f>
        <v>25650000</v>
      </c>
      <c r="H43" s="76">
        <f>+G43*10%</f>
        <v>2565000</v>
      </c>
      <c r="I43" s="76">
        <f>SUM(G43:H43)</f>
        <v>28215000</v>
      </c>
      <c r="J43" s="75">
        <f t="shared" si="0"/>
        <v>0.9</v>
      </c>
      <c r="K43" s="80">
        <f>+IFERROR(R43+Y43+AF43+AT43+BA43+BH43+BO43,"-")</f>
        <v>25393500</v>
      </c>
      <c r="L43" s="80">
        <f>+I43-K43</f>
        <v>2821500</v>
      </c>
      <c r="M43" s="1326"/>
      <c r="N43" s="78">
        <v>45810</v>
      </c>
      <c r="O43" s="78">
        <v>45810</v>
      </c>
      <c r="P43" s="79">
        <f>+IFERROR(Q43/$I43,"-")</f>
        <v>0.3</v>
      </c>
      <c r="Q43" s="80">
        <f>+$I43*[5]지급비율!G$40</f>
        <v>8464500</v>
      </c>
      <c r="R43" s="80">
        <f>+Q43</f>
        <v>8464500</v>
      </c>
      <c r="S43" s="80">
        <f>+Q43-R43</f>
        <v>0</v>
      </c>
      <c r="T43" s="81"/>
      <c r="U43" s="78">
        <v>45930</v>
      </c>
      <c r="V43" s="78">
        <v>45898</v>
      </c>
      <c r="W43" s="79">
        <f>+IFERROR(X43/$I43,"-")</f>
        <v>0.1</v>
      </c>
      <c r="X43" s="80">
        <f>+$I43*지급비율!N44</f>
        <v>2821500</v>
      </c>
      <c r="Y43" s="80">
        <v>2821500</v>
      </c>
      <c r="Z43" s="80">
        <f>+X43-Y43</f>
        <v>0</v>
      </c>
      <c r="AA43" s="81"/>
      <c r="AB43" s="78">
        <v>45961</v>
      </c>
      <c r="AC43" s="78">
        <v>45931</v>
      </c>
      <c r="AD43" s="79">
        <f>+IFERROR(AE43/$I43,"-")</f>
        <v>0.5</v>
      </c>
      <c r="AE43" s="80">
        <f>+$I43*지급비율!U44</f>
        <v>14107500</v>
      </c>
      <c r="AF43" s="80">
        <v>14107500</v>
      </c>
      <c r="AG43" s="80">
        <f>+AE43-AF43</f>
        <v>0</v>
      </c>
      <c r="AH43" s="81"/>
      <c r="AI43" s="72"/>
      <c r="AJ43" s="72"/>
      <c r="AK43" s="79">
        <f>+IFERROR(AL43/$I43,"-")</f>
        <v>0</v>
      </c>
      <c r="AL43" s="70">
        <f>+$I43*지급비율!AB44</f>
        <v>0</v>
      </c>
      <c r="AM43" s="80"/>
      <c r="AN43" s="80">
        <f>+AL43-AM43</f>
        <v>0</v>
      </c>
      <c r="AO43" s="81"/>
      <c r="AP43" s="72"/>
      <c r="AQ43" s="72"/>
      <c r="AR43" s="79"/>
      <c r="AS43" s="70">
        <f>+$I43*지급비율!AI44</f>
        <v>0</v>
      </c>
      <c r="AT43" s="80"/>
      <c r="AU43" s="80">
        <f>+AS43-AT43</f>
        <v>0</v>
      </c>
      <c r="AV43" s="81"/>
      <c r="AW43" s="72"/>
      <c r="AX43" s="72"/>
      <c r="AY43" s="79"/>
      <c r="AZ43" s="70">
        <f>+$I43*지급비율!AP44</f>
        <v>0</v>
      </c>
      <c r="BA43" s="80"/>
      <c r="BB43" s="80">
        <f>+AZ43-BA43</f>
        <v>0</v>
      </c>
      <c r="BC43" s="81"/>
      <c r="BD43" s="72"/>
      <c r="BE43" s="72"/>
      <c r="BF43" s="79"/>
      <c r="BG43" s="70">
        <f>+$I43*지급비율!AW44</f>
        <v>0</v>
      </c>
      <c r="BH43" s="80"/>
      <c r="BI43" s="80">
        <f>+BG43-BH43</f>
        <v>0</v>
      </c>
      <c r="BJ43" s="81"/>
      <c r="BK43" s="68">
        <v>46142</v>
      </c>
      <c r="BL43" s="72"/>
      <c r="BM43" s="79">
        <f t="shared" si="1"/>
        <v>0.1</v>
      </c>
      <c r="BN43" s="70">
        <f>+$I43*지급비율!BD44</f>
        <v>2821500</v>
      </c>
      <c r="BO43" s="80"/>
      <c r="BP43" s="80">
        <f t="shared" si="2"/>
        <v>2821500</v>
      </c>
      <c r="BQ43" s="81"/>
      <c r="BR43" s="73"/>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22"/>
      <c r="C44" s="1330"/>
      <c r="D44" s="1329"/>
      <c r="E44" s="1324"/>
      <c r="F44" s="101" t="s">
        <v>391</v>
      </c>
      <c r="G44" s="102">
        <f>+지급비율!F45/1000*$D$41</f>
        <v>29925000</v>
      </c>
      <c r="H44" s="102">
        <f>+G44*0.1</f>
        <v>2992500</v>
      </c>
      <c r="I44" s="102">
        <f>SUM(G44:H44)</f>
        <v>32917500</v>
      </c>
      <c r="J44" s="101">
        <f t="shared" si="0"/>
        <v>0</v>
      </c>
      <c r="K44" s="106">
        <f>+IFERROR(R44+Y44+AF44+AT44+BA44+BH44+BO44,"-")</f>
        <v>0</v>
      </c>
      <c r="L44" s="106">
        <f>+I44-K44</f>
        <v>32917500</v>
      </c>
      <c r="M44" s="1327"/>
      <c r="N44" s="85"/>
      <c r="O44" s="83"/>
      <c r="P44" s="86"/>
      <c r="Q44" s="87"/>
      <c r="R44" s="87"/>
      <c r="S44" s="87"/>
      <c r="T44" s="83"/>
      <c r="U44" s="85"/>
      <c r="V44" s="83"/>
      <c r="W44" s="86"/>
      <c r="X44" s="87">
        <f>+$I44*지급비율!N45</f>
        <v>0</v>
      </c>
      <c r="Y44" s="87"/>
      <c r="Z44" s="87"/>
      <c r="AA44" s="83"/>
      <c r="AB44" s="85"/>
      <c r="AC44" s="83"/>
      <c r="AD44" s="86"/>
      <c r="AE44" s="87">
        <f>+$I44*지급비율!U45</f>
        <v>0</v>
      </c>
      <c r="AF44" s="87"/>
      <c r="AG44" s="87"/>
      <c r="AH44" s="83"/>
      <c r="AI44" s="85"/>
      <c r="AJ44" s="83"/>
      <c r="AK44" s="86"/>
      <c r="AL44" s="70">
        <f>+$I44*지급비율!AB45</f>
        <v>0</v>
      </c>
      <c r="AM44" s="87"/>
      <c r="AN44" s="87"/>
      <c r="AO44" s="83"/>
      <c r="AP44" s="85"/>
      <c r="AQ44" s="83"/>
      <c r="AR44" s="86"/>
      <c r="AS44" s="70">
        <f>+$I44*지급비율!AI45</f>
        <v>0</v>
      </c>
      <c r="AT44" s="87"/>
      <c r="AU44" s="87"/>
      <c r="AV44" s="83"/>
      <c r="AW44" s="85"/>
      <c r="AX44" s="83"/>
      <c r="AY44" s="86"/>
      <c r="AZ44" s="70">
        <f>+$I44*지급비율!AP45</f>
        <v>0</v>
      </c>
      <c r="BA44" s="87"/>
      <c r="BB44" s="87"/>
      <c r="BC44" s="83"/>
      <c r="BD44" s="85"/>
      <c r="BE44" s="83"/>
      <c r="BF44" s="86"/>
      <c r="BG44" s="70">
        <f>+$I44*지급비율!AW45</f>
        <v>0</v>
      </c>
      <c r="BH44" s="87"/>
      <c r="BI44" s="87"/>
      <c r="BJ44" s="83"/>
      <c r="BK44" s="68">
        <v>46142</v>
      </c>
      <c r="BL44" s="101"/>
      <c r="BM44" s="105">
        <f t="shared" si="1"/>
        <v>1</v>
      </c>
      <c r="BN44" s="70">
        <f>+$I44*지급비율!BD45</f>
        <v>32917500</v>
      </c>
      <c r="BO44" s="106"/>
      <c r="BP44" s="106">
        <f t="shared" si="2"/>
        <v>32917500</v>
      </c>
      <c r="BQ44" s="101"/>
      <c r="BR44" s="88"/>
      <c r="BS44" s="89" t="b">
        <f>+Q44+X44+AE44+AS44+AZ44+BG44+BN44=I44</f>
        <v>1</v>
      </c>
      <c r="BT44" s="90" t="b">
        <f>+R44+Y44+AF44+AT44+BA44+BH44+BO44=K44</f>
        <v>1</v>
      </c>
      <c r="BU44" s="90"/>
      <c r="BV44" s="54"/>
      <c r="BW44" s="54"/>
      <c r="BX44" s="54"/>
      <c r="BY44" s="54"/>
      <c r="BZ44" s="54"/>
      <c r="CA44" s="54"/>
      <c r="CB44" s="54"/>
      <c r="CC44" s="54"/>
      <c r="CD44" s="58"/>
      <c r="CE44" s="58"/>
    </row>
    <row r="45" spans="1:83" ht="16.5" customHeight="1">
      <c r="A45" s="62"/>
      <c r="B45" s="1322"/>
      <c r="C45" s="1330"/>
      <c r="D45" s="1329"/>
      <c r="E45" s="1324"/>
      <c r="F45" s="91" t="s">
        <v>392</v>
      </c>
      <c r="G45" s="92">
        <f>SUM(G41:G44)</f>
        <v>294975000</v>
      </c>
      <c r="H45" s="92">
        <f>SUM(H41:H44)</f>
        <v>29497500</v>
      </c>
      <c r="I45" s="92">
        <f>SUM(I41:I44)</f>
        <v>324472500</v>
      </c>
      <c r="J45" s="91">
        <f t="shared" si="0"/>
        <v>0.23478260869565218</v>
      </c>
      <c r="K45" s="92">
        <f>SUM(K41:K44)</f>
        <v>76180500</v>
      </c>
      <c r="L45" s="92">
        <f>SUM(L41:L44)</f>
        <v>248292000</v>
      </c>
      <c r="M45" s="419">
        <f>+AE42+AE43</f>
        <v>42322500</v>
      </c>
      <c r="N45" s="93"/>
      <c r="O45" s="91"/>
      <c r="P45" s="94">
        <f>+IFERROR(Q45/$I45,"-")</f>
        <v>7.8260869565217397E-2</v>
      </c>
      <c r="Q45" s="92">
        <f>SUM(Q41:Q44)</f>
        <v>25393500</v>
      </c>
      <c r="R45" s="170">
        <f>SUM(R41:R44)</f>
        <v>25393500</v>
      </c>
      <c r="S45" s="95">
        <f>+Q45-R45</f>
        <v>0</v>
      </c>
      <c r="T45" s="91"/>
      <c r="U45" s="93"/>
      <c r="V45" s="91"/>
      <c r="W45" s="94">
        <f>+IFERROR(X45/$I45,"-")</f>
        <v>2.6086956521739129E-2</v>
      </c>
      <c r="X45" s="92">
        <f>SUM(X41:X44)</f>
        <v>8464500</v>
      </c>
      <c r="Y45" s="170">
        <f>SUM(Y41:Y44)</f>
        <v>8464500</v>
      </c>
      <c r="Z45" s="95">
        <f>+X45-Y45</f>
        <v>0</v>
      </c>
      <c r="AA45" s="91"/>
      <c r="AB45" s="93"/>
      <c r="AC45" s="91"/>
      <c r="AD45" s="94">
        <f>+IFERROR(AE45/$I45,"-")</f>
        <v>0.44927536231884058</v>
      </c>
      <c r="AE45" s="92">
        <f>SUM(AE41:AE44)</f>
        <v>145777500</v>
      </c>
      <c r="AF45" s="170">
        <f>SUM(AF41:AF44)</f>
        <v>42322500</v>
      </c>
      <c r="AG45" s="95">
        <f>+AE45-AF45</f>
        <v>103455000</v>
      </c>
      <c r="AH45" s="91"/>
      <c r="AI45" s="93"/>
      <c r="AJ45" s="91"/>
      <c r="AK45" s="94">
        <f>+IFERROR(AL45/$I45,"-")</f>
        <v>0</v>
      </c>
      <c r="AL45" s="92">
        <f>SUM(AL41:AL44)</f>
        <v>0</v>
      </c>
      <c r="AM45" s="92">
        <f>SUM(AM41:AM44)</f>
        <v>0</v>
      </c>
      <c r="AN45" s="95">
        <f>+AL45-AM45</f>
        <v>0</v>
      </c>
      <c r="AO45" s="91"/>
      <c r="AP45" s="93"/>
      <c r="AQ45" s="91"/>
      <c r="AR45" s="94">
        <f>+IFERROR(AS45/$I45,"-")</f>
        <v>0</v>
      </c>
      <c r="AS45" s="92">
        <f>SUM(AS41:AS44)</f>
        <v>0</v>
      </c>
      <c r="AT45" s="92">
        <f>SUM(AT41:AT44)</f>
        <v>0</v>
      </c>
      <c r="AU45" s="95">
        <f>+AS45-AT45</f>
        <v>0</v>
      </c>
      <c r="AV45" s="91"/>
      <c r="AW45" s="93"/>
      <c r="AX45" s="91"/>
      <c r="AY45" s="94">
        <f>+IFERROR(AZ45/$I45,"-")</f>
        <v>0</v>
      </c>
      <c r="AZ45" s="92">
        <f>SUM(AZ41:AZ44)</f>
        <v>0</v>
      </c>
      <c r="BA45" s="92">
        <f>SUM(BA41:BA44)</f>
        <v>0</v>
      </c>
      <c r="BB45" s="95">
        <f>+AZ45-BA45</f>
        <v>0</v>
      </c>
      <c r="BC45" s="91"/>
      <c r="BD45" s="93"/>
      <c r="BE45" s="91"/>
      <c r="BF45" s="94">
        <f>+IFERROR(BG45/$I45,"-")</f>
        <v>0.25507246376811593</v>
      </c>
      <c r="BG45" s="92">
        <f>SUM(BG41:BG44)</f>
        <v>82764000</v>
      </c>
      <c r="BH45" s="92">
        <f>SUM(BH41:BH44)</f>
        <v>0</v>
      </c>
      <c r="BI45" s="95">
        <f>+BG45-BH45</f>
        <v>82764000</v>
      </c>
      <c r="BJ45" s="91"/>
      <c r="BK45" s="93"/>
      <c r="BL45" s="91"/>
      <c r="BM45" s="94">
        <f t="shared" si="1"/>
        <v>0.19130434782608696</v>
      </c>
      <c r="BN45" s="92">
        <f>SUM(BN41:BN44)</f>
        <v>62073000</v>
      </c>
      <c r="BO45" s="92">
        <f>SUM(BO41:BO44)</f>
        <v>0</v>
      </c>
      <c r="BP45" s="95">
        <f t="shared" si="2"/>
        <v>62073000</v>
      </c>
      <c r="BQ45" s="91"/>
      <c r="BR45" s="88"/>
      <c r="BS45" s="96"/>
      <c r="BT45" s="97"/>
      <c r="BU45" s="97"/>
      <c r="BV45" s="54"/>
      <c r="BW45" s="54"/>
      <c r="BX45" s="54"/>
      <c r="BY45" s="54"/>
      <c r="BZ45" s="54"/>
      <c r="CA45" s="54"/>
      <c r="CB45" s="54"/>
      <c r="CC45" s="54"/>
      <c r="CD45" s="58"/>
      <c r="CE45" s="58"/>
    </row>
    <row r="46" spans="1:83" ht="16.5" customHeight="1">
      <c r="A46" s="62"/>
      <c r="B46" s="1322">
        <f>+B41+1</f>
        <v>8</v>
      </c>
      <c r="C46" s="1330" t="s">
        <v>399</v>
      </c>
      <c r="D46" s="1329">
        <v>527</v>
      </c>
      <c r="E46" s="1324" t="s">
        <v>387</v>
      </c>
      <c r="F46" s="63" t="s">
        <v>388</v>
      </c>
      <c r="G46" s="76">
        <f>+지급비율!F46/1000*$D$46</f>
        <v>579700000</v>
      </c>
      <c r="H46" s="64">
        <f>+G46*10%</f>
        <v>57970000</v>
      </c>
      <c r="I46" s="64">
        <f>SUM(G46:H46)</f>
        <v>637670000</v>
      </c>
      <c r="J46" s="65">
        <f t="shared" si="0"/>
        <v>0</v>
      </c>
      <c r="K46" s="70">
        <f>+IFERROR(R46+Y46+AF46+AT46+BA46+BH46+BO46,"-")</f>
        <v>0</v>
      </c>
      <c r="L46" s="70">
        <f>+I46-K46</f>
        <v>637670000</v>
      </c>
      <c r="M46" s="1325" t="s">
        <v>264</v>
      </c>
      <c r="N46" s="67"/>
      <c r="O46" s="72"/>
      <c r="P46" s="69"/>
      <c r="Q46" s="70">
        <f>+$I46*지급비율!G46</f>
        <v>0</v>
      </c>
      <c r="R46" s="70"/>
      <c r="S46" s="70">
        <f>+Q46-R46</f>
        <v>0</v>
      </c>
      <c r="T46" s="81"/>
      <c r="U46" s="67"/>
      <c r="V46" s="68"/>
      <c r="W46" s="69"/>
      <c r="X46" s="70">
        <f>+$I46*지급비율!N46</f>
        <v>0</v>
      </c>
      <c r="Y46" s="70"/>
      <c r="Z46" s="70">
        <f>+X46-Y46</f>
        <v>0</v>
      </c>
      <c r="AA46" s="71"/>
      <c r="AB46" s="67">
        <f>+EDATE(AI46,0)</f>
        <v>46019</v>
      </c>
      <c r="AC46" s="68"/>
      <c r="AD46" s="69">
        <f>+IFERROR(AE46/$I46,"-")</f>
        <v>0.5</v>
      </c>
      <c r="AE46" s="70">
        <f>+$I46*지급비율!U46</f>
        <v>318835000</v>
      </c>
      <c r="AF46" s="70"/>
      <c r="AG46" s="70">
        <f>+AE46-AF46</f>
        <v>318835000</v>
      </c>
      <c r="AH46" s="71"/>
      <c r="AI46" s="67">
        <f>+EDATE(AP46,-1)</f>
        <v>46019</v>
      </c>
      <c r="AJ46" s="68"/>
      <c r="AK46" s="69">
        <f>+IFERROR(AL46/$I46,"-")</f>
        <v>0</v>
      </c>
      <c r="AL46" s="70">
        <f>+$I46*지급비율!AB46</f>
        <v>0</v>
      </c>
      <c r="AM46" s="70"/>
      <c r="AN46" s="70">
        <f>+AL46-AM46</f>
        <v>0</v>
      </c>
      <c r="AO46" s="71"/>
      <c r="AP46" s="67">
        <f>+EDATE(AW46,-1)</f>
        <v>46050</v>
      </c>
      <c r="AQ46" s="68"/>
      <c r="AR46" s="69">
        <f>+IFERROR(AS46/$I46,"-")</f>
        <v>0</v>
      </c>
      <c r="AS46" s="70">
        <f>+$I46*지급비율!AI46</f>
        <v>0</v>
      </c>
      <c r="AT46" s="70"/>
      <c r="AU46" s="70">
        <f>+AS46-AT46</f>
        <v>0</v>
      </c>
      <c r="AV46" s="71"/>
      <c r="AW46" s="67">
        <f>+EDATE(BD46,-1)</f>
        <v>46081</v>
      </c>
      <c r="AX46" s="68"/>
      <c r="AY46" s="69">
        <f>+IFERROR(AZ46/$I46,"-")</f>
        <v>0</v>
      </c>
      <c r="AZ46" s="70">
        <f>+$I46*지급비율!AP46</f>
        <v>0</v>
      </c>
      <c r="BA46" s="70"/>
      <c r="BB46" s="70">
        <f>+AZ46-BA46</f>
        <v>0</v>
      </c>
      <c r="BC46" s="71"/>
      <c r="BD46" s="67">
        <f>+EDATE(BK46,-1)</f>
        <v>46111</v>
      </c>
      <c r="BE46" s="68"/>
      <c r="BF46" s="69">
        <f>+IFERROR(BG46/$I46,"-")</f>
        <v>0.4</v>
      </c>
      <c r="BG46" s="70">
        <f>+$I46*지급비율!AW46</f>
        <v>255068000</v>
      </c>
      <c r="BH46" s="70"/>
      <c r="BI46" s="70">
        <f>+BG46-BH46</f>
        <v>255068000</v>
      </c>
      <c r="BJ46" s="71"/>
      <c r="BK46" s="78">
        <v>46142</v>
      </c>
      <c r="BL46" s="68"/>
      <c r="BM46" s="69">
        <f t="shared" si="1"/>
        <v>0.1</v>
      </c>
      <c r="BN46" s="70">
        <f>+$I46*지급비율!BD46</f>
        <v>63767000</v>
      </c>
      <c r="BO46" s="70"/>
      <c r="BP46" s="70">
        <f t="shared" si="2"/>
        <v>63767000</v>
      </c>
      <c r="BQ46" s="71"/>
      <c r="BR46" s="73"/>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22"/>
      <c r="C47" s="1330"/>
      <c r="D47" s="1329"/>
      <c r="E47" s="1324"/>
      <c r="F47" s="75" t="s">
        <v>389</v>
      </c>
      <c r="G47" s="76">
        <f>+지급비율!F47/1000*$D$46</f>
        <v>158100000</v>
      </c>
      <c r="H47" s="76">
        <f>+G47*10%</f>
        <v>15810000</v>
      </c>
      <c r="I47" s="76">
        <f>SUM(G47:H47)</f>
        <v>173910000</v>
      </c>
      <c r="J47" s="75">
        <f t="shared" si="0"/>
        <v>0.3</v>
      </c>
      <c r="K47" s="80">
        <f>+IFERROR(R47+Y47+AF47+AT47+BA47+BH47+BO47,"-")</f>
        <v>52173000</v>
      </c>
      <c r="L47" s="80">
        <f>+I47-K47</f>
        <v>121737000</v>
      </c>
      <c r="M47" s="1326"/>
      <c r="N47" s="78">
        <v>45826</v>
      </c>
      <c r="O47" s="78">
        <v>45826</v>
      </c>
      <c r="P47" s="79">
        <f>+IFERROR(Q47/$I47,"-")</f>
        <v>0.3</v>
      </c>
      <c r="Q47" s="80">
        <f>+$I47*지급비율!G47</f>
        <v>52173000</v>
      </c>
      <c r="R47" s="80">
        <v>52173000</v>
      </c>
      <c r="S47" s="80">
        <f>+Q47-R47</f>
        <v>0</v>
      </c>
      <c r="T47" s="81"/>
      <c r="U47" s="284">
        <v>45961</v>
      </c>
      <c r="V47" s="284"/>
      <c r="W47" s="286">
        <f>+IFERROR(X47/$I47,"-")</f>
        <v>0.1</v>
      </c>
      <c r="X47" s="290">
        <f>+$I47*지급비율!N47</f>
        <v>17391000</v>
      </c>
      <c r="Y47" s="290"/>
      <c r="Z47" s="290">
        <f>+X47-Y47</f>
        <v>17391000</v>
      </c>
      <c r="AA47" s="288"/>
      <c r="AB47" s="152">
        <v>45991</v>
      </c>
      <c r="AC47" s="152"/>
      <c r="AD47" s="117">
        <f>+IFERROR(AE47/$I47,"-")</f>
        <v>0.5</v>
      </c>
      <c r="AE47" s="153">
        <f>+$I47*지급비율!U47</f>
        <v>86955000</v>
      </c>
      <c r="AF47" s="153"/>
      <c r="AG47" s="153">
        <f>+AE47-AF47</f>
        <v>86955000</v>
      </c>
      <c r="AH47" s="118"/>
      <c r="AI47" s="78"/>
      <c r="AJ47" s="78"/>
      <c r="AK47" s="79">
        <f>+IFERROR(AL47/$I47,"-")</f>
        <v>0</v>
      </c>
      <c r="AL47" s="80">
        <f>+$I47*지급비율!AB47</f>
        <v>0</v>
      </c>
      <c r="AM47" s="80"/>
      <c r="AN47" s="80">
        <f>+AL47-AM47</f>
        <v>0</v>
      </c>
      <c r="AO47" s="81"/>
      <c r="AP47" s="78"/>
      <c r="AQ47" s="78"/>
      <c r="AR47" s="79"/>
      <c r="AS47" s="80">
        <f>+$I47*지급비율!AI47</f>
        <v>0</v>
      </c>
      <c r="AT47" s="80"/>
      <c r="AU47" s="80">
        <f>+AS47-AT47</f>
        <v>0</v>
      </c>
      <c r="AV47" s="81"/>
      <c r="AW47" s="78"/>
      <c r="AX47" s="78"/>
      <c r="AY47" s="79"/>
      <c r="AZ47" s="80">
        <f>+$I47*지급비율!AP47</f>
        <v>0</v>
      </c>
      <c r="BA47" s="80"/>
      <c r="BB47" s="80">
        <f>+AZ47-BA47</f>
        <v>0</v>
      </c>
      <c r="BC47" s="81"/>
      <c r="BD47" s="78"/>
      <c r="BE47" s="78"/>
      <c r="BF47" s="79"/>
      <c r="BG47" s="80">
        <f>+$I47*지급비율!AW47</f>
        <v>0</v>
      </c>
      <c r="BH47" s="80"/>
      <c r="BI47" s="80">
        <f>+BG47-BH47</f>
        <v>0</v>
      </c>
      <c r="BJ47" s="81"/>
      <c r="BK47" s="78">
        <v>46142</v>
      </c>
      <c r="BL47" s="78"/>
      <c r="BM47" s="79">
        <f t="shared" si="1"/>
        <v>0.1</v>
      </c>
      <c r="BN47" s="80">
        <f>+$I47*지급비율!BD47</f>
        <v>17391000</v>
      </c>
      <c r="BO47" s="80"/>
      <c r="BP47" s="80">
        <f t="shared" si="2"/>
        <v>17391000</v>
      </c>
      <c r="BQ47" s="81"/>
      <c r="BR47" s="73"/>
      <c r="BS47" s="74" t="b">
        <f>+Q47+X47+AE47+AS47+AZ47+BG47+BN47=I47</f>
        <v>1</v>
      </c>
      <c r="BT47" s="74" t="b">
        <f>+R47+Y47+AF47+AT47+BA47+BH47+BO47=K47</f>
        <v>1</v>
      </c>
      <c r="BU47" s="74" t="b">
        <f>+BG47+BG48+AZ47+AZ48+AS47+AS48+AE47+AE48+X47+X48+Q47+Q48+BN47+BN48=([5]지급비율!$F$39+[5]지급비율!$F$40)*1.1*D46/1000</f>
        <v>1</v>
      </c>
      <c r="BV47" s="54"/>
      <c r="BW47" s="54"/>
      <c r="BX47" s="54"/>
      <c r="BY47" s="54"/>
      <c r="BZ47" s="54"/>
      <c r="CA47" s="54"/>
      <c r="CB47" s="54"/>
      <c r="CC47" s="54"/>
      <c r="CD47" s="58"/>
      <c r="CE47" s="58"/>
    </row>
    <row r="48" spans="1:83" ht="16.5" customHeight="1">
      <c r="A48" s="62"/>
      <c r="B48" s="1322"/>
      <c r="C48" s="1330"/>
      <c r="D48" s="1329"/>
      <c r="E48" s="1324"/>
      <c r="F48" s="75" t="s">
        <v>390</v>
      </c>
      <c r="G48" s="76">
        <f>+지급비율!F48/1000*$D$46</f>
        <v>79050000</v>
      </c>
      <c r="H48" s="76">
        <f>+G48*10%</f>
        <v>7905000</v>
      </c>
      <c r="I48" s="76">
        <f>SUM(G48:H48)</f>
        <v>86955000</v>
      </c>
      <c r="J48" s="75">
        <f t="shared" si="0"/>
        <v>0.3</v>
      </c>
      <c r="K48" s="80">
        <f>+IFERROR(R48+Y48+AF48+AT48+BA48+BH48+BO48,"-")</f>
        <v>26086500</v>
      </c>
      <c r="L48" s="80">
        <f>+I48-K48</f>
        <v>60868500</v>
      </c>
      <c r="M48" s="1326"/>
      <c r="N48" s="78">
        <v>45826</v>
      </c>
      <c r="O48" s="78">
        <v>45826</v>
      </c>
      <c r="P48" s="79">
        <f>+IFERROR(Q48/$I48,"-")</f>
        <v>0.3</v>
      </c>
      <c r="Q48" s="80">
        <f>+$I48*지급비율!G48</f>
        <v>26086500</v>
      </c>
      <c r="R48" s="80">
        <v>26086500</v>
      </c>
      <c r="S48" s="80">
        <f>+Q48-R48</f>
        <v>0</v>
      </c>
      <c r="T48" s="81"/>
      <c r="U48" s="284">
        <v>45961</v>
      </c>
      <c r="V48" s="285"/>
      <c r="W48" s="286">
        <f>+IFERROR(X48/$I48,"-")</f>
        <v>0.1</v>
      </c>
      <c r="X48" s="290">
        <f>+$I48*지급비율!N48</f>
        <v>8695500</v>
      </c>
      <c r="Y48" s="290"/>
      <c r="Z48" s="290">
        <f>+X48-Y48</f>
        <v>8695500</v>
      </c>
      <c r="AA48" s="288"/>
      <c r="AB48" s="152">
        <v>45991</v>
      </c>
      <c r="AC48" s="116"/>
      <c r="AD48" s="117">
        <f>+IFERROR(AE48/$I48,"-")</f>
        <v>0.5</v>
      </c>
      <c r="AE48" s="153">
        <f>+$I48*지급비율!U48</f>
        <v>43477500</v>
      </c>
      <c r="AF48" s="153"/>
      <c r="AG48" s="153">
        <f>+AE48-AF48</f>
        <v>43477500</v>
      </c>
      <c r="AH48" s="118"/>
      <c r="AI48" s="72"/>
      <c r="AJ48" s="72"/>
      <c r="AK48" s="79">
        <f>+IFERROR(AL48/$I48,"-")</f>
        <v>0</v>
      </c>
      <c r="AL48" s="80">
        <f>+$I48*지급비율!AB48</f>
        <v>0</v>
      </c>
      <c r="AM48" s="80"/>
      <c r="AN48" s="80">
        <f>+AL48-AM48</f>
        <v>0</v>
      </c>
      <c r="AO48" s="81"/>
      <c r="AP48" s="72"/>
      <c r="AQ48" s="72"/>
      <c r="AR48" s="79"/>
      <c r="AS48" s="80">
        <f>+$I48*지급비율!AI48</f>
        <v>0</v>
      </c>
      <c r="AT48" s="80"/>
      <c r="AU48" s="80">
        <f>+AS48-AT48</f>
        <v>0</v>
      </c>
      <c r="AV48" s="81"/>
      <c r="AW48" s="72"/>
      <c r="AX48" s="72"/>
      <c r="AY48" s="79"/>
      <c r="AZ48" s="80">
        <f>+$I48*지급비율!AP48</f>
        <v>0</v>
      </c>
      <c r="BA48" s="80"/>
      <c r="BB48" s="80">
        <f>+AZ48-BA48</f>
        <v>0</v>
      </c>
      <c r="BC48" s="81"/>
      <c r="BD48" s="72"/>
      <c r="BE48" s="72"/>
      <c r="BF48" s="79"/>
      <c r="BG48" s="80">
        <f>+$I48*지급비율!AW48</f>
        <v>0</v>
      </c>
      <c r="BH48" s="80"/>
      <c r="BI48" s="80">
        <f>+BG48-BH48</f>
        <v>0</v>
      </c>
      <c r="BJ48" s="81"/>
      <c r="BK48" s="78">
        <v>46142</v>
      </c>
      <c r="BL48" s="72"/>
      <c r="BM48" s="79">
        <f t="shared" si="1"/>
        <v>0.1</v>
      </c>
      <c r="BN48" s="80">
        <f>+$I48*지급비율!BD48</f>
        <v>8695500</v>
      </c>
      <c r="BO48" s="80"/>
      <c r="BP48" s="80">
        <f t="shared" si="2"/>
        <v>8695500</v>
      </c>
      <c r="BQ48" s="81"/>
      <c r="BR48" s="73"/>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22"/>
      <c r="C49" s="1330"/>
      <c r="D49" s="1329"/>
      <c r="E49" s="1324"/>
      <c r="F49" s="101" t="s">
        <v>391</v>
      </c>
      <c r="G49" s="102">
        <f>+지급비율!F49/1000*$D$46</f>
        <v>105400000</v>
      </c>
      <c r="H49" s="102">
        <f>+G49*0.1</f>
        <v>10540000</v>
      </c>
      <c r="I49" s="102">
        <f>SUM(G49:H49)</f>
        <v>115940000</v>
      </c>
      <c r="J49" s="101">
        <f t="shared" si="0"/>
        <v>0</v>
      </c>
      <c r="K49" s="106">
        <f>+IFERROR(R49+Y49+AF49+AT49+BA49+BH49+BO49,"-")</f>
        <v>0</v>
      </c>
      <c r="L49" s="106">
        <f>+I49-K49</f>
        <v>115940000</v>
      </c>
      <c r="M49" s="1327"/>
      <c r="N49" s="85"/>
      <c r="O49" s="83"/>
      <c r="P49" s="86"/>
      <c r="Q49" s="87">
        <f>+$I49*지급비율!G49</f>
        <v>0</v>
      </c>
      <c r="R49" s="87"/>
      <c r="S49" s="87"/>
      <c r="T49" s="83"/>
      <c r="U49" s="85"/>
      <c r="V49" s="83"/>
      <c r="W49" s="86"/>
      <c r="X49" s="87">
        <f>+$I49*지급비율!N49</f>
        <v>0</v>
      </c>
      <c r="Y49" s="87"/>
      <c r="Z49" s="87"/>
      <c r="AA49" s="83"/>
      <c r="AB49" s="85"/>
      <c r="AC49" s="83"/>
      <c r="AD49" s="86"/>
      <c r="AE49" s="80">
        <f>+$I49*지급비율!U49</f>
        <v>0</v>
      </c>
      <c r="AF49" s="87"/>
      <c r="AG49" s="87"/>
      <c r="AH49" s="83"/>
      <c r="AI49" s="85"/>
      <c r="AJ49" s="83"/>
      <c r="AK49" s="86"/>
      <c r="AL49" s="80">
        <f>+$I49*지급비율!AB49</f>
        <v>0</v>
      </c>
      <c r="AM49" s="87"/>
      <c r="AN49" s="87"/>
      <c r="AO49" s="83"/>
      <c r="AP49" s="85"/>
      <c r="AQ49" s="83"/>
      <c r="AR49" s="86"/>
      <c r="AS49" s="80">
        <f>+$I49*지급비율!AI49</f>
        <v>0</v>
      </c>
      <c r="AT49" s="87"/>
      <c r="AU49" s="87"/>
      <c r="AV49" s="83"/>
      <c r="AW49" s="85"/>
      <c r="AX49" s="83"/>
      <c r="AY49" s="86"/>
      <c r="AZ49" s="80">
        <f>+$I49*지급비율!AP49</f>
        <v>0</v>
      </c>
      <c r="BA49" s="87"/>
      <c r="BB49" s="87"/>
      <c r="BC49" s="83"/>
      <c r="BD49" s="85"/>
      <c r="BE49" s="83"/>
      <c r="BF49" s="86"/>
      <c r="BG49" s="80">
        <f>+$I49*지급비율!AW49</f>
        <v>0</v>
      </c>
      <c r="BH49" s="87"/>
      <c r="BI49" s="87"/>
      <c r="BJ49" s="83"/>
      <c r="BK49" s="78">
        <v>46142</v>
      </c>
      <c r="BL49" s="101"/>
      <c r="BM49" s="105">
        <f t="shared" si="1"/>
        <v>1</v>
      </c>
      <c r="BN49" s="80">
        <f>+$I49*지급비율!BD49</f>
        <v>115940000</v>
      </c>
      <c r="BO49" s="106"/>
      <c r="BP49" s="106">
        <f t="shared" si="2"/>
        <v>115940000</v>
      </c>
      <c r="BQ49" s="101"/>
      <c r="BR49" s="88"/>
      <c r="BS49" s="89" t="b">
        <f>+Q49+X49+AE49+AS49+AZ49+BG49+BN49=I49</f>
        <v>1</v>
      </c>
      <c r="BT49" s="90" t="b">
        <f>+R49+Y49+AF49+AT49+BA49+BH49+BO49=K49</f>
        <v>1</v>
      </c>
      <c r="BU49" s="90"/>
      <c r="BV49" s="54"/>
      <c r="BW49" s="54"/>
      <c r="BX49" s="54"/>
      <c r="BY49" s="54"/>
      <c r="BZ49" s="54"/>
      <c r="CA49" s="54"/>
      <c r="CB49" s="54"/>
      <c r="CC49" s="54"/>
      <c r="CD49" s="58"/>
      <c r="CE49" s="58"/>
    </row>
    <row r="50" spans="1:83" ht="16.5" customHeight="1">
      <c r="A50" s="62"/>
      <c r="B50" s="1322"/>
      <c r="C50" s="1330"/>
      <c r="D50" s="1329"/>
      <c r="E50" s="1324"/>
      <c r="F50" s="91" t="s">
        <v>392</v>
      </c>
      <c r="G50" s="92">
        <f>SUM(G46:G49)</f>
        <v>922250000</v>
      </c>
      <c r="H50" s="92">
        <f>SUM(H46:H49)</f>
        <v>92225000</v>
      </c>
      <c r="I50" s="92">
        <f>SUM(I46:I49)</f>
        <v>1014475000</v>
      </c>
      <c r="J50" s="91">
        <f t="shared" si="0"/>
        <v>7.7142857142857138E-2</v>
      </c>
      <c r="K50" s="92">
        <f>SUM(K46:K49)</f>
        <v>78259500</v>
      </c>
      <c r="L50" s="92">
        <f>SUM(L46:L49)</f>
        <v>936215500</v>
      </c>
      <c r="M50" s="419">
        <f>+X47+X48</f>
        <v>26086500</v>
      </c>
      <c r="N50" s="93"/>
      <c r="O50" s="91"/>
      <c r="P50" s="94">
        <f>+IFERROR(Q50/$I50,"-")</f>
        <v>7.7142857142857138E-2</v>
      </c>
      <c r="Q50" s="92">
        <f>SUM(Q46:Q49)</f>
        <v>78259500</v>
      </c>
      <c r="R50" s="170">
        <f>SUM(R46:R49)</f>
        <v>78259500</v>
      </c>
      <c r="S50" s="95">
        <f>+Q50-R50</f>
        <v>0</v>
      </c>
      <c r="T50" s="91"/>
      <c r="U50" s="93"/>
      <c r="V50" s="91"/>
      <c r="W50" s="94">
        <f>+IFERROR(X50/$I50,"-")</f>
        <v>2.5714285714285714E-2</v>
      </c>
      <c r="X50" s="92">
        <f>SUM(X46:X49)</f>
        <v>26086500</v>
      </c>
      <c r="Y50" s="92">
        <f>SUM(Y46:Y49)</f>
        <v>0</v>
      </c>
      <c r="Z50" s="95">
        <f>+X50-Y50</f>
        <v>26086500</v>
      </c>
      <c r="AA50" s="91"/>
      <c r="AB50" s="93"/>
      <c r="AC50" s="91"/>
      <c r="AD50" s="94">
        <f>+IFERROR(AE50/$I50,"-")</f>
        <v>0.44285714285714284</v>
      </c>
      <c r="AE50" s="92">
        <f>SUM(AE46:AE49)</f>
        <v>449267500</v>
      </c>
      <c r="AF50" s="92">
        <f>SUM(AF46:AF49)</f>
        <v>0</v>
      </c>
      <c r="AG50" s="95">
        <f>+AE50-AF50</f>
        <v>449267500</v>
      </c>
      <c r="AH50" s="91"/>
      <c r="AI50" s="93"/>
      <c r="AJ50" s="91"/>
      <c r="AK50" s="94">
        <f>+IFERROR(AL50/$I50,"-")</f>
        <v>0</v>
      </c>
      <c r="AL50" s="92">
        <f>SUM(AL46:AL49)</f>
        <v>0</v>
      </c>
      <c r="AM50" s="92">
        <f>SUM(AM46:AM49)</f>
        <v>0</v>
      </c>
      <c r="AN50" s="95">
        <f>+AL50-AM50</f>
        <v>0</v>
      </c>
      <c r="AO50" s="91"/>
      <c r="AP50" s="93"/>
      <c r="AQ50" s="91"/>
      <c r="AR50" s="94">
        <f>+IFERROR(AS50/$I50,"-")</f>
        <v>0</v>
      </c>
      <c r="AS50" s="92">
        <f>SUM(AS46:AS49)</f>
        <v>0</v>
      </c>
      <c r="AT50" s="92">
        <f>SUM(AT46:AT49)</f>
        <v>0</v>
      </c>
      <c r="AU50" s="95">
        <f>+AS50-AT50</f>
        <v>0</v>
      </c>
      <c r="AV50" s="91"/>
      <c r="AW50" s="93"/>
      <c r="AX50" s="91"/>
      <c r="AY50" s="94">
        <f>+IFERROR(AZ50/$I50,"-")</f>
        <v>0</v>
      </c>
      <c r="AZ50" s="92">
        <f>SUM(AZ46:AZ49)</f>
        <v>0</v>
      </c>
      <c r="BA50" s="92">
        <f>SUM(BA46:BA49)</f>
        <v>0</v>
      </c>
      <c r="BB50" s="95">
        <f>+AZ50-BA50</f>
        <v>0</v>
      </c>
      <c r="BC50" s="91"/>
      <c r="BD50" s="93"/>
      <c r="BE50" s="91"/>
      <c r="BF50" s="94">
        <f>+IFERROR(BG50/$I50,"-")</f>
        <v>0.25142857142857145</v>
      </c>
      <c r="BG50" s="92">
        <f>SUM(BG46:BG49)</f>
        <v>255068000</v>
      </c>
      <c r="BH50" s="92">
        <f>SUM(BH46:BH49)</f>
        <v>0</v>
      </c>
      <c r="BI50" s="95">
        <f>+BG50-BH50</f>
        <v>255068000</v>
      </c>
      <c r="BJ50" s="91"/>
      <c r="BK50" s="93"/>
      <c r="BL50" s="91"/>
      <c r="BM50" s="94">
        <f t="shared" si="1"/>
        <v>0.20285714285714285</v>
      </c>
      <c r="BN50" s="92">
        <f>SUM(BN46:BN49)</f>
        <v>205793500</v>
      </c>
      <c r="BO50" s="92">
        <f>SUM(BO46:BO49)</f>
        <v>0</v>
      </c>
      <c r="BP50" s="95">
        <f t="shared" si="2"/>
        <v>205793500</v>
      </c>
      <c r="BQ50" s="91"/>
      <c r="BR50" s="88"/>
      <c r="BS50" s="96"/>
      <c r="BT50" s="97"/>
      <c r="BU50" s="97"/>
      <c r="BV50" s="54"/>
      <c r="BW50" s="54"/>
      <c r="BX50" s="54"/>
      <c r="BY50" s="54"/>
      <c r="BZ50" s="54"/>
      <c r="CA50" s="54"/>
      <c r="CB50" s="54"/>
      <c r="CC50" s="54"/>
      <c r="CD50" s="58"/>
      <c r="CE50" s="58"/>
    </row>
    <row r="51" spans="1:83" ht="16.5" customHeight="1">
      <c r="A51" s="62"/>
      <c r="B51" s="1322">
        <f>+B46+1</f>
        <v>9</v>
      </c>
      <c r="C51" s="1330" t="s">
        <v>400</v>
      </c>
      <c r="D51" s="1329">
        <v>234</v>
      </c>
      <c r="E51" s="1324" t="s">
        <v>387</v>
      </c>
      <c r="F51" s="63" t="s">
        <v>388</v>
      </c>
      <c r="G51" s="76">
        <f>+지급비율!F42/1000*$D$51</f>
        <v>257400000</v>
      </c>
      <c r="H51" s="64">
        <f>+G51*10%</f>
        <v>25740000</v>
      </c>
      <c r="I51" s="64">
        <f>SUM(G51:H51)</f>
        <v>283140000</v>
      </c>
      <c r="J51" s="65">
        <f t="shared" si="0"/>
        <v>0</v>
      </c>
      <c r="K51" s="70">
        <f>+IFERROR(R51+Y51+AF51+AT51+BA51+BH51+BO51,"-")</f>
        <v>0</v>
      </c>
      <c r="L51" s="70">
        <f>+I51-K51</f>
        <v>283140000</v>
      </c>
      <c r="M51" s="1325" t="s">
        <v>265</v>
      </c>
      <c r="N51" s="67"/>
      <c r="O51" s="72"/>
      <c r="P51" s="69"/>
      <c r="Q51" s="70">
        <f>+$I51*지급비율!G42</f>
        <v>0</v>
      </c>
      <c r="R51" s="70"/>
      <c r="S51" s="70">
        <f>+Q51-R51</f>
        <v>0</v>
      </c>
      <c r="T51" s="81"/>
      <c r="U51" s="67"/>
      <c r="V51" s="68"/>
      <c r="W51" s="69"/>
      <c r="X51" s="70">
        <f>+$I51*지급비율!N$42</f>
        <v>0</v>
      </c>
      <c r="Y51" s="70"/>
      <c r="Z51" s="70">
        <f>+X51-Y51</f>
        <v>0</v>
      </c>
      <c r="AA51" s="71"/>
      <c r="AB51" s="67">
        <f>+EDATE(AI51,-1)+1</f>
        <v>45990</v>
      </c>
      <c r="AC51" s="68"/>
      <c r="AD51" s="69">
        <f>+IFERROR(AE51/$I51,"-")</f>
        <v>0.5</v>
      </c>
      <c r="AE51" s="70">
        <f>+$I51*지급비율!U42</f>
        <v>141570000</v>
      </c>
      <c r="AF51" s="70"/>
      <c r="AG51" s="70">
        <f>+AE51-AF51</f>
        <v>141570000</v>
      </c>
      <c r="AH51" s="71"/>
      <c r="AI51" s="67">
        <f>+EDATE(AP51,-1)</f>
        <v>46019</v>
      </c>
      <c r="AJ51" s="68"/>
      <c r="AK51" s="69">
        <f>+IFERROR(AL51/$I51,"-")</f>
        <v>0</v>
      </c>
      <c r="AL51" s="70">
        <f>+$I51*지급비율!AB42</f>
        <v>0</v>
      </c>
      <c r="AM51" s="70"/>
      <c r="AN51" s="70">
        <f>+AL51-AM51</f>
        <v>0</v>
      </c>
      <c r="AO51" s="71"/>
      <c r="AP51" s="67">
        <f>+EDATE(AW51,-1)</f>
        <v>46050</v>
      </c>
      <c r="AQ51" s="68"/>
      <c r="AR51" s="69">
        <f>+IFERROR(AS51/$I51,"-")</f>
        <v>0</v>
      </c>
      <c r="AS51" s="70">
        <f>+$I51*지급비율!AI42</f>
        <v>0</v>
      </c>
      <c r="AT51" s="70"/>
      <c r="AU51" s="70">
        <f>+AS51-AT51</f>
        <v>0</v>
      </c>
      <c r="AV51" s="71"/>
      <c r="AW51" s="67">
        <f>+EDATE(BD51,-1)</f>
        <v>46081</v>
      </c>
      <c r="AX51" s="68"/>
      <c r="AY51" s="69">
        <f>+IFERROR(AZ51/$I51,"-")</f>
        <v>0</v>
      </c>
      <c r="AZ51" s="70">
        <f>+$I51*지급비율!AP42</f>
        <v>0</v>
      </c>
      <c r="BA51" s="70"/>
      <c r="BB51" s="70">
        <f>+AZ51-BA51</f>
        <v>0</v>
      </c>
      <c r="BC51" s="71"/>
      <c r="BD51" s="67">
        <f>+EDATE(BK51,-1)</f>
        <v>46111</v>
      </c>
      <c r="BE51" s="68"/>
      <c r="BF51" s="69">
        <f>+IFERROR(BG51/$I51,"-")</f>
        <v>0.4</v>
      </c>
      <c r="BG51" s="70">
        <f>+$I51*지급비율!AW42</f>
        <v>113256000</v>
      </c>
      <c r="BH51" s="70"/>
      <c r="BI51" s="70">
        <f>+BG51-BH51</f>
        <v>113256000</v>
      </c>
      <c r="BJ51" s="71"/>
      <c r="BK51" s="78">
        <v>46142</v>
      </c>
      <c r="BL51" s="68"/>
      <c r="BM51" s="69">
        <f t="shared" si="1"/>
        <v>0.1</v>
      </c>
      <c r="BN51" s="70">
        <f>+$I51*지급비율!BD42</f>
        <v>28314000</v>
      </c>
      <c r="BO51" s="70"/>
      <c r="BP51" s="70">
        <f t="shared" si="2"/>
        <v>28314000</v>
      </c>
      <c r="BQ51" s="71"/>
      <c r="BR51" s="73"/>
      <c r="BS51" s="74" t="b">
        <f>+Q51+X51+AE51+AS51+AZ51+BG51+BN51=I51</f>
        <v>1</v>
      </c>
      <c r="BT51" s="74" t="b">
        <f>+R51+Y51+AF51+AT51+BA51+BH51+BO51=K51</f>
        <v>1</v>
      </c>
      <c r="BU51" s="74"/>
      <c r="BV51" s="54"/>
      <c r="BW51" s="54"/>
      <c r="BX51" s="54"/>
      <c r="BY51" s="54"/>
      <c r="BZ51" s="54"/>
      <c r="CA51" s="54"/>
      <c r="CB51" s="54"/>
      <c r="CC51" s="54"/>
      <c r="CD51" s="58"/>
      <c r="CE51" s="58"/>
    </row>
    <row r="52" spans="1:83" ht="16.5" customHeight="1">
      <c r="A52" s="62"/>
      <c r="B52" s="1322"/>
      <c r="C52" s="1330"/>
      <c r="D52" s="1329"/>
      <c r="E52" s="1324"/>
      <c r="F52" s="75" t="s">
        <v>389</v>
      </c>
      <c r="G52" s="76">
        <f>+지급비율!F43/1000*$D$51</f>
        <v>70200000</v>
      </c>
      <c r="H52" s="76">
        <f>+G52*10%</f>
        <v>7020000</v>
      </c>
      <c r="I52" s="76">
        <f>SUM(G52:H52)</f>
        <v>77220000</v>
      </c>
      <c r="J52" s="75">
        <f t="shared" si="0"/>
        <v>0.9</v>
      </c>
      <c r="K52" s="80">
        <f>+IFERROR(R52+Y52+AF52+AT52+BA52+BH52+BO52,"-")</f>
        <v>69498000</v>
      </c>
      <c r="L52" s="80">
        <f>+I52-K52</f>
        <v>7722000</v>
      </c>
      <c r="M52" s="1326"/>
      <c r="N52" s="78">
        <v>45826</v>
      </c>
      <c r="O52" s="78">
        <v>45826</v>
      </c>
      <c r="P52" s="79">
        <f>+IFERROR(Q52/$I52,"-")</f>
        <v>0.3</v>
      </c>
      <c r="Q52" s="70">
        <f>+$I52*지급비율!G43</f>
        <v>23166000</v>
      </c>
      <c r="R52" s="80">
        <v>23166000</v>
      </c>
      <c r="S52" s="80">
        <f>+Q52-R52</f>
        <v>0</v>
      </c>
      <c r="T52" s="81"/>
      <c r="U52" s="78">
        <v>45930</v>
      </c>
      <c r="V52" s="78">
        <v>45898</v>
      </c>
      <c r="W52" s="79">
        <f>+IFERROR(X52/$I52,"-")</f>
        <v>0.1</v>
      </c>
      <c r="X52" s="80">
        <f>+$I52*지급비율!N$43</f>
        <v>7722000</v>
      </c>
      <c r="Y52" s="80">
        <v>7722000</v>
      </c>
      <c r="Z52" s="80">
        <f>+X52-Y52</f>
        <v>0</v>
      </c>
      <c r="AA52" s="81"/>
      <c r="AB52" s="78">
        <v>45961</v>
      </c>
      <c r="AC52" s="78">
        <v>45931</v>
      </c>
      <c r="AD52" s="79">
        <f>+IFERROR(AE52/$I52,"-")</f>
        <v>0.5</v>
      </c>
      <c r="AE52" s="80">
        <f>+$I52*지급비율!U43</f>
        <v>38610000</v>
      </c>
      <c r="AF52" s="80">
        <v>38610000</v>
      </c>
      <c r="AG52" s="80">
        <f>+AE52-AF52</f>
        <v>0</v>
      </c>
      <c r="AH52" s="81"/>
      <c r="AI52" s="78"/>
      <c r="AJ52" s="78"/>
      <c r="AK52" s="79">
        <f>+IFERROR(AL52/$I52,"-")</f>
        <v>0</v>
      </c>
      <c r="AL52" s="70">
        <f>+$I52*지급비율!AB43</f>
        <v>0</v>
      </c>
      <c r="AM52" s="80"/>
      <c r="AN52" s="80">
        <f>+AL52-AM52</f>
        <v>0</v>
      </c>
      <c r="AO52" s="81"/>
      <c r="AP52" s="78"/>
      <c r="AQ52" s="78"/>
      <c r="AR52" s="79"/>
      <c r="AS52" s="70">
        <f>+$I52*지급비율!AI43</f>
        <v>0</v>
      </c>
      <c r="AT52" s="80"/>
      <c r="AU52" s="80">
        <f>+AS52-AT52</f>
        <v>0</v>
      </c>
      <c r="AV52" s="81"/>
      <c r="AW52" s="78"/>
      <c r="AX52" s="78"/>
      <c r="AY52" s="79"/>
      <c r="AZ52" s="70">
        <f>+$I52*지급비율!AP43</f>
        <v>0</v>
      </c>
      <c r="BA52" s="80"/>
      <c r="BB52" s="80">
        <f>+AZ52-BA52</f>
        <v>0</v>
      </c>
      <c r="BC52" s="81"/>
      <c r="BD52" s="78"/>
      <c r="BE52" s="78"/>
      <c r="BF52" s="79"/>
      <c r="BG52" s="70">
        <f>+$I52*지급비율!AW43</f>
        <v>0</v>
      </c>
      <c r="BH52" s="80"/>
      <c r="BI52" s="80">
        <f>+BG52-BH52</f>
        <v>0</v>
      </c>
      <c r="BJ52" s="81"/>
      <c r="BK52" s="78">
        <v>46142</v>
      </c>
      <c r="BL52" s="78"/>
      <c r="BM52" s="79">
        <f t="shared" si="1"/>
        <v>0.1</v>
      </c>
      <c r="BN52" s="70">
        <f>+$I52*지급비율!BD43</f>
        <v>7722000</v>
      </c>
      <c r="BO52" s="80"/>
      <c r="BP52" s="80">
        <f t="shared" si="2"/>
        <v>7722000</v>
      </c>
      <c r="BQ52" s="81"/>
      <c r="BR52" s="73"/>
      <c r="BS52" s="74" t="b">
        <f>+Q52+X52+AE52+AS52+AZ52+BG52+BN52=I52</f>
        <v>1</v>
      </c>
      <c r="BT52" s="74" t="b">
        <f>+R52+Y52+AF52+AT52+BA52+BH52+BO52=K52</f>
        <v>1</v>
      </c>
      <c r="BU52" s="74" t="b">
        <f>+BG52+BG53+AZ52+AZ53+AS52+AS53+AE52+AE53+X52+X53+Q52+Q53+BN52+BN53=([5]지급비율!$F$39+[5]지급비율!$F$40)*1.1*D51/1000</f>
        <v>1</v>
      </c>
      <c r="BV52" s="54"/>
      <c r="BW52" s="54"/>
      <c r="BX52" s="54"/>
      <c r="BY52" s="54"/>
      <c r="BZ52" s="54"/>
      <c r="CA52" s="54"/>
      <c r="CB52" s="54"/>
      <c r="CC52" s="54"/>
      <c r="CD52" s="58"/>
      <c r="CE52" s="58"/>
    </row>
    <row r="53" spans="1:83" ht="16.5" customHeight="1">
      <c r="A53" s="62"/>
      <c r="B53" s="1322"/>
      <c r="C53" s="1330"/>
      <c r="D53" s="1329"/>
      <c r="E53" s="1324"/>
      <c r="F53" s="75" t="s">
        <v>390</v>
      </c>
      <c r="G53" s="76">
        <f>+지급비율!F44/1000*$D$51</f>
        <v>35100000</v>
      </c>
      <c r="H53" s="76">
        <f>+G53*10%</f>
        <v>3510000</v>
      </c>
      <c r="I53" s="76">
        <f>SUM(G53:H53)</f>
        <v>38610000</v>
      </c>
      <c r="J53" s="75">
        <f t="shared" si="0"/>
        <v>0.9</v>
      </c>
      <c r="K53" s="80">
        <f>+IFERROR(R53+Y53+AF53+AT53+BA53+BH53+BO53,"-")</f>
        <v>34749000</v>
      </c>
      <c r="L53" s="80">
        <f>+I53-K53</f>
        <v>3861000</v>
      </c>
      <c r="M53" s="1326"/>
      <c r="N53" s="78">
        <v>45826</v>
      </c>
      <c r="O53" s="78">
        <v>45826</v>
      </c>
      <c r="P53" s="79">
        <f>+IFERROR(Q53/$I53,"-")</f>
        <v>0.3</v>
      </c>
      <c r="Q53" s="70">
        <f>+$I53*지급비율!G44</f>
        <v>11583000</v>
      </c>
      <c r="R53" s="80">
        <v>11583000</v>
      </c>
      <c r="S53" s="80">
        <f>+Q53-R53</f>
        <v>0</v>
      </c>
      <c r="T53" s="81"/>
      <c r="U53" s="78">
        <v>45930</v>
      </c>
      <c r="V53" s="72">
        <v>45898</v>
      </c>
      <c r="W53" s="79">
        <f>+IFERROR(X53/$I53,"-")</f>
        <v>0.1</v>
      </c>
      <c r="X53" s="80">
        <f>+$I53*지급비율!N$44</f>
        <v>3861000</v>
      </c>
      <c r="Y53" s="80">
        <v>3861000</v>
      </c>
      <c r="Z53" s="80">
        <f>+X53-Y53</f>
        <v>0</v>
      </c>
      <c r="AA53" s="81"/>
      <c r="AB53" s="78">
        <v>45961</v>
      </c>
      <c r="AC53" s="78">
        <v>45931</v>
      </c>
      <c r="AD53" s="79">
        <f>+IFERROR(AE53/$I53,"-")</f>
        <v>0.5</v>
      </c>
      <c r="AE53" s="80">
        <f>+$I53*지급비율!U44</f>
        <v>19305000</v>
      </c>
      <c r="AF53" s="80">
        <v>19305000</v>
      </c>
      <c r="AG53" s="80">
        <f>+AE53-AF53</f>
        <v>0</v>
      </c>
      <c r="AH53" s="81"/>
      <c r="AI53" s="72"/>
      <c r="AJ53" s="72"/>
      <c r="AK53" s="79">
        <f>+IFERROR(AL53/$I53,"-")</f>
        <v>0</v>
      </c>
      <c r="AL53" s="70">
        <f>+$I53*지급비율!AB44</f>
        <v>0</v>
      </c>
      <c r="AM53" s="80"/>
      <c r="AN53" s="80">
        <f>+AL53-AM53</f>
        <v>0</v>
      </c>
      <c r="AO53" s="81"/>
      <c r="AP53" s="72"/>
      <c r="AQ53" s="72"/>
      <c r="AR53" s="79"/>
      <c r="AS53" s="70">
        <f>+$I53*지급비율!AI44</f>
        <v>0</v>
      </c>
      <c r="AT53" s="80"/>
      <c r="AU53" s="80">
        <f>+AS53-AT53</f>
        <v>0</v>
      </c>
      <c r="AV53" s="81"/>
      <c r="AW53" s="72"/>
      <c r="AX53" s="72"/>
      <c r="AY53" s="79"/>
      <c r="AZ53" s="70">
        <f>+$I53*지급비율!AP44</f>
        <v>0</v>
      </c>
      <c r="BA53" s="80"/>
      <c r="BB53" s="80">
        <f>+AZ53-BA53</f>
        <v>0</v>
      </c>
      <c r="BC53" s="81"/>
      <c r="BD53" s="72"/>
      <c r="BE53" s="72"/>
      <c r="BF53" s="79"/>
      <c r="BG53" s="70">
        <f>+$I53*지급비율!AW44</f>
        <v>0</v>
      </c>
      <c r="BH53" s="80"/>
      <c r="BI53" s="80">
        <f>+BG53-BH53</f>
        <v>0</v>
      </c>
      <c r="BJ53" s="81"/>
      <c r="BK53" s="78">
        <v>46142</v>
      </c>
      <c r="BL53" s="72"/>
      <c r="BM53" s="79">
        <f t="shared" si="1"/>
        <v>0.1</v>
      </c>
      <c r="BN53" s="70">
        <f>+$I53*지급비율!BD44</f>
        <v>3861000</v>
      </c>
      <c r="BO53" s="80"/>
      <c r="BP53" s="80">
        <f t="shared" si="2"/>
        <v>3861000</v>
      </c>
      <c r="BQ53" s="81"/>
      <c r="BR53" s="73"/>
      <c r="BS53" s="74" t="b">
        <f>+Q53+X53+AE53+AS53+AZ53+BG53+BN53=I53</f>
        <v>1</v>
      </c>
      <c r="BT53" s="74" t="b">
        <f>+R53+Y53+AF53+AT53+BA53+BH53+BO53=K53</f>
        <v>1</v>
      </c>
      <c r="BU53" s="74"/>
      <c r="BV53" s="54"/>
      <c r="BW53" s="54"/>
      <c r="BX53" s="54"/>
      <c r="BY53" s="54"/>
      <c r="BZ53" s="54"/>
      <c r="CA53" s="54"/>
      <c r="CB53" s="54"/>
      <c r="CC53" s="54"/>
      <c r="CD53" s="58"/>
      <c r="CE53" s="58"/>
    </row>
    <row r="54" spans="1:83" ht="16.5" customHeight="1">
      <c r="A54" s="62"/>
      <c r="B54" s="1322"/>
      <c r="C54" s="1330"/>
      <c r="D54" s="1329"/>
      <c r="E54" s="1324"/>
      <c r="F54" s="101" t="s">
        <v>391</v>
      </c>
      <c r="G54" s="102">
        <f>+지급비율!F45/1000*$D$51</f>
        <v>40950000</v>
      </c>
      <c r="H54" s="102">
        <f>+G54*0.1</f>
        <v>4095000</v>
      </c>
      <c r="I54" s="102">
        <f>SUM(G54:H54)</f>
        <v>45045000</v>
      </c>
      <c r="J54" s="101">
        <f t="shared" si="0"/>
        <v>0</v>
      </c>
      <c r="K54" s="106">
        <f>+IFERROR(R54+Y54+AF54+AT54+BA54+BH54+BO54,"-")</f>
        <v>0</v>
      </c>
      <c r="L54" s="106">
        <f>+I54-K54</f>
        <v>45045000</v>
      </c>
      <c r="M54" s="1327"/>
      <c r="N54" s="85"/>
      <c r="O54" s="83"/>
      <c r="P54" s="86"/>
      <c r="Q54" s="70">
        <f>+$I54*지급비율!G45</f>
        <v>0</v>
      </c>
      <c r="R54" s="87"/>
      <c r="S54" s="87"/>
      <c r="T54" s="83"/>
      <c r="U54" s="85"/>
      <c r="V54" s="83"/>
      <c r="W54" s="86"/>
      <c r="X54" s="87">
        <f>+$I54*지급비율!N$45</f>
        <v>0</v>
      </c>
      <c r="Y54" s="87"/>
      <c r="Z54" s="87"/>
      <c r="AA54" s="83"/>
      <c r="AB54" s="85"/>
      <c r="AC54" s="83"/>
      <c r="AD54" s="86"/>
      <c r="AE54" s="70">
        <f>+$I54*지급비율!U45</f>
        <v>0</v>
      </c>
      <c r="AF54" s="87"/>
      <c r="AG54" s="87"/>
      <c r="AH54" s="83"/>
      <c r="AI54" s="85"/>
      <c r="AJ54" s="83"/>
      <c r="AK54" s="86"/>
      <c r="AL54" s="70">
        <f>+$I54*지급비율!AB45</f>
        <v>0</v>
      </c>
      <c r="AM54" s="87"/>
      <c r="AN54" s="87"/>
      <c r="AO54" s="83"/>
      <c r="AP54" s="85"/>
      <c r="AQ54" s="83"/>
      <c r="AR54" s="86"/>
      <c r="AS54" s="70">
        <f>+$I54*지급비율!AI45</f>
        <v>0</v>
      </c>
      <c r="AT54" s="87"/>
      <c r="AU54" s="87"/>
      <c r="AV54" s="83"/>
      <c r="AW54" s="85"/>
      <c r="AX54" s="83"/>
      <c r="AY54" s="86"/>
      <c r="AZ54" s="70">
        <f>+$I54*지급비율!AP45</f>
        <v>0</v>
      </c>
      <c r="BA54" s="87"/>
      <c r="BB54" s="87"/>
      <c r="BC54" s="83"/>
      <c r="BD54" s="85"/>
      <c r="BE54" s="83"/>
      <c r="BF54" s="86"/>
      <c r="BG54" s="70">
        <f>+$I54*지급비율!AW45</f>
        <v>0</v>
      </c>
      <c r="BH54" s="87"/>
      <c r="BI54" s="87"/>
      <c r="BJ54" s="83"/>
      <c r="BK54" s="78">
        <v>46142</v>
      </c>
      <c r="BL54" s="101"/>
      <c r="BM54" s="105">
        <f t="shared" si="1"/>
        <v>1</v>
      </c>
      <c r="BN54" s="70">
        <f>+$I54*지급비율!BD45</f>
        <v>45045000</v>
      </c>
      <c r="BO54" s="106"/>
      <c r="BP54" s="106">
        <f t="shared" si="2"/>
        <v>45045000</v>
      </c>
      <c r="BQ54" s="101"/>
      <c r="BR54" s="88"/>
      <c r="BS54" s="89" t="b">
        <f>+Q54+X54+AE54+AS54+AZ54+BG54+BN54=I54</f>
        <v>1</v>
      </c>
      <c r="BT54" s="90" t="b">
        <f>+R54+Y54+AF54+AT54+BA54+BH54+BO54=K54</f>
        <v>1</v>
      </c>
      <c r="BU54" s="90"/>
      <c r="BV54" s="54"/>
      <c r="BW54" s="54"/>
      <c r="BX54" s="54"/>
      <c r="BY54" s="54"/>
      <c r="BZ54" s="54"/>
      <c r="CA54" s="54"/>
      <c r="CB54" s="54"/>
      <c r="CC54" s="54"/>
      <c r="CD54" s="58"/>
      <c r="CE54" s="58"/>
    </row>
    <row r="55" spans="1:83" ht="16.5" customHeight="1">
      <c r="A55" s="62"/>
      <c r="B55" s="1322"/>
      <c r="C55" s="1330"/>
      <c r="D55" s="1329"/>
      <c r="E55" s="1324"/>
      <c r="F55" s="91" t="s">
        <v>392</v>
      </c>
      <c r="G55" s="92">
        <f>SUM(G51:G54)</f>
        <v>403650000</v>
      </c>
      <c r="H55" s="92">
        <f>SUM(H51:H54)</f>
        <v>40365000</v>
      </c>
      <c r="I55" s="92">
        <f>SUM(I51:I54)</f>
        <v>444015000</v>
      </c>
      <c r="J55" s="91">
        <f t="shared" si="0"/>
        <v>0.23478260869565218</v>
      </c>
      <c r="K55" s="92">
        <f>SUM(K51:K54)</f>
        <v>104247000</v>
      </c>
      <c r="L55" s="92">
        <f>SUM(L51:L54)</f>
        <v>339768000</v>
      </c>
      <c r="M55" s="419">
        <f>+AE52+AE53</f>
        <v>57915000</v>
      </c>
      <c r="N55" s="93"/>
      <c r="O55" s="91"/>
      <c r="P55" s="94">
        <f>+IFERROR(Q55/$I55,"-")</f>
        <v>7.8260869565217397E-2</v>
      </c>
      <c r="Q55" s="92">
        <f>SUM(Q51:Q54)</f>
        <v>34749000</v>
      </c>
      <c r="R55" s="170">
        <f>SUM(R51:R54)</f>
        <v>34749000</v>
      </c>
      <c r="S55" s="95">
        <f>+Q55-R55</f>
        <v>0</v>
      </c>
      <c r="T55" s="91"/>
      <c r="U55" s="93"/>
      <c r="V55" s="91"/>
      <c r="W55" s="94">
        <f>+IFERROR(X55/$I55,"-")</f>
        <v>2.6086956521739129E-2</v>
      </c>
      <c r="X55" s="92">
        <f>SUM(X51:X54)</f>
        <v>11583000</v>
      </c>
      <c r="Y55" s="170">
        <f>SUM(Y51:Y54)</f>
        <v>11583000</v>
      </c>
      <c r="Z55" s="95">
        <f>+X55-Y55</f>
        <v>0</v>
      </c>
      <c r="AA55" s="91"/>
      <c r="AB55" s="93"/>
      <c r="AC55" s="91"/>
      <c r="AD55" s="94">
        <f>+IFERROR(AE55/$I55,"-")</f>
        <v>0.44927536231884058</v>
      </c>
      <c r="AE55" s="92">
        <f>SUM(AE51:AE54)</f>
        <v>199485000</v>
      </c>
      <c r="AF55" s="170">
        <f>SUM(AF51:AF54)</f>
        <v>57915000</v>
      </c>
      <c r="AG55" s="95">
        <f>+AE55-AF55</f>
        <v>141570000</v>
      </c>
      <c r="AH55" s="91"/>
      <c r="AI55" s="93"/>
      <c r="AJ55" s="91"/>
      <c r="AK55" s="94">
        <f>+IFERROR(AL55/$I55,"-")</f>
        <v>0</v>
      </c>
      <c r="AL55" s="92">
        <f>SUM(AL51:AL54)</f>
        <v>0</v>
      </c>
      <c r="AM55" s="92">
        <f>SUM(AM51:AM54)</f>
        <v>0</v>
      </c>
      <c r="AN55" s="95">
        <f>+AL55-AM55</f>
        <v>0</v>
      </c>
      <c r="AO55" s="91"/>
      <c r="AP55" s="93"/>
      <c r="AQ55" s="91"/>
      <c r="AR55" s="94">
        <f>+IFERROR(AS55/$I55,"-")</f>
        <v>0</v>
      </c>
      <c r="AS55" s="92">
        <f>SUM(AS51:AS54)</f>
        <v>0</v>
      </c>
      <c r="AT55" s="92">
        <f>SUM(AT51:AT54)</f>
        <v>0</v>
      </c>
      <c r="AU55" s="95">
        <f>+AS55-AT55</f>
        <v>0</v>
      </c>
      <c r="AV55" s="91"/>
      <c r="AW55" s="93"/>
      <c r="AX55" s="91"/>
      <c r="AY55" s="94">
        <f>+IFERROR(AZ55/$I55,"-")</f>
        <v>0</v>
      </c>
      <c r="AZ55" s="92">
        <f>SUM(AZ51:AZ54)</f>
        <v>0</v>
      </c>
      <c r="BA55" s="92">
        <f>SUM(BA51:BA54)</f>
        <v>0</v>
      </c>
      <c r="BB55" s="95">
        <f>+AZ55-BA55</f>
        <v>0</v>
      </c>
      <c r="BC55" s="91"/>
      <c r="BD55" s="93"/>
      <c r="BE55" s="91"/>
      <c r="BF55" s="94">
        <f>+IFERROR(BG55/$I55,"-")</f>
        <v>0.25507246376811593</v>
      </c>
      <c r="BG55" s="92">
        <f>SUM(BG51:BG54)</f>
        <v>113256000</v>
      </c>
      <c r="BH55" s="92">
        <f>SUM(BH51:BH54)</f>
        <v>0</v>
      </c>
      <c r="BI55" s="95">
        <f>+BG55-BH55</f>
        <v>113256000</v>
      </c>
      <c r="BJ55" s="91"/>
      <c r="BK55" s="93"/>
      <c r="BL55" s="91"/>
      <c r="BM55" s="94">
        <f t="shared" si="1"/>
        <v>0.19130434782608696</v>
      </c>
      <c r="BN55" s="92">
        <f>SUM(BN51:BN54)</f>
        <v>84942000</v>
      </c>
      <c r="BO55" s="92">
        <f>SUM(BO51:BO54)</f>
        <v>0</v>
      </c>
      <c r="BP55" s="95">
        <f t="shared" si="2"/>
        <v>84942000</v>
      </c>
      <c r="BQ55" s="91"/>
      <c r="BR55" s="88"/>
      <c r="BS55" s="96"/>
      <c r="BT55" s="97"/>
      <c r="BU55" s="97"/>
      <c r="BV55" s="54"/>
      <c r="BW55" s="54"/>
      <c r="BX55" s="54"/>
      <c r="BY55" s="54"/>
      <c r="BZ55" s="54"/>
      <c r="CA55" s="54"/>
      <c r="CB55" s="54"/>
      <c r="CC55" s="54"/>
      <c r="CD55" s="58"/>
      <c r="CE55" s="58"/>
    </row>
    <row r="56" spans="1:83" ht="16.5" customHeight="1">
      <c r="A56" s="62"/>
      <c r="B56" s="1322">
        <f>+B51+1</f>
        <v>10</v>
      </c>
      <c r="C56" s="1330" t="s">
        <v>401</v>
      </c>
      <c r="D56" s="1329">
        <v>500</v>
      </c>
      <c r="E56" s="1324" t="s">
        <v>387</v>
      </c>
      <c r="F56" s="63" t="s">
        <v>388</v>
      </c>
      <c r="G56" s="76">
        <f>+지급비율!F42*$D$56/1000</f>
        <v>550000000</v>
      </c>
      <c r="H56" s="64">
        <f>+G56*10%</f>
        <v>55000000</v>
      </c>
      <c r="I56" s="64">
        <f>SUM(G56:H56)</f>
        <v>605000000</v>
      </c>
      <c r="J56" s="65">
        <f t="shared" si="0"/>
        <v>0</v>
      </c>
      <c r="K56" s="70">
        <f>+IFERROR(R56+Y56+AF56+AT56+BA56+BH56+BO56,"-")</f>
        <v>0</v>
      </c>
      <c r="L56" s="70">
        <f>+I56-K56</f>
        <v>605000000</v>
      </c>
      <c r="M56" s="1325" t="s">
        <v>264</v>
      </c>
      <c r="N56" s="67"/>
      <c r="O56" s="72"/>
      <c r="P56" s="69"/>
      <c r="Q56" s="70">
        <f>+$I56*지급비율!G$42</f>
        <v>0</v>
      </c>
      <c r="R56" s="70"/>
      <c r="S56" s="70">
        <f>+Q56-R56</f>
        <v>0</v>
      </c>
      <c r="T56" s="81"/>
      <c r="U56" s="67"/>
      <c r="V56" s="68"/>
      <c r="W56" s="69"/>
      <c r="X56" s="70">
        <f>+$I56*지급비율!N$42</f>
        <v>0</v>
      </c>
      <c r="Y56" s="70"/>
      <c r="Z56" s="70">
        <f>+X56-Y56</f>
        <v>0</v>
      </c>
      <c r="AA56" s="71"/>
      <c r="AB56" s="67">
        <f>+EDATE(AI56,-1)+1</f>
        <v>45990</v>
      </c>
      <c r="AC56" s="68"/>
      <c r="AD56" s="69">
        <f>+IFERROR(AE56/$I56,"-")</f>
        <v>0.5</v>
      </c>
      <c r="AE56" s="70">
        <f>+$I56*지급비율!U$42</f>
        <v>302500000</v>
      </c>
      <c r="AF56" s="70"/>
      <c r="AG56" s="70">
        <f>+AE56-AF56</f>
        <v>302500000</v>
      </c>
      <c r="AH56" s="71"/>
      <c r="AI56" s="67">
        <f>+EDATE(AP56,-1)</f>
        <v>46019</v>
      </c>
      <c r="AJ56" s="68"/>
      <c r="AK56" s="69">
        <f>+IFERROR(AL56/$I56,"-")</f>
        <v>0</v>
      </c>
      <c r="AL56" s="70">
        <f>+$I56*지급비율!AB42</f>
        <v>0</v>
      </c>
      <c r="AM56" s="70"/>
      <c r="AN56" s="70">
        <f>+AL56-AM56</f>
        <v>0</v>
      </c>
      <c r="AO56" s="71"/>
      <c r="AP56" s="67">
        <f>+EDATE(AW56,-1)</f>
        <v>46050</v>
      </c>
      <c r="AQ56" s="68"/>
      <c r="AR56" s="69">
        <f>+IFERROR(AS56/$I56,"-")</f>
        <v>0</v>
      </c>
      <c r="AS56" s="70">
        <f>+$I56*지급비율!AI42</f>
        <v>0</v>
      </c>
      <c r="AT56" s="70"/>
      <c r="AU56" s="70">
        <f>+AS56-AT56</f>
        <v>0</v>
      </c>
      <c r="AV56" s="71"/>
      <c r="AW56" s="67">
        <f>+EDATE(BD56,-1)</f>
        <v>46081</v>
      </c>
      <c r="AX56" s="68"/>
      <c r="AY56" s="69">
        <f>+IFERROR(AZ56/$I56,"-")</f>
        <v>0</v>
      </c>
      <c r="AZ56" s="70">
        <f>+$I56*지급비율!AP42</f>
        <v>0</v>
      </c>
      <c r="BA56" s="70"/>
      <c r="BB56" s="70">
        <f>+AZ56-BA56</f>
        <v>0</v>
      </c>
      <c r="BC56" s="71"/>
      <c r="BD56" s="67">
        <f>+EDATE(BK56,-1)</f>
        <v>46111</v>
      </c>
      <c r="BE56" s="68"/>
      <c r="BF56" s="69">
        <f>+IFERROR(BG56/$I56,"-")</f>
        <v>0.4</v>
      </c>
      <c r="BG56" s="70">
        <f>+$I56*지급비율!AW$42</f>
        <v>242000000</v>
      </c>
      <c r="BH56" s="70"/>
      <c r="BI56" s="70">
        <f>+BG56-BH56</f>
        <v>242000000</v>
      </c>
      <c r="BJ56" s="71"/>
      <c r="BK56" s="78">
        <v>46142</v>
      </c>
      <c r="BL56" s="68"/>
      <c r="BM56" s="69">
        <f t="shared" si="1"/>
        <v>0.1</v>
      </c>
      <c r="BN56" s="70">
        <f>+$I56*지급비율!BD$42</f>
        <v>60500000</v>
      </c>
      <c r="BO56" s="70"/>
      <c r="BP56" s="70">
        <f t="shared" si="2"/>
        <v>60500000</v>
      </c>
      <c r="BQ56" s="71"/>
      <c r="BR56" s="73"/>
      <c r="BS56" s="74" t="b">
        <f>+Q56+X56+AE56+AS56+AZ56+BG56+BN56=I56</f>
        <v>1</v>
      </c>
      <c r="BT56" s="74" t="b">
        <f>+R56+Y56+AF56+AT56+BA56+BH56+BO56=K56</f>
        <v>1</v>
      </c>
      <c r="BU56" s="74"/>
      <c r="BV56" s="54"/>
      <c r="BW56" s="54"/>
      <c r="BX56" s="54"/>
      <c r="BY56" s="54"/>
      <c r="BZ56" s="54"/>
      <c r="CA56" s="54"/>
      <c r="CB56" s="54"/>
      <c r="CC56" s="54"/>
      <c r="CD56" s="58"/>
      <c r="CE56" s="58"/>
    </row>
    <row r="57" spans="1:83" ht="16.5" customHeight="1">
      <c r="A57" s="62"/>
      <c r="B57" s="1322"/>
      <c r="C57" s="1330"/>
      <c r="D57" s="1329"/>
      <c r="E57" s="1324"/>
      <c r="F57" s="75" t="s">
        <v>389</v>
      </c>
      <c r="G57" s="76">
        <f>+지급비율!F43*$D$56/1000</f>
        <v>150000000</v>
      </c>
      <c r="H57" s="76">
        <f>+G57*10%</f>
        <v>15000000</v>
      </c>
      <c r="I57" s="76">
        <f>SUM(G57:H57)</f>
        <v>165000000</v>
      </c>
      <c r="J57" s="75">
        <f t="shared" si="0"/>
        <v>0.89970000000000006</v>
      </c>
      <c r="K57" s="80">
        <f>+IFERROR(R57+Y57+AF57+AT57+BA57+BH57+BO57,"-")</f>
        <v>148450500</v>
      </c>
      <c r="L57" s="80">
        <f>+I57-K57</f>
        <v>16549500</v>
      </c>
      <c r="M57" s="1326"/>
      <c r="N57" s="78">
        <v>45855</v>
      </c>
      <c r="O57" s="78">
        <v>45867</v>
      </c>
      <c r="P57" s="79">
        <f>+IFERROR(Q57/$I57,"-")</f>
        <v>0.3</v>
      </c>
      <c r="Q57" s="70">
        <f>+$I57*지급비율!G$43</f>
        <v>49500000</v>
      </c>
      <c r="R57" s="80">
        <v>49500000</v>
      </c>
      <c r="S57" s="80">
        <f>+Q57-R57</f>
        <v>0</v>
      </c>
      <c r="T57" s="81"/>
      <c r="U57" s="78">
        <v>45930</v>
      </c>
      <c r="V57" s="78">
        <v>45922</v>
      </c>
      <c r="W57" s="79">
        <f>+IFERROR(X57/$I57,"-")</f>
        <v>0.1</v>
      </c>
      <c r="X57" s="80">
        <f>+$I57*지급비율!N$43</f>
        <v>16500000</v>
      </c>
      <c r="Y57" s="80">
        <f>16500000-49500</f>
        <v>16450500</v>
      </c>
      <c r="Z57" s="80">
        <f>+X57-Y57</f>
        <v>49500</v>
      </c>
      <c r="AA57" s="81"/>
      <c r="AB57" s="78">
        <v>45961</v>
      </c>
      <c r="AC57" s="78">
        <v>45931</v>
      </c>
      <c r="AD57" s="79">
        <f>+IFERROR(AE57/$I57,"-")</f>
        <v>0.5</v>
      </c>
      <c r="AE57" s="80">
        <f>+$I57*지급비율!U$43</f>
        <v>82500000</v>
      </c>
      <c r="AF57" s="80">
        <v>82500000</v>
      </c>
      <c r="AG57" s="80">
        <f>+AE57-AF57</f>
        <v>0</v>
      </c>
      <c r="AH57" s="81"/>
      <c r="AI57" s="78"/>
      <c r="AJ57" s="78"/>
      <c r="AK57" s="79">
        <f>+IFERROR(AL57/$I57,"-")</f>
        <v>0</v>
      </c>
      <c r="AL57" s="70">
        <f>+$I57*지급비율!AB43</f>
        <v>0</v>
      </c>
      <c r="AM57" s="80"/>
      <c r="AN57" s="80">
        <f>+AL57-AM57</f>
        <v>0</v>
      </c>
      <c r="AO57" s="81"/>
      <c r="AP57" s="78"/>
      <c r="AQ57" s="78"/>
      <c r="AR57" s="79"/>
      <c r="AS57" s="70">
        <f>+$I57*지급비율!AI43</f>
        <v>0</v>
      </c>
      <c r="AT57" s="80"/>
      <c r="AU57" s="80">
        <f>+AS57-AT57</f>
        <v>0</v>
      </c>
      <c r="AV57" s="81"/>
      <c r="AW57" s="78"/>
      <c r="AX57" s="78"/>
      <c r="AY57" s="79"/>
      <c r="AZ57" s="70">
        <f>+$I57*지급비율!AP43</f>
        <v>0</v>
      </c>
      <c r="BA57" s="80"/>
      <c r="BB57" s="80">
        <f>+AZ57-BA57</f>
        <v>0</v>
      </c>
      <c r="BC57" s="81"/>
      <c r="BD57" s="78"/>
      <c r="BE57" s="78"/>
      <c r="BF57" s="79"/>
      <c r="BG57" s="70">
        <f>+$I57*지급비율!AW$43</f>
        <v>0</v>
      </c>
      <c r="BH57" s="80"/>
      <c r="BI57" s="80">
        <f>+BG57-BH57</f>
        <v>0</v>
      </c>
      <c r="BJ57" s="81"/>
      <c r="BK57" s="78">
        <v>46142</v>
      </c>
      <c r="BL57" s="78"/>
      <c r="BM57" s="79">
        <f t="shared" si="1"/>
        <v>0.1</v>
      </c>
      <c r="BN57" s="70">
        <f>+$I57*지급비율!BD$43</f>
        <v>16500000</v>
      </c>
      <c r="BO57" s="80"/>
      <c r="BP57" s="80">
        <f t="shared" si="2"/>
        <v>16500000</v>
      </c>
      <c r="BQ57" s="81"/>
      <c r="BR57" s="73"/>
      <c r="BS57" s="74" t="b">
        <f>+Q57+X57+AE57+AS57+AZ57+BG57+BN57=I57</f>
        <v>1</v>
      </c>
      <c r="BT57" s="74" t="b">
        <f>+R57+Y57+AF57+AT57+BA57+BH57+BO57=K57</f>
        <v>1</v>
      </c>
      <c r="BU57" s="74" t="b">
        <f>+BG57+BG58+AZ57+AZ58+AS57+AS58+AE57+AE58+X57+X58+Q57+Q58+BN57+BN58=([5]지급비율!$F$39+[5]지급비율!$F$40)*1.1*D56/1000</f>
        <v>1</v>
      </c>
      <c r="BV57" s="54"/>
      <c r="BW57" s="54"/>
      <c r="BX57" s="54"/>
      <c r="BY57" s="54"/>
      <c r="BZ57" s="54"/>
      <c r="CA57" s="54"/>
      <c r="CB57" s="54"/>
      <c r="CC57" s="54"/>
      <c r="CD57" s="58"/>
      <c r="CE57" s="58"/>
    </row>
    <row r="58" spans="1:83" ht="16.5" customHeight="1">
      <c r="A58" s="62"/>
      <c r="B58" s="1322"/>
      <c r="C58" s="1330"/>
      <c r="D58" s="1329"/>
      <c r="E58" s="1324"/>
      <c r="F58" s="75" t="s">
        <v>390</v>
      </c>
      <c r="G58" s="76">
        <f>+지급비율!F44*D56/1000</f>
        <v>75000000</v>
      </c>
      <c r="H58" s="76">
        <f>+G58*10%</f>
        <v>7500000</v>
      </c>
      <c r="I58" s="76">
        <f>SUM(G58:H58)</f>
        <v>82500000</v>
      </c>
      <c r="J58" s="75">
        <f t="shared" si="0"/>
        <v>0.89700000000000002</v>
      </c>
      <c r="K58" s="80">
        <f>+IFERROR(R58+Y58+AF58+AT58+BA58+BH58+BO58,"-")</f>
        <v>74002500</v>
      </c>
      <c r="L58" s="80">
        <f>+I58-K58</f>
        <v>8497500</v>
      </c>
      <c r="M58" s="1326"/>
      <c r="N58" s="78">
        <v>45855</v>
      </c>
      <c r="O58" s="78">
        <v>45867</v>
      </c>
      <c r="P58" s="79">
        <f>+IFERROR(Q58/$I58,"-")</f>
        <v>0.3</v>
      </c>
      <c r="Q58" s="70">
        <f>+$I58*지급비율!G$44</f>
        <v>24750000</v>
      </c>
      <c r="R58" s="80">
        <v>24750000</v>
      </c>
      <c r="S58" s="80">
        <f>+Q58-R58</f>
        <v>0</v>
      </c>
      <c r="T58" s="81"/>
      <c r="U58" s="78">
        <v>45930</v>
      </c>
      <c r="V58" s="78">
        <v>45922</v>
      </c>
      <c r="W58" s="79">
        <f>+IFERROR(X58/$I58,"-")</f>
        <v>0.1</v>
      </c>
      <c r="X58" s="80">
        <f>+$I58*지급비율!N$44</f>
        <v>8250000</v>
      </c>
      <c r="Y58" s="80">
        <v>8250000</v>
      </c>
      <c r="Z58" s="80">
        <f>+X58-Y58</f>
        <v>0</v>
      </c>
      <c r="AA58" s="81"/>
      <c r="AB58" s="78">
        <v>45961</v>
      </c>
      <c r="AC58" s="78">
        <v>45931</v>
      </c>
      <c r="AD58" s="79">
        <f>+IFERROR(AE58/$I58,"-")</f>
        <v>0.5</v>
      </c>
      <c r="AE58" s="80">
        <f>+$I58*지급비율!U$44</f>
        <v>41250000</v>
      </c>
      <c r="AF58" s="80">
        <v>41002500</v>
      </c>
      <c r="AG58" s="80">
        <f>+AE58-AF58</f>
        <v>247500</v>
      </c>
      <c r="AH58" s="81"/>
      <c r="AI58" s="72"/>
      <c r="AJ58" s="72"/>
      <c r="AK58" s="79">
        <f>+IFERROR(AL58/$I58,"-")</f>
        <v>0</v>
      </c>
      <c r="AL58" s="70">
        <f>+$I58*지급비율!AB44</f>
        <v>0</v>
      </c>
      <c r="AM58" s="80"/>
      <c r="AN58" s="80">
        <f>+AL58-AM58</f>
        <v>0</v>
      </c>
      <c r="AO58" s="81"/>
      <c r="AP58" s="72"/>
      <c r="AQ58" s="72"/>
      <c r="AR58" s="79"/>
      <c r="AS58" s="70">
        <f>+$I58*지급비율!AI44</f>
        <v>0</v>
      </c>
      <c r="AT58" s="80"/>
      <c r="AU58" s="80">
        <f>+AS58-AT58</f>
        <v>0</v>
      </c>
      <c r="AV58" s="81"/>
      <c r="AW58" s="72"/>
      <c r="AX58" s="72"/>
      <c r="AY58" s="79"/>
      <c r="AZ58" s="70">
        <f>+$I58*지급비율!AP44</f>
        <v>0</v>
      </c>
      <c r="BA58" s="80"/>
      <c r="BB58" s="80">
        <f>+AZ58-BA58</f>
        <v>0</v>
      </c>
      <c r="BC58" s="81"/>
      <c r="BD58" s="72"/>
      <c r="BE58" s="72"/>
      <c r="BF58" s="79"/>
      <c r="BG58" s="70">
        <f>+$I58*지급비율!AW$44</f>
        <v>0</v>
      </c>
      <c r="BH58" s="80"/>
      <c r="BI58" s="80">
        <f>+BG58-BH58</f>
        <v>0</v>
      </c>
      <c r="BJ58" s="81"/>
      <c r="BK58" s="78">
        <v>46142</v>
      </c>
      <c r="BL58" s="72"/>
      <c r="BM58" s="79">
        <f t="shared" si="1"/>
        <v>0.1</v>
      </c>
      <c r="BN58" s="70">
        <f>+$I58*지급비율!BD$44</f>
        <v>8250000</v>
      </c>
      <c r="BO58" s="80"/>
      <c r="BP58" s="80">
        <f t="shared" si="2"/>
        <v>8250000</v>
      </c>
      <c r="BQ58" s="81"/>
      <c r="BR58" s="73"/>
      <c r="BS58" s="74" t="b">
        <f>+Q58+X58+AE58+AS58+AZ58+BG58+BN58=I58</f>
        <v>1</v>
      </c>
      <c r="BT58" s="74" t="b">
        <f>+R58+Y58+AF58+AT58+BA58+BH58+BO58=K58</f>
        <v>1</v>
      </c>
      <c r="BU58" s="74"/>
      <c r="BV58" s="54"/>
      <c r="BW58" s="54"/>
      <c r="BX58" s="54"/>
      <c r="BY58" s="54"/>
      <c r="BZ58" s="54"/>
      <c r="CA58" s="54"/>
      <c r="CB58" s="54"/>
      <c r="CC58" s="54"/>
      <c r="CD58" s="58"/>
      <c r="CE58" s="58"/>
    </row>
    <row r="59" spans="1:83" ht="16.5" customHeight="1">
      <c r="A59" s="62"/>
      <c r="B59" s="1322"/>
      <c r="C59" s="1330"/>
      <c r="D59" s="1329"/>
      <c r="E59" s="1324"/>
      <c r="F59" s="101" t="s">
        <v>391</v>
      </c>
      <c r="G59" s="102">
        <f>+지급비율!F45*D56/1000</f>
        <v>87500000</v>
      </c>
      <c r="H59" s="102">
        <f>+G59*0.1</f>
        <v>8750000</v>
      </c>
      <c r="I59" s="102">
        <f>SUM(G59:H59)</f>
        <v>96250000</v>
      </c>
      <c r="J59" s="101">
        <f t="shared" si="0"/>
        <v>0</v>
      </c>
      <c r="K59" s="106">
        <f>+IFERROR(R59+Y59+AF59+AT59+BA59+BH59+BO59,"-")</f>
        <v>0</v>
      </c>
      <c r="L59" s="106">
        <f>+I59-K59</f>
        <v>96250000</v>
      </c>
      <c r="M59" s="1327"/>
      <c r="N59" s="85"/>
      <c r="O59" s="83"/>
      <c r="P59" s="86"/>
      <c r="Q59" s="70">
        <f>+$I59*지급비율!G$45</f>
        <v>0</v>
      </c>
      <c r="R59" s="87"/>
      <c r="S59" s="87"/>
      <c r="T59" s="83"/>
      <c r="U59" s="85"/>
      <c r="V59" s="83"/>
      <c r="W59" s="86"/>
      <c r="X59" s="87">
        <f>+$I59*지급비율!N$45</f>
        <v>0</v>
      </c>
      <c r="Y59" s="87"/>
      <c r="Z59" s="87"/>
      <c r="AA59" s="83"/>
      <c r="AB59" s="78"/>
      <c r="AC59" s="78"/>
      <c r="AD59" s="79"/>
      <c r="AE59" s="80">
        <f>+$I59*지급비율!U$45</f>
        <v>0</v>
      </c>
      <c r="AF59" s="80"/>
      <c r="AG59" s="80"/>
      <c r="AH59" s="81"/>
      <c r="AI59" s="85"/>
      <c r="AJ59" s="83"/>
      <c r="AK59" s="86"/>
      <c r="AL59" s="70">
        <f>+$I59*지급비율!AB45</f>
        <v>0</v>
      </c>
      <c r="AM59" s="87"/>
      <c r="AN59" s="87"/>
      <c r="AO59" s="83"/>
      <c r="AP59" s="85"/>
      <c r="AQ59" s="83"/>
      <c r="AR59" s="86"/>
      <c r="AS59" s="70">
        <f>+$I59*지급비율!AI45</f>
        <v>0</v>
      </c>
      <c r="AT59" s="87"/>
      <c r="AU59" s="87"/>
      <c r="AV59" s="83"/>
      <c r="AW59" s="85"/>
      <c r="AX59" s="83"/>
      <c r="AY59" s="86"/>
      <c r="AZ59" s="70">
        <f>+$I59*지급비율!AP45</f>
        <v>0</v>
      </c>
      <c r="BA59" s="87"/>
      <c r="BB59" s="87"/>
      <c r="BC59" s="83"/>
      <c r="BD59" s="85"/>
      <c r="BE59" s="83"/>
      <c r="BF59" s="86"/>
      <c r="BG59" s="70">
        <f>+$I59*지급비율!AW$45</f>
        <v>0</v>
      </c>
      <c r="BH59" s="87"/>
      <c r="BI59" s="87"/>
      <c r="BJ59" s="83"/>
      <c r="BK59" s="78">
        <v>46142</v>
      </c>
      <c r="BL59" s="101"/>
      <c r="BM59" s="105">
        <f t="shared" si="1"/>
        <v>1</v>
      </c>
      <c r="BN59" s="70">
        <f>+$I59*지급비율!BD$45</f>
        <v>96250000</v>
      </c>
      <c r="BO59" s="106"/>
      <c r="BP59" s="106">
        <f t="shared" si="2"/>
        <v>96250000</v>
      </c>
      <c r="BQ59" s="101"/>
      <c r="BR59" s="88"/>
      <c r="BS59" s="89" t="b">
        <f>+Q59+X59+AE59+AS59+AZ59+BG59+BN59=I59</f>
        <v>1</v>
      </c>
      <c r="BT59" s="90" t="b">
        <f>+R59+Y59+AF59+AT59+BA59+BH59+BO59=K59</f>
        <v>1</v>
      </c>
      <c r="BU59" s="90"/>
      <c r="BV59" s="54"/>
      <c r="BW59" s="54"/>
      <c r="BX59" s="54"/>
      <c r="BY59" s="54"/>
      <c r="BZ59" s="54"/>
      <c r="CA59" s="54"/>
      <c r="CB59" s="54"/>
      <c r="CC59" s="54"/>
      <c r="CD59" s="58"/>
      <c r="CE59" s="58"/>
    </row>
    <row r="60" spans="1:83" ht="16.5" customHeight="1">
      <c r="A60" s="62"/>
      <c r="B60" s="1322"/>
      <c r="C60" s="1330"/>
      <c r="D60" s="1329"/>
      <c r="E60" s="1324"/>
      <c r="F60" s="91" t="s">
        <v>392</v>
      </c>
      <c r="G60" s="92">
        <f>SUM(G56:G59)</f>
        <v>862500000</v>
      </c>
      <c r="H60" s="92">
        <f>SUM(H56:H59)</f>
        <v>86250000</v>
      </c>
      <c r="I60" s="92">
        <f>SUM(I56:I59)</f>
        <v>948750000</v>
      </c>
      <c r="J60" s="91">
        <f t="shared" si="0"/>
        <v>0.23446956521739132</v>
      </c>
      <c r="K60" s="92">
        <f>SUM(K56:K59)</f>
        <v>222453000</v>
      </c>
      <c r="L60" s="92">
        <f>SUM(L56:L59)</f>
        <v>726297000</v>
      </c>
      <c r="M60" s="419">
        <f>+X57+X58</f>
        <v>24750000</v>
      </c>
      <c r="N60" s="93"/>
      <c r="O60" s="91"/>
      <c r="P60" s="94">
        <f>+IFERROR(Q60/$I60,"-")</f>
        <v>7.8260869565217397E-2</v>
      </c>
      <c r="Q60" s="92">
        <f>SUM(Q56:Q59)</f>
        <v>74250000</v>
      </c>
      <c r="R60" s="170">
        <f>SUM(R56:R59)</f>
        <v>74250000</v>
      </c>
      <c r="S60" s="95">
        <f>+Q60-R60</f>
        <v>0</v>
      </c>
      <c r="T60" s="91"/>
      <c r="U60" s="93"/>
      <c r="V60" s="91"/>
      <c r="W60" s="94">
        <f>+IFERROR(X60/$I60,"-")</f>
        <v>2.6086956521739129E-2</v>
      </c>
      <c r="X60" s="92">
        <f>SUM(X56:X59)</f>
        <v>24750000</v>
      </c>
      <c r="Y60" s="170">
        <f>SUM(Y56:Y59)</f>
        <v>24700500</v>
      </c>
      <c r="Z60" s="95">
        <f>+X60-Y60</f>
        <v>49500</v>
      </c>
      <c r="AA60" s="91"/>
      <c r="AB60" s="93"/>
      <c r="AC60" s="91"/>
      <c r="AD60" s="94">
        <f>+IFERROR(AE60/$I60,"-")</f>
        <v>0.44927536231884058</v>
      </c>
      <c r="AE60" s="92">
        <f>SUM(AE56:AE59)</f>
        <v>426250000</v>
      </c>
      <c r="AF60" s="170">
        <f>SUM(AF56:AF59)</f>
        <v>123502500</v>
      </c>
      <c r="AG60" s="95">
        <f>+AE60-AF60</f>
        <v>302747500</v>
      </c>
      <c r="AH60" s="91"/>
      <c r="AI60" s="93"/>
      <c r="AJ60" s="91"/>
      <c r="AK60" s="94">
        <f>+IFERROR(AL60/$I60,"-")</f>
        <v>0</v>
      </c>
      <c r="AL60" s="92">
        <f>SUM(AL56:AL59)</f>
        <v>0</v>
      </c>
      <c r="AM60" s="92">
        <f>SUM(AM56:AM59)</f>
        <v>0</v>
      </c>
      <c r="AN60" s="95">
        <f>+AL60-AM60</f>
        <v>0</v>
      </c>
      <c r="AO60" s="91"/>
      <c r="AP60" s="93"/>
      <c r="AQ60" s="91"/>
      <c r="AR60" s="94">
        <f>+IFERROR(AS60/$I60,"-")</f>
        <v>0</v>
      </c>
      <c r="AS60" s="92">
        <f>SUM(AS56:AS59)</f>
        <v>0</v>
      </c>
      <c r="AT60" s="92">
        <f>SUM(AT56:AT59)</f>
        <v>0</v>
      </c>
      <c r="AU60" s="95">
        <f>+AS60-AT60</f>
        <v>0</v>
      </c>
      <c r="AV60" s="91"/>
      <c r="AW60" s="93"/>
      <c r="AX60" s="91"/>
      <c r="AY60" s="94">
        <f>+IFERROR(AZ60/$I60,"-")</f>
        <v>0</v>
      </c>
      <c r="AZ60" s="92">
        <f>SUM(AZ56:AZ59)</f>
        <v>0</v>
      </c>
      <c r="BA60" s="92">
        <f>SUM(BA56:BA59)</f>
        <v>0</v>
      </c>
      <c r="BB60" s="95">
        <f>+AZ60-BA60</f>
        <v>0</v>
      </c>
      <c r="BC60" s="91"/>
      <c r="BD60" s="93"/>
      <c r="BE60" s="91"/>
      <c r="BF60" s="94">
        <f>+IFERROR(BG60/$I60,"-")</f>
        <v>0.25507246376811593</v>
      </c>
      <c r="BG60" s="92">
        <f>SUM(BG56:BG59)</f>
        <v>242000000</v>
      </c>
      <c r="BH60" s="92">
        <f>SUM(BH56:BH59)</f>
        <v>0</v>
      </c>
      <c r="BI60" s="95">
        <f>+BG60-BH60</f>
        <v>242000000</v>
      </c>
      <c r="BJ60" s="91"/>
      <c r="BK60" s="93"/>
      <c r="BL60" s="91"/>
      <c r="BM60" s="94">
        <f t="shared" si="1"/>
        <v>0.19130434782608696</v>
      </c>
      <c r="BN60" s="92">
        <f>SUM(BN56:BN59)</f>
        <v>181500000</v>
      </c>
      <c r="BO60" s="92">
        <f>SUM(BO56:BO59)</f>
        <v>0</v>
      </c>
      <c r="BP60" s="95">
        <f t="shared" si="2"/>
        <v>181500000</v>
      </c>
      <c r="BQ60" s="91"/>
      <c r="BR60" s="88"/>
      <c r="BS60" s="96"/>
      <c r="BT60" s="97"/>
      <c r="BU60" s="97"/>
      <c r="BV60" s="54"/>
      <c r="BW60" s="54"/>
      <c r="BX60" s="54"/>
      <c r="BY60" s="54"/>
      <c r="BZ60" s="54"/>
      <c r="CA60" s="54"/>
      <c r="CB60" s="54"/>
      <c r="CC60" s="54"/>
      <c r="CD60" s="58"/>
      <c r="CE60" s="58"/>
    </row>
    <row r="61" spans="1:83" ht="16.5" customHeight="1">
      <c r="A61" s="62"/>
      <c r="B61" s="1322">
        <f t="shared" ref="B61" si="3">+B56+1</f>
        <v>11</v>
      </c>
      <c r="C61" s="1330" t="s">
        <v>402</v>
      </c>
      <c r="D61" s="1329">
        <v>127</v>
      </c>
      <c r="E61" s="1324" t="s">
        <v>387</v>
      </c>
      <c r="F61" s="63" t="s">
        <v>388</v>
      </c>
      <c r="G61" s="76">
        <f>+지급비율!F42*$D$61/1000</f>
        <v>139700000</v>
      </c>
      <c r="H61" s="64">
        <f>+G61*10%</f>
        <v>13970000</v>
      </c>
      <c r="I61" s="64">
        <f t="shared" ref="I61:I63" si="4">SUM(G61:H61)</f>
        <v>153670000</v>
      </c>
      <c r="J61" s="65">
        <f t="shared" si="0"/>
        <v>0</v>
      </c>
      <c r="K61" s="70">
        <f t="shared" ref="K61:K64" si="5">+IFERROR(R61+Y61+AF61+AT61+BA61+BH61+BO61,"-")</f>
        <v>0</v>
      </c>
      <c r="L61" s="70">
        <f>+I61-K61</f>
        <v>153670000</v>
      </c>
      <c r="M61" s="1331" t="s">
        <v>403</v>
      </c>
      <c r="N61" s="67"/>
      <c r="O61" s="72"/>
      <c r="P61" s="69"/>
      <c r="Q61" s="70">
        <f>+$I61*지급비율!G$42</f>
        <v>0</v>
      </c>
      <c r="R61" s="70"/>
      <c r="S61" s="70">
        <f>+Q61-R61</f>
        <v>0</v>
      </c>
      <c r="T61" s="81"/>
      <c r="U61" s="67"/>
      <c r="V61" s="68"/>
      <c r="W61" s="69"/>
      <c r="X61" s="70">
        <f>+$I61*지급비율!N$42</f>
        <v>0</v>
      </c>
      <c r="Y61" s="70"/>
      <c r="Z61" s="70">
        <f>+X61-Y61</f>
        <v>0</v>
      </c>
      <c r="AA61" s="71"/>
      <c r="AB61" s="67">
        <f>+EDATE(AI61,0)</f>
        <v>46019</v>
      </c>
      <c r="AC61" s="68"/>
      <c r="AD61" s="69">
        <f>+IFERROR(AE61/$I61,"-")</f>
        <v>0.5</v>
      </c>
      <c r="AE61" s="70">
        <f>+$I61*지급비율!U$42</f>
        <v>76835000</v>
      </c>
      <c r="AF61" s="70"/>
      <c r="AG61" s="70">
        <f>+AE61-AF61</f>
        <v>76835000</v>
      </c>
      <c r="AH61" s="71"/>
      <c r="AI61" s="67">
        <f>+EDATE(AP61,-1)</f>
        <v>46019</v>
      </c>
      <c r="AJ61" s="68"/>
      <c r="AK61" s="69">
        <f>+IFERROR(AL61/$I61,"-")</f>
        <v>0</v>
      </c>
      <c r="AL61" s="70">
        <f>+$I61*지급비율!AB74</f>
        <v>0</v>
      </c>
      <c r="AM61" s="70"/>
      <c r="AN61" s="70">
        <f>+AL61-AM61</f>
        <v>0</v>
      </c>
      <c r="AO61" s="71"/>
      <c r="AP61" s="67">
        <f>+EDATE(AW61,-1)</f>
        <v>46050</v>
      </c>
      <c r="AQ61" s="68"/>
      <c r="AR61" s="69">
        <f>+IFERROR(AS61/$I61,"-")</f>
        <v>0</v>
      </c>
      <c r="AS61" s="70">
        <f>+$I61*지급비율!AI74</f>
        <v>0</v>
      </c>
      <c r="AT61" s="70"/>
      <c r="AU61" s="70">
        <f>+AS61-AT61</f>
        <v>0</v>
      </c>
      <c r="AV61" s="71"/>
      <c r="AW61" s="67">
        <f>+EDATE(BD61,-1)</f>
        <v>46081</v>
      </c>
      <c r="AX61" s="68"/>
      <c r="AY61" s="69">
        <f>+IFERROR(AZ61/$I61,"-")</f>
        <v>0</v>
      </c>
      <c r="AZ61" s="70">
        <f>+$I61*지급비율!AP74</f>
        <v>0</v>
      </c>
      <c r="BA61" s="70"/>
      <c r="BB61" s="70">
        <f>+AZ61-BA61</f>
        <v>0</v>
      </c>
      <c r="BC61" s="71"/>
      <c r="BD61" s="67">
        <f>+EDATE(BK61,-1)</f>
        <v>46111</v>
      </c>
      <c r="BE61" s="68"/>
      <c r="BF61" s="69">
        <f>+IFERROR(BG61/$I61,"-")</f>
        <v>0.4</v>
      </c>
      <c r="BG61" s="70">
        <f>+$I61*지급비율!AW$42</f>
        <v>61468000</v>
      </c>
      <c r="BH61" s="70"/>
      <c r="BI61" s="70">
        <f>+BG61-BH61</f>
        <v>61468000</v>
      </c>
      <c r="BJ61" s="71"/>
      <c r="BK61" s="78">
        <v>46142</v>
      </c>
      <c r="BL61" s="68"/>
      <c r="BM61" s="69">
        <f t="shared" si="1"/>
        <v>0.1</v>
      </c>
      <c r="BN61" s="70">
        <f>+$I61*지급비율!BD$42</f>
        <v>15367000</v>
      </c>
      <c r="BO61" s="70"/>
      <c r="BP61" s="70">
        <f t="shared" si="2"/>
        <v>15367000</v>
      </c>
      <c r="BQ61" s="71"/>
      <c r="BR61" s="73"/>
      <c r="BS61" s="74" t="b">
        <f>+Q61+X61+AE61+AS61+AZ61+BG61+BN61=I61</f>
        <v>1</v>
      </c>
      <c r="BT61" s="74" t="b">
        <f>+R61+Y61+AF61+AT61+BA61+BH61+BO61=K61</f>
        <v>1</v>
      </c>
      <c r="BU61" s="74"/>
      <c r="BV61" s="54"/>
      <c r="BW61" s="54"/>
      <c r="BX61" s="54"/>
      <c r="BY61" s="54"/>
      <c r="BZ61" s="54"/>
      <c r="CA61" s="54"/>
      <c r="CB61" s="54"/>
      <c r="CC61" s="54"/>
      <c r="CD61" s="58"/>
      <c r="CE61" s="58"/>
    </row>
    <row r="62" spans="1:83" ht="16.5" customHeight="1">
      <c r="A62" s="62"/>
      <c r="B62" s="1322"/>
      <c r="C62" s="1330"/>
      <c r="D62" s="1329"/>
      <c r="E62" s="1324"/>
      <c r="F62" s="75" t="s">
        <v>389</v>
      </c>
      <c r="G62" s="76">
        <f>+지급비율!F43*$D$61/1000</f>
        <v>38100000</v>
      </c>
      <c r="H62" s="76">
        <f>+G62*10%</f>
        <v>3810000</v>
      </c>
      <c r="I62" s="76">
        <f t="shared" si="4"/>
        <v>41910000</v>
      </c>
      <c r="J62" s="75">
        <f t="shared" si="0"/>
        <v>0.3</v>
      </c>
      <c r="K62" s="80">
        <f t="shared" si="5"/>
        <v>12573000</v>
      </c>
      <c r="L62" s="80">
        <f t="shared" ref="L62:L64" si="6">+I62-K62</f>
        <v>29337000</v>
      </c>
      <c r="M62" s="1332"/>
      <c r="N62" s="78">
        <v>45930</v>
      </c>
      <c r="O62" s="78">
        <v>45922</v>
      </c>
      <c r="P62" s="79">
        <f t="shared" ref="P62:P63" si="7">+IFERROR(Q62/$I62,"-")</f>
        <v>0.3</v>
      </c>
      <c r="Q62" s="70">
        <f>+$I62*지급비율!G$43</f>
        <v>12573000</v>
      </c>
      <c r="R62" s="80">
        <v>12573000</v>
      </c>
      <c r="S62" s="80">
        <f t="shared" ref="S62:S63" si="8">+Q62-R62</f>
        <v>0</v>
      </c>
      <c r="T62" s="81"/>
      <c r="U62" s="284">
        <v>45961</v>
      </c>
      <c r="V62" s="284"/>
      <c r="W62" s="286">
        <f t="shared" ref="W62:W63" si="9">+IFERROR(X62/$I62,"-")</f>
        <v>0.1</v>
      </c>
      <c r="X62" s="290">
        <f>+$I62*지급비율!N$43</f>
        <v>4191000</v>
      </c>
      <c r="Y62" s="290"/>
      <c r="Z62" s="290">
        <f t="shared" ref="Z62:Z63" si="10">+X62-Y62</f>
        <v>4191000</v>
      </c>
      <c r="AA62" s="288"/>
      <c r="AB62" s="78">
        <v>45991</v>
      </c>
      <c r="AC62" s="78"/>
      <c r="AD62" s="79">
        <f t="shared" ref="AD62:AD63" si="11">+IFERROR(AE62/$I62,"-")</f>
        <v>0.5</v>
      </c>
      <c r="AE62" s="70">
        <f>+$I62*지급비율!U$43</f>
        <v>20955000</v>
      </c>
      <c r="AF62" s="80"/>
      <c r="AG62" s="80">
        <f t="shared" ref="AG62:AG63" si="12">+AE62-AF62</f>
        <v>20955000</v>
      </c>
      <c r="AH62" s="81"/>
      <c r="AI62" s="78"/>
      <c r="AJ62" s="78"/>
      <c r="AK62" s="79">
        <f t="shared" ref="AK62:AK63" si="13">+IFERROR(AL62/$I62,"-")</f>
        <v>0</v>
      </c>
      <c r="AL62" s="70">
        <f>+$I62*지급비율!AB75</f>
        <v>0</v>
      </c>
      <c r="AM62" s="80"/>
      <c r="AN62" s="80">
        <f t="shared" ref="AN62:AN63" si="14">+AL62-AM62</f>
        <v>0</v>
      </c>
      <c r="AO62" s="81"/>
      <c r="AP62" s="78"/>
      <c r="AQ62" s="78"/>
      <c r="AR62" s="79"/>
      <c r="AS62" s="70">
        <f>+$I62*지급비율!AI75</f>
        <v>0</v>
      </c>
      <c r="AT62" s="80"/>
      <c r="AU62" s="80">
        <f t="shared" ref="AU62:AU63" si="15">+AS62-AT62</f>
        <v>0</v>
      </c>
      <c r="AV62" s="81"/>
      <c r="AW62" s="78"/>
      <c r="AX62" s="78"/>
      <c r="AY62" s="79"/>
      <c r="AZ62" s="70">
        <f>+$I62*지급비율!AP75</f>
        <v>0</v>
      </c>
      <c r="BA62" s="80"/>
      <c r="BB62" s="80">
        <f t="shared" ref="BB62:BB63" si="16">+AZ62-BA62</f>
        <v>0</v>
      </c>
      <c r="BC62" s="81"/>
      <c r="BD62" s="78"/>
      <c r="BE62" s="78"/>
      <c r="BF62" s="79"/>
      <c r="BG62" s="70">
        <f>+$I62*지급비율!AW$43</f>
        <v>0</v>
      </c>
      <c r="BH62" s="80"/>
      <c r="BI62" s="80">
        <f t="shared" ref="BI62:BI63" si="17">+BG62-BH62</f>
        <v>0</v>
      </c>
      <c r="BJ62" s="81"/>
      <c r="BK62" s="78">
        <v>46142</v>
      </c>
      <c r="BL62" s="78"/>
      <c r="BM62" s="79">
        <f t="shared" si="1"/>
        <v>0.1</v>
      </c>
      <c r="BN62" s="70">
        <f>+$I62*지급비율!BD$43</f>
        <v>4191000</v>
      </c>
      <c r="BO62" s="80"/>
      <c r="BP62" s="80">
        <f t="shared" si="2"/>
        <v>4191000</v>
      </c>
      <c r="BQ62" s="81"/>
      <c r="BR62" s="73"/>
      <c r="BS62" s="74" t="b">
        <f t="shared" ref="BS62:BS63" si="18">+Q62+X62+AE62+AS62+AZ62+BG62+BN62=I62</f>
        <v>1</v>
      </c>
      <c r="BT62" s="74" t="b">
        <f t="shared" ref="BT62:BT64" si="19">+R62+Y62+AF62+AT62+BA62+BH62+BO62=K62</f>
        <v>1</v>
      </c>
      <c r="BU62" s="74" t="b">
        <f>+BG62+BG63+AZ62+AZ63+AS62+AS63+AE62+AE63+X62+X63+Q62+Q63+BN62+BN63=([5]지급비율!$F$39+[5]지급비율!$F$40)*1.1*D61/1000</f>
        <v>1</v>
      </c>
      <c r="BV62" s="54"/>
      <c r="BW62" s="54"/>
      <c r="BX62" s="54"/>
      <c r="BY62" s="54"/>
      <c r="BZ62" s="54"/>
      <c r="CA62" s="54"/>
      <c r="CB62" s="54"/>
      <c r="CC62" s="54"/>
      <c r="CD62" s="58"/>
      <c r="CE62" s="58"/>
    </row>
    <row r="63" spans="1:83" ht="16.5" customHeight="1">
      <c r="A63" s="62"/>
      <c r="B63" s="1322"/>
      <c r="C63" s="1330"/>
      <c r="D63" s="1329"/>
      <c r="E63" s="1324"/>
      <c r="F63" s="75" t="s">
        <v>390</v>
      </c>
      <c r="G63" s="76">
        <f>+지급비율!F44*$D$61/1000</f>
        <v>19050000</v>
      </c>
      <c r="H63" s="76">
        <f t="shared" ref="H63" si="20">+G63*10%</f>
        <v>1905000</v>
      </c>
      <c r="I63" s="76">
        <f t="shared" si="4"/>
        <v>20955000</v>
      </c>
      <c r="J63" s="75">
        <f t="shared" si="0"/>
        <v>0.3</v>
      </c>
      <c r="K63" s="80">
        <f t="shared" si="5"/>
        <v>6286500</v>
      </c>
      <c r="L63" s="80">
        <f t="shared" si="6"/>
        <v>14668500</v>
      </c>
      <c r="M63" s="1332"/>
      <c r="N63" s="78">
        <v>45930</v>
      </c>
      <c r="O63" s="78">
        <v>45922</v>
      </c>
      <c r="P63" s="79">
        <f t="shared" si="7"/>
        <v>0.3</v>
      </c>
      <c r="Q63" s="70">
        <f>+$I63*지급비율!G$44</f>
        <v>6286500</v>
      </c>
      <c r="R63" s="80">
        <v>6286500</v>
      </c>
      <c r="S63" s="80">
        <f t="shared" si="8"/>
        <v>0</v>
      </c>
      <c r="T63" s="81"/>
      <c r="U63" s="284">
        <v>45961</v>
      </c>
      <c r="V63" s="285"/>
      <c r="W63" s="286">
        <f t="shared" si="9"/>
        <v>0.1</v>
      </c>
      <c r="X63" s="290">
        <f>+$I63*지급비율!N$44</f>
        <v>2095500</v>
      </c>
      <c r="Y63" s="290"/>
      <c r="Z63" s="290">
        <f t="shared" si="10"/>
        <v>2095500</v>
      </c>
      <c r="AA63" s="288"/>
      <c r="AB63" s="78">
        <v>45991</v>
      </c>
      <c r="AC63" s="72"/>
      <c r="AD63" s="79">
        <f t="shared" si="11"/>
        <v>0.5</v>
      </c>
      <c r="AE63" s="70">
        <f>+$I63*지급비율!U$44</f>
        <v>10477500</v>
      </c>
      <c r="AF63" s="80"/>
      <c r="AG63" s="80">
        <f t="shared" si="12"/>
        <v>10477500</v>
      </c>
      <c r="AH63" s="81"/>
      <c r="AI63" s="72"/>
      <c r="AJ63" s="72"/>
      <c r="AK63" s="79">
        <f t="shared" si="13"/>
        <v>0</v>
      </c>
      <c r="AL63" s="70">
        <f>+$I63*지급비율!AB76</f>
        <v>0</v>
      </c>
      <c r="AM63" s="80"/>
      <c r="AN63" s="80">
        <f t="shared" si="14"/>
        <v>0</v>
      </c>
      <c r="AO63" s="81"/>
      <c r="AP63" s="72"/>
      <c r="AQ63" s="72"/>
      <c r="AR63" s="79"/>
      <c r="AS63" s="70">
        <f>+$I63*지급비율!AI76</f>
        <v>0</v>
      </c>
      <c r="AT63" s="80"/>
      <c r="AU63" s="80">
        <f t="shared" si="15"/>
        <v>0</v>
      </c>
      <c r="AV63" s="81"/>
      <c r="AW63" s="72"/>
      <c r="AX63" s="72"/>
      <c r="AY63" s="79"/>
      <c r="AZ63" s="70">
        <f>+$I63*지급비율!AP76</f>
        <v>0</v>
      </c>
      <c r="BA63" s="80"/>
      <c r="BB63" s="80">
        <f t="shared" si="16"/>
        <v>0</v>
      </c>
      <c r="BC63" s="81"/>
      <c r="BD63" s="72"/>
      <c r="BE63" s="72"/>
      <c r="BF63" s="79"/>
      <c r="BG63" s="70">
        <f>+$I63*지급비율!AW$44</f>
        <v>0</v>
      </c>
      <c r="BH63" s="80"/>
      <c r="BI63" s="80">
        <f t="shared" si="17"/>
        <v>0</v>
      </c>
      <c r="BJ63" s="81"/>
      <c r="BK63" s="78">
        <v>46142</v>
      </c>
      <c r="BL63" s="72"/>
      <c r="BM63" s="79">
        <f t="shared" si="1"/>
        <v>0.1</v>
      </c>
      <c r="BN63" s="70">
        <f>+$I63*지급비율!BD$44</f>
        <v>2095500</v>
      </c>
      <c r="BO63" s="80"/>
      <c r="BP63" s="80">
        <f t="shared" si="2"/>
        <v>2095500</v>
      </c>
      <c r="BQ63" s="81"/>
      <c r="BR63" s="73"/>
      <c r="BS63" s="74" t="b">
        <f t="shared" si="18"/>
        <v>1</v>
      </c>
      <c r="BT63" s="74" t="b">
        <f t="shared" si="19"/>
        <v>1</v>
      </c>
      <c r="BU63" s="74"/>
      <c r="BV63" s="54"/>
      <c r="BW63" s="54"/>
      <c r="BX63" s="54"/>
      <c r="BY63" s="54"/>
      <c r="BZ63" s="54"/>
      <c r="CA63" s="54"/>
      <c r="CB63" s="54"/>
      <c r="CC63" s="54"/>
      <c r="CD63" s="58"/>
      <c r="CE63" s="58"/>
    </row>
    <row r="64" spans="1:83" ht="16.5" customHeight="1">
      <c r="A64" s="62"/>
      <c r="B64" s="1322"/>
      <c r="C64" s="1330"/>
      <c r="D64" s="1329"/>
      <c r="E64" s="1324"/>
      <c r="F64" s="101" t="s">
        <v>391</v>
      </c>
      <c r="G64" s="102">
        <f>+지급비율!F45*$D$61/1000</f>
        <v>22225000</v>
      </c>
      <c r="H64" s="102">
        <f>+G64*0.1</f>
        <v>2222500</v>
      </c>
      <c r="I64" s="102">
        <f>SUM(G64:H64)</f>
        <v>24447500</v>
      </c>
      <c r="J64" s="101">
        <f t="shared" si="0"/>
        <v>0</v>
      </c>
      <c r="K64" s="106">
        <f t="shared" si="5"/>
        <v>0</v>
      </c>
      <c r="L64" s="106">
        <f t="shared" si="6"/>
        <v>24447500</v>
      </c>
      <c r="M64" s="1333"/>
      <c r="N64" s="85"/>
      <c r="O64" s="83"/>
      <c r="P64" s="86"/>
      <c r="Q64" s="70">
        <f>+$I64*지급비율!G$45</f>
        <v>0</v>
      </c>
      <c r="R64" s="87"/>
      <c r="S64" s="87"/>
      <c r="T64" s="83"/>
      <c r="U64" s="85"/>
      <c r="V64" s="83"/>
      <c r="W64" s="86"/>
      <c r="X64" s="87">
        <f>+$I64*지급비율!N$45</f>
        <v>0</v>
      </c>
      <c r="Y64" s="87"/>
      <c r="Z64" s="87"/>
      <c r="AA64" s="83"/>
      <c r="AB64" s="85"/>
      <c r="AC64" s="83"/>
      <c r="AD64" s="86"/>
      <c r="AE64" s="70">
        <f>+$I64*지급비율!U$45</f>
        <v>0</v>
      </c>
      <c r="AF64" s="87"/>
      <c r="AG64" s="87"/>
      <c r="AH64" s="83"/>
      <c r="AI64" s="85"/>
      <c r="AJ64" s="83"/>
      <c r="AK64" s="86"/>
      <c r="AL64" s="70">
        <f>+$I64*지급비율!AB77</f>
        <v>0</v>
      </c>
      <c r="AM64" s="87"/>
      <c r="AN64" s="87"/>
      <c r="AO64" s="83"/>
      <c r="AP64" s="85"/>
      <c r="AQ64" s="83"/>
      <c r="AR64" s="86"/>
      <c r="AS64" s="70">
        <f>+$I64*지급비율!AI77</f>
        <v>0</v>
      </c>
      <c r="AT64" s="87"/>
      <c r="AU64" s="87"/>
      <c r="AV64" s="83"/>
      <c r="AW64" s="85"/>
      <c r="AX64" s="83"/>
      <c r="AY64" s="86"/>
      <c r="AZ64" s="70">
        <f>+$I64*지급비율!AP77</f>
        <v>0</v>
      </c>
      <c r="BA64" s="87"/>
      <c r="BB64" s="87"/>
      <c r="BC64" s="83"/>
      <c r="BD64" s="85"/>
      <c r="BE64" s="83"/>
      <c r="BF64" s="86"/>
      <c r="BG64" s="70">
        <f>+$I64*지급비율!AW$45</f>
        <v>0</v>
      </c>
      <c r="BH64" s="87"/>
      <c r="BI64" s="87"/>
      <c r="BJ64" s="83"/>
      <c r="BK64" s="78">
        <v>46142</v>
      </c>
      <c r="BL64" s="101"/>
      <c r="BM64" s="105">
        <f t="shared" si="1"/>
        <v>1</v>
      </c>
      <c r="BN64" s="70">
        <f>+$I64*지급비율!BD$45</f>
        <v>24447500</v>
      </c>
      <c r="BO64" s="106"/>
      <c r="BP64" s="106">
        <f t="shared" si="2"/>
        <v>24447500</v>
      </c>
      <c r="BQ64" s="101"/>
      <c r="BR64" s="88"/>
      <c r="BS64" s="89" t="b">
        <f>+Q64+X64+AE64+AS64+AZ64+BG64+BN64=I64</f>
        <v>1</v>
      </c>
      <c r="BT64" s="90" t="b">
        <f t="shared" si="19"/>
        <v>1</v>
      </c>
      <c r="BU64" s="90"/>
      <c r="BV64" s="54"/>
      <c r="BW64" s="54"/>
      <c r="BX64" s="54"/>
      <c r="BY64" s="54"/>
      <c r="BZ64" s="54"/>
      <c r="CA64" s="54"/>
      <c r="CB64" s="54"/>
      <c r="CC64" s="54"/>
      <c r="CD64" s="58"/>
      <c r="CE64" s="58"/>
    </row>
    <row r="65" spans="1:83" ht="16.5" customHeight="1">
      <c r="A65" s="62"/>
      <c r="B65" s="1322"/>
      <c r="C65" s="1330"/>
      <c r="D65" s="1329"/>
      <c r="E65" s="1324"/>
      <c r="F65" s="91" t="s">
        <v>392</v>
      </c>
      <c r="G65" s="92">
        <f>SUM(G61:G64)</f>
        <v>219075000</v>
      </c>
      <c r="H65" s="92">
        <f>SUM(H61:H64)</f>
        <v>21907500</v>
      </c>
      <c r="I65" s="92">
        <f>SUM(I61:I64)</f>
        <v>240982500</v>
      </c>
      <c r="J65" s="91">
        <f t="shared" si="0"/>
        <v>7.8260869565217397E-2</v>
      </c>
      <c r="K65" s="92">
        <f>SUM(K61:K64)</f>
        <v>18859500</v>
      </c>
      <c r="L65" s="92">
        <f>SUM(L61:L64)</f>
        <v>222123000</v>
      </c>
      <c r="M65" s="419">
        <f>+Q62+Q63+X62+X63</f>
        <v>25146000</v>
      </c>
      <c r="N65" s="93"/>
      <c r="O65" s="91"/>
      <c r="P65" s="94">
        <f t="shared" ref="P65" si="21">+IFERROR(Q65/$I65,"-")</f>
        <v>7.8260869565217397E-2</v>
      </c>
      <c r="Q65" s="92">
        <f>SUM(Q61:Q64)</f>
        <v>18859500</v>
      </c>
      <c r="R65" s="170">
        <f>SUM(R61:R64)</f>
        <v>18859500</v>
      </c>
      <c r="S65" s="95">
        <f t="shared" ref="S65" si="22">+Q65-R65</f>
        <v>0</v>
      </c>
      <c r="T65" s="91"/>
      <c r="U65" s="93"/>
      <c r="V65" s="91"/>
      <c r="W65" s="94">
        <f t="shared" ref="W65" si="23">+IFERROR(X65/$I65,"-")</f>
        <v>2.6086956521739129E-2</v>
      </c>
      <c r="X65" s="92">
        <f>SUM(X61:X64)</f>
        <v>6286500</v>
      </c>
      <c r="Y65" s="92">
        <f>SUM(Y61:Y64)</f>
        <v>0</v>
      </c>
      <c r="Z65" s="95">
        <f t="shared" ref="Z65" si="24">+X65-Y65</f>
        <v>6286500</v>
      </c>
      <c r="AA65" s="91"/>
      <c r="AB65" s="93"/>
      <c r="AC65" s="91"/>
      <c r="AD65" s="94">
        <f t="shared" ref="AD65" si="25">+IFERROR(AE65/$I65,"-")</f>
        <v>0.44927536231884058</v>
      </c>
      <c r="AE65" s="92">
        <f>SUM(AE61:AE64)</f>
        <v>108267500</v>
      </c>
      <c r="AF65" s="92">
        <f>SUM(AF61:AF64)</f>
        <v>0</v>
      </c>
      <c r="AG65" s="95">
        <f t="shared" ref="AG65" si="26">+AE65-AF65</f>
        <v>108267500</v>
      </c>
      <c r="AH65" s="91"/>
      <c r="AI65" s="93"/>
      <c r="AJ65" s="91"/>
      <c r="AK65" s="94">
        <f t="shared" ref="AK65" si="27">+IFERROR(AL65/$I65,"-")</f>
        <v>0</v>
      </c>
      <c r="AL65" s="92">
        <f>SUM(AL61:AL64)</f>
        <v>0</v>
      </c>
      <c r="AM65" s="92">
        <f>SUM(AM61:AM64)</f>
        <v>0</v>
      </c>
      <c r="AN65" s="95">
        <f t="shared" ref="AN65" si="28">+AL65-AM65</f>
        <v>0</v>
      </c>
      <c r="AO65" s="91"/>
      <c r="AP65" s="93"/>
      <c r="AQ65" s="91"/>
      <c r="AR65" s="94">
        <f t="shared" ref="AR65" si="29">+IFERROR(AS65/$I65,"-")</f>
        <v>0</v>
      </c>
      <c r="AS65" s="92">
        <f>SUM(AS61:AS64)</f>
        <v>0</v>
      </c>
      <c r="AT65" s="92">
        <f>SUM(AT61:AT64)</f>
        <v>0</v>
      </c>
      <c r="AU65" s="95">
        <f t="shared" ref="AU65" si="30">+AS65-AT65</f>
        <v>0</v>
      </c>
      <c r="AV65" s="91"/>
      <c r="AW65" s="93"/>
      <c r="AX65" s="91"/>
      <c r="AY65" s="94">
        <f t="shared" ref="AY65" si="31">+IFERROR(AZ65/$I65,"-")</f>
        <v>0</v>
      </c>
      <c r="AZ65" s="92">
        <f>SUM(AZ61:AZ64)</f>
        <v>0</v>
      </c>
      <c r="BA65" s="92">
        <f>SUM(BA61:BA64)</f>
        <v>0</v>
      </c>
      <c r="BB65" s="95">
        <f t="shared" ref="BB65" si="32">+AZ65-BA65</f>
        <v>0</v>
      </c>
      <c r="BC65" s="91"/>
      <c r="BD65" s="93"/>
      <c r="BE65" s="91"/>
      <c r="BF65" s="94">
        <f t="shared" ref="BF65" si="33">+IFERROR(BG65/$I65,"-")</f>
        <v>0.25507246376811593</v>
      </c>
      <c r="BG65" s="92">
        <f>SUM(BG61:BG64)</f>
        <v>61468000</v>
      </c>
      <c r="BH65" s="92">
        <f>SUM(BH61:BH64)</f>
        <v>0</v>
      </c>
      <c r="BI65" s="95">
        <f t="shared" ref="BI65" si="34">+BG65-BH65</f>
        <v>61468000</v>
      </c>
      <c r="BJ65" s="91"/>
      <c r="BK65" s="93"/>
      <c r="BL65" s="91"/>
      <c r="BM65" s="94">
        <f t="shared" si="1"/>
        <v>0.19130434782608696</v>
      </c>
      <c r="BN65" s="92">
        <f>SUM(BN61:BN64)</f>
        <v>46101000</v>
      </c>
      <c r="BO65" s="92">
        <f>SUM(BO61:BO64)</f>
        <v>0</v>
      </c>
      <c r="BP65" s="95">
        <f t="shared" si="2"/>
        <v>46101000</v>
      </c>
      <c r="BQ65" s="91"/>
      <c r="BR65" s="88"/>
      <c r="BS65" s="96"/>
      <c r="BT65" s="97"/>
      <c r="BU65" s="97"/>
      <c r="BV65" s="54"/>
      <c r="BW65" s="54"/>
      <c r="BX65" s="54"/>
      <c r="BY65" s="54"/>
      <c r="BZ65" s="54"/>
      <c r="CA65" s="54"/>
      <c r="CB65" s="54"/>
      <c r="CC65" s="54"/>
      <c r="CD65" s="58"/>
      <c r="CE65" s="58"/>
    </row>
    <row r="66" spans="1:83" ht="16.5" customHeight="1">
      <c r="A66" s="62"/>
      <c r="B66" s="1322">
        <f t="shared" ref="B66" si="35">+B61+1</f>
        <v>12</v>
      </c>
      <c r="C66" s="1330" t="s">
        <v>404</v>
      </c>
      <c r="D66" s="1329">
        <v>161</v>
      </c>
      <c r="E66" s="1324" t="s">
        <v>387</v>
      </c>
      <c r="F66" s="63" t="s">
        <v>388</v>
      </c>
      <c r="G66" s="76">
        <f>+지급비율!F46*$D$66/1000</f>
        <v>177100000</v>
      </c>
      <c r="H66" s="64">
        <f>+G66*10%</f>
        <v>17710000</v>
      </c>
      <c r="I66" s="64">
        <f t="shared" ref="I66:I68" si="36">SUM(G66:H66)</f>
        <v>194810000</v>
      </c>
      <c r="J66" s="65">
        <f t="shared" si="0"/>
        <v>0</v>
      </c>
      <c r="K66" s="70">
        <f t="shared" ref="K66:K69" si="37">+IFERROR(R66+Y66+AF66+AT66+BA66+BH66+BO66,"-")</f>
        <v>0</v>
      </c>
      <c r="L66" s="70">
        <f>+I66-K66</f>
        <v>194810000</v>
      </c>
      <c r="M66" s="1331" t="s">
        <v>403</v>
      </c>
      <c r="N66" s="67"/>
      <c r="O66" s="72"/>
      <c r="P66" s="69"/>
      <c r="Q66" s="70">
        <f>+$I66*지급비율!G$46</f>
        <v>0</v>
      </c>
      <c r="R66" s="70"/>
      <c r="S66" s="70">
        <f>+Q66-R66</f>
        <v>0</v>
      </c>
      <c r="T66" s="81"/>
      <c r="U66" s="67"/>
      <c r="V66" s="68"/>
      <c r="W66" s="69"/>
      <c r="X66" s="70">
        <f>+$I66*지급비율!N$46</f>
        <v>0</v>
      </c>
      <c r="Y66" s="70"/>
      <c r="Z66" s="70">
        <f>+X66-Y66</f>
        <v>0</v>
      </c>
      <c r="AA66" s="71"/>
      <c r="AB66" s="67">
        <f>+EDATE(AI66,0)</f>
        <v>46019</v>
      </c>
      <c r="AC66" s="68"/>
      <c r="AD66" s="69">
        <f>+IFERROR(AE66/$I66,"-")</f>
        <v>0.5</v>
      </c>
      <c r="AE66" s="70">
        <f>+$I66*지급비율!U$46</f>
        <v>97405000</v>
      </c>
      <c r="AF66" s="70"/>
      <c r="AG66" s="70">
        <f>+AE66-AF66</f>
        <v>97405000</v>
      </c>
      <c r="AH66" s="71"/>
      <c r="AI66" s="67">
        <f>+EDATE(AP66,-1)</f>
        <v>46019</v>
      </c>
      <c r="AJ66" s="68"/>
      <c r="AK66" s="69">
        <f>+IFERROR(AL66/$I66,"-")</f>
        <v>0</v>
      </c>
      <c r="AL66" s="70">
        <f>+$I66*지급비율!AB$46</f>
        <v>0</v>
      </c>
      <c r="AM66" s="70"/>
      <c r="AN66" s="70">
        <f>+AL66-AM66</f>
        <v>0</v>
      </c>
      <c r="AO66" s="71"/>
      <c r="AP66" s="67">
        <f>+EDATE(AW66,-1)</f>
        <v>46050</v>
      </c>
      <c r="AQ66" s="68"/>
      <c r="AR66" s="69">
        <f>+IFERROR(AS66/$I66,"-")</f>
        <v>0</v>
      </c>
      <c r="AS66" s="70">
        <f>+$I66*지급비율!AI$46</f>
        <v>0</v>
      </c>
      <c r="AT66" s="70"/>
      <c r="AU66" s="70">
        <f>+AS66-AT66</f>
        <v>0</v>
      </c>
      <c r="AV66" s="71"/>
      <c r="AW66" s="67">
        <f>+EDATE(BD66,-1)</f>
        <v>46081</v>
      </c>
      <c r="AX66" s="68"/>
      <c r="AY66" s="69">
        <f>+IFERROR(AZ66/$I66,"-")</f>
        <v>0</v>
      </c>
      <c r="AZ66" s="70">
        <f>+$I66*지급비율!AP$46</f>
        <v>0</v>
      </c>
      <c r="BA66" s="70"/>
      <c r="BB66" s="70">
        <f>+AZ66-BA66</f>
        <v>0</v>
      </c>
      <c r="BC66" s="71"/>
      <c r="BD66" s="67">
        <f>+EDATE(BK66,-1)</f>
        <v>46111</v>
      </c>
      <c r="BE66" s="68"/>
      <c r="BF66" s="69">
        <f>+IFERROR(BG66/$I66,"-")</f>
        <v>0.4</v>
      </c>
      <c r="BG66" s="70">
        <f>+$I66*지급비율!AW$46</f>
        <v>77924000</v>
      </c>
      <c r="BH66" s="70"/>
      <c r="BI66" s="70">
        <f>+BG66-BH66</f>
        <v>77924000</v>
      </c>
      <c r="BJ66" s="71"/>
      <c r="BK66" s="78">
        <v>46142</v>
      </c>
      <c r="BL66" s="68"/>
      <c r="BM66" s="69">
        <f>+IFERROR(BN66/$I66,"-")</f>
        <v>0.1</v>
      </c>
      <c r="BN66" s="70">
        <f>+$I66*지급비율!BD$46</f>
        <v>19481000</v>
      </c>
      <c r="BO66" s="70"/>
      <c r="BP66" s="70">
        <f>+BN66-BO66</f>
        <v>19481000</v>
      </c>
      <c r="BQ66" s="71"/>
      <c r="BR66" s="73"/>
      <c r="BS66" s="74" t="b">
        <f>+Q66+X66+AE66+AS66+AZ66+BG66+BN66=I66</f>
        <v>1</v>
      </c>
      <c r="BT66" s="74" t="b">
        <f>+R66+Y66+AF66+AT66+BA66+BH66+BO66=K66</f>
        <v>1</v>
      </c>
      <c r="BU66" s="74"/>
      <c r="BV66" s="54"/>
      <c r="BW66" s="54"/>
      <c r="BX66" s="54"/>
      <c r="BY66" s="54"/>
      <c r="BZ66" s="54"/>
      <c r="CA66" s="54"/>
      <c r="CB66" s="54"/>
      <c r="CC66" s="54"/>
      <c r="CD66" s="58"/>
      <c r="CE66" s="58"/>
    </row>
    <row r="67" spans="1:83" ht="16.5" customHeight="1">
      <c r="A67" s="62"/>
      <c r="B67" s="1322"/>
      <c r="C67" s="1330"/>
      <c r="D67" s="1329"/>
      <c r="E67" s="1324"/>
      <c r="F67" s="75" t="s">
        <v>389</v>
      </c>
      <c r="G67" s="76">
        <f>+지급비율!F47*$D$66/1000</f>
        <v>48300000</v>
      </c>
      <c r="H67" s="76">
        <f>+G67*10%</f>
        <v>4830000</v>
      </c>
      <c r="I67" s="76">
        <f t="shared" si="36"/>
        <v>53130000</v>
      </c>
      <c r="J67" s="75">
        <f t="shared" si="0"/>
        <v>0.3</v>
      </c>
      <c r="K67" s="80">
        <f t="shared" si="37"/>
        <v>15939000</v>
      </c>
      <c r="L67" s="80">
        <f t="shared" ref="L67:L69" si="38">+I67-K67</f>
        <v>37191000</v>
      </c>
      <c r="M67" s="1332"/>
      <c r="N67" s="78">
        <v>45930</v>
      </c>
      <c r="O67" s="78">
        <v>45922</v>
      </c>
      <c r="P67" s="79">
        <f t="shared" ref="P67:P68" si="39">+IFERROR(Q67/$I67,"-")</f>
        <v>0.3</v>
      </c>
      <c r="Q67" s="70">
        <f>+$I67*지급비율!G$47</f>
        <v>15939000</v>
      </c>
      <c r="R67" s="80">
        <f>+Q67</f>
        <v>15939000</v>
      </c>
      <c r="S67" s="80">
        <f t="shared" ref="S67:S68" si="40">+Q67-R67</f>
        <v>0</v>
      </c>
      <c r="T67" s="81"/>
      <c r="U67" s="284">
        <v>45961</v>
      </c>
      <c r="V67" s="284"/>
      <c r="W67" s="286">
        <f t="shared" ref="W67:W68" si="41">+IFERROR(X67/$I67,"-")</f>
        <v>0.1</v>
      </c>
      <c r="X67" s="290">
        <f>+$I67*지급비율!N$47</f>
        <v>5313000</v>
      </c>
      <c r="Y67" s="290"/>
      <c r="Z67" s="290">
        <f t="shared" ref="Z67:Z68" si="42">+X67-Y67</f>
        <v>5313000</v>
      </c>
      <c r="AA67" s="288"/>
      <c r="AB67" s="78">
        <v>45991</v>
      </c>
      <c r="AC67" s="78"/>
      <c r="AD67" s="79">
        <f t="shared" ref="AD67:AD68" si="43">+IFERROR(AE67/$I67,"-")</f>
        <v>0.5</v>
      </c>
      <c r="AE67" s="70">
        <f>+$I67*지급비율!U$47</f>
        <v>26565000</v>
      </c>
      <c r="AF67" s="80"/>
      <c r="AG67" s="80">
        <f t="shared" ref="AG67:AG68" si="44">+AE67-AF67</f>
        <v>26565000</v>
      </c>
      <c r="AH67" s="81"/>
      <c r="AI67" s="78"/>
      <c r="AJ67" s="78"/>
      <c r="AK67" s="79">
        <f t="shared" ref="AK67:AK68" si="45">+IFERROR(AL67/$I67,"-")</f>
        <v>0</v>
      </c>
      <c r="AL67" s="70">
        <f>+$I67*지급비율!AB$47</f>
        <v>0</v>
      </c>
      <c r="AM67" s="80"/>
      <c r="AN67" s="80">
        <f t="shared" ref="AN67:AN68" si="46">+AL67-AM67</f>
        <v>0</v>
      </c>
      <c r="AO67" s="81"/>
      <c r="AP67" s="78"/>
      <c r="AQ67" s="78"/>
      <c r="AR67" s="79"/>
      <c r="AS67" s="70">
        <f>+$I67*지급비율!AI$47</f>
        <v>0</v>
      </c>
      <c r="AT67" s="80"/>
      <c r="AU67" s="80">
        <f t="shared" ref="AU67:AU68" si="47">+AS67-AT67</f>
        <v>0</v>
      </c>
      <c r="AV67" s="81"/>
      <c r="AW67" s="78"/>
      <c r="AX67" s="78"/>
      <c r="AY67" s="79"/>
      <c r="AZ67" s="70">
        <f>+$I67*지급비율!AP$47</f>
        <v>0</v>
      </c>
      <c r="BA67" s="80"/>
      <c r="BB67" s="80">
        <f t="shared" ref="BB67:BB68" si="48">+AZ67-BA67</f>
        <v>0</v>
      </c>
      <c r="BC67" s="81"/>
      <c r="BD67" s="78"/>
      <c r="BE67" s="78"/>
      <c r="BF67" s="79"/>
      <c r="BG67" s="70">
        <f>+$I67*지급비율!AW$47</f>
        <v>0</v>
      </c>
      <c r="BH67" s="80"/>
      <c r="BI67" s="80">
        <f t="shared" ref="BI67:BI68" si="49">+BG67-BH67</f>
        <v>0</v>
      </c>
      <c r="BJ67" s="81"/>
      <c r="BK67" s="78">
        <v>46142</v>
      </c>
      <c r="BL67" s="78"/>
      <c r="BM67" s="79">
        <f t="shared" ref="BM67:BM70" si="50">+IFERROR(BN67/$I67,"-")</f>
        <v>0.1</v>
      </c>
      <c r="BN67" s="70">
        <f>+$I67*지급비율!BD$47</f>
        <v>5313000</v>
      </c>
      <c r="BO67" s="80"/>
      <c r="BP67" s="80">
        <f t="shared" ref="BP67:BP70" si="51">+BN67-BO67</f>
        <v>5313000</v>
      </c>
      <c r="BQ67" s="81"/>
      <c r="BR67" s="73"/>
      <c r="BS67" s="74" t="b">
        <f t="shared" ref="BS67:BS68" si="52">+Q67+X67+AE67+AS67+AZ67+BG67+BN67=I67</f>
        <v>1</v>
      </c>
      <c r="BT67" s="74" t="b">
        <f t="shared" ref="BT67:BT69" si="53">+R67+Y67+AF67+AT67+BA67+BH67+BO67=K67</f>
        <v>1</v>
      </c>
      <c r="BU67" s="74" t="b">
        <f>+BG67+BG68+AZ67+AZ68+AS67+AS68+AE67+AE68+X67+X68+Q67+Q68+BN67+BN68=([5]지급비율!$F$39+[5]지급비율!$F$40)*1.1*D66/1000</f>
        <v>1</v>
      </c>
      <c r="BV67" s="54"/>
      <c r="BW67" s="54"/>
      <c r="BX67" s="54"/>
      <c r="BY67" s="54"/>
      <c r="BZ67" s="54"/>
      <c r="CA67" s="54"/>
      <c r="CB67" s="54"/>
      <c r="CC67" s="54"/>
      <c r="CD67" s="58"/>
      <c r="CE67" s="58"/>
    </row>
    <row r="68" spans="1:83" ht="16.5" customHeight="1">
      <c r="A68" s="62"/>
      <c r="B68" s="1322"/>
      <c r="C68" s="1330"/>
      <c r="D68" s="1329"/>
      <c r="E68" s="1324"/>
      <c r="F68" s="75" t="s">
        <v>390</v>
      </c>
      <c r="G68" s="76">
        <f>+지급비율!F48*$D$66/1000</f>
        <v>24150000</v>
      </c>
      <c r="H68" s="76">
        <f t="shared" ref="H68" si="54">+G68*10%</f>
        <v>2415000</v>
      </c>
      <c r="I68" s="76">
        <f t="shared" si="36"/>
        <v>26565000</v>
      </c>
      <c r="J68" s="75">
        <f t="shared" si="0"/>
        <v>0.3</v>
      </c>
      <c r="K68" s="80">
        <f t="shared" si="37"/>
        <v>7969500</v>
      </c>
      <c r="L68" s="80">
        <f t="shared" si="38"/>
        <v>18595500</v>
      </c>
      <c r="M68" s="1332"/>
      <c r="N68" s="78">
        <v>45930</v>
      </c>
      <c r="O68" s="78">
        <v>45922</v>
      </c>
      <c r="P68" s="79">
        <f t="shared" si="39"/>
        <v>0.3</v>
      </c>
      <c r="Q68" s="70">
        <f>+$I68*지급비율!G$48</f>
        <v>7969500</v>
      </c>
      <c r="R68" s="80">
        <f>+Q68</f>
        <v>7969500</v>
      </c>
      <c r="S68" s="80">
        <f t="shared" si="40"/>
        <v>0</v>
      </c>
      <c r="T68" s="81"/>
      <c r="U68" s="284">
        <v>45961</v>
      </c>
      <c r="V68" s="285"/>
      <c r="W68" s="286">
        <f t="shared" si="41"/>
        <v>0.1</v>
      </c>
      <c r="X68" s="290">
        <f>+$I68*지급비율!N$48</f>
        <v>2656500</v>
      </c>
      <c r="Y68" s="290"/>
      <c r="Z68" s="290">
        <f t="shared" si="42"/>
        <v>2656500</v>
      </c>
      <c r="AA68" s="288"/>
      <c r="AB68" s="78">
        <v>45991</v>
      </c>
      <c r="AC68" s="72"/>
      <c r="AD68" s="79">
        <f t="shared" si="43"/>
        <v>0.5</v>
      </c>
      <c r="AE68" s="70">
        <f>+$I68*지급비율!U$48</f>
        <v>13282500</v>
      </c>
      <c r="AF68" s="80"/>
      <c r="AG68" s="80">
        <f t="shared" si="44"/>
        <v>13282500</v>
      </c>
      <c r="AH68" s="81"/>
      <c r="AI68" s="72"/>
      <c r="AJ68" s="72"/>
      <c r="AK68" s="79">
        <f t="shared" si="45"/>
        <v>0</v>
      </c>
      <c r="AL68" s="70">
        <f>+$I68*지급비율!AB$48</f>
        <v>0</v>
      </c>
      <c r="AM68" s="80"/>
      <c r="AN68" s="80">
        <f t="shared" si="46"/>
        <v>0</v>
      </c>
      <c r="AO68" s="81"/>
      <c r="AP68" s="72"/>
      <c r="AQ68" s="72"/>
      <c r="AR68" s="79"/>
      <c r="AS68" s="70">
        <f>+$I68*지급비율!AI$48</f>
        <v>0</v>
      </c>
      <c r="AT68" s="80"/>
      <c r="AU68" s="80">
        <f t="shared" si="47"/>
        <v>0</v>
      </c>
      <c r="AV68" s="81"/>
      <c r="AW68" s="72"/>
      <c r="AX68" s="72"/>
      <c r="AY68" s="79"/>
      <c r="AZ68" s="70">
        <f>+$I68*지급비율!AP$48</f>
        <v>0</v>
      </c>
      <c r="BA68" s="80"/>
      <c r="BB68" s="80">
        <f t="shared" si="48"/>
        <v>0</v>
      </c>
      <c r="BC68" s="81"/>
      <c r="BD68" s="72"/>
      <c r="BE68" s="72"/>
      <c r="BF68" s="79"/>
      <c r="BG68" s="70">
        <f>+$I68*지급비율!AW$48</f>
        <v>0</v>
      </c>
      <c r="BH68" s="80"/>
      <c r="BI68" s="80">
        <f t="shared" si="49"/>
        <v>0</v>
      </c>
      <c r="BJ68" s="81"/>
      <c r="BK68" s="78">
        <v>46142</v>
      </c>
      <c r="BL68" s="72"/>
      <c r="BM68" s="79">
        <f t="shared" si="50"/>
        <v>0.1</v>
      </c>
      <c r="BN68" s="70">
        <f>+$I68*지급비율!BD$48</f>
        <v>2656500</v>
      </c>
      <c r="BO68" s="80"/>
      <c r="BP68" s="80">
        <f t="shared" si="51"/>
        <v>2656500</v>
      </c>
      <c r="BQ68" s="81"/>
      <c r="BR68" s="73"/>
      <c r="BS68" s="74" t="b">
        <f t="shared" si="52"/>
        <v>1</v>
      </c>
      <c r="BT68" s="74" t="b">
        <f t="shared" si="53"/>
        <v>1</v>
      </c>
      <c r="BU68" s="74"/>
      <c r="BV68" s="54"/>
      <c r="BW68" s="54"/>
      <c r="BX68" s="54"/>
      <c r="BY68" s="54"/>
      <c r="BZ68" s="54"/>
      <c r="CA68" s="54"/>
      <c r="CB68" s="54"/>
      <c r="CC68" s="54"/>
      <c r="CD68" s="58"/>
      <c r="CE68" s="58"/>
    </row>
    <row r="69" spans="1:83" ht="16.5" customHeight="1">
      <c r="A69" s="62"/>
      <c r="B69" s="1322"/>
      <c r="C69" s="1330"/>
      <c r="D69" s="1329"/>
      <c r="E69" s="1324"/>
      <c r="F69" s="101" t="s">
        <v>391</v>
      </c>
      <c r="G69" s="102">
        <f>+지급비율!F49*$D$66/1000</f>
        <v>32200000</v>
      </c>
      <c r="H69" s="102">
        <f>+G69*0.1</f>
        <v>3220000</v>
      </c>
      <c r="I69" s="102">
        <f>SUM(G69:H69)</f>
        <v>35420000</v>
      </c>
      <c r="J69" s="101">
        <f t="shared" si="0"/>
        <v>0</v>
      </c>
      <c r="K69" s="106">
        <f t="shared" si="37"/>
        <v>0</v>
      </c>
      <c r="L69" s="106">
        <f t="shared" si="38"/>
        <v>35420000</v>
      </c>
      <c r="M69" s="1333"/>
      <c r="N69" s="85"/>
      <c r="O69" s="83"/>
      <c r="P69" s="86"/>
      <c r="Q69" s="70">
        <f>+$I69*지급비율!G$49</f>
        <v>0</v>
      </c>
      <c r="R69" s="87"/>
      <c r="S69" s="87"/>
      <c r="T69" s="83"/>
      <c r="U69" s="85"/>
      <c r="V69" s="83"/>
      <c r="W69" s="86"/>
      <c r="X69" s="87">
        <f>+$I69*지급비율!N$49</f>
        <v>0</v>
      </c>
      <c r="Y69" s="87"/>
      <c r="Z69" s="87"/>
      <c r="AA69" s="83"/>
      <c r="AB69" s="85"/>
      <c r="AC69" s="83"/>
      <c r="AD69" s="86"/>
      <c r="AE69" s="70">
        <f>+$I69*지급비율!U$49</f>
        <v>0</v>
      </c>
      <c r="AF69" s="87"/>
      <c r="AG69" s="87"/>
      <c r="AH69" s="83"/>
      <c r="AI69" s="85"/>
      <c r="AJ69" s="83"/>
      <c r="AK69" s="86"/>
      <c r="AL69" s="70">
        <f>+$I69*지급비율!AB$49</f>
        <v>0</v>
      </c>
      <c r="AM69" s="87"/>
      <c r="AN69" s="87"/>
      <c r="AO69" s="83"/>
      <c r="AP69" s="85"/>
      <c r="AQ69" s="83"/>
      <c r="AR69" s="86"/>
      <c r="AS69" s="70">
        <f>+$I69*지급비율!AI$49</f>
        <v>0</v>
      </c>
      <c r="AT69" s="87"/>
      <c r="AU69" s="87"/>
      <c r="AV69" s="83"/>
      <c r="AW69" s="85"/>
      <c r="AX69" s="83"/>
      <c r="AY69" s="86"/>
      <c r="AZ69" s="70">
        <f>+$I69*지급비율!AP$49</f>
        <v>0</v>
      </c>
      <c r="BA69" s="87"/>
      <c r="BB69" s="87"/>
      <c r="BC69" s="83"/>
      <c r="BD69" s="85"/>
      <c r="BE69" s="83"/>
      <c r="BF69" s="86"/>
      <c r="BG69" s="70">
        <f>+$I69*지급비율!AW$49</f>
        <v>0</v>
      </c>
      <c r="BH69" s="87"/>
      <c r="BI69" s="87"/>
      <c r="BJ69" s="83"/>
      <c r="BK69" s="78">
        <v>46142</v>
      </c>
      <c r="BL69" s="101"/>
      <c r="BM69" s="105">
        <f t="shared" si="50"/>
        <v>1</v>
      </c>
      <c r="BN69" s="70">
        <f>+$I69*지급비율!BD$49</f>
        <v>35420000</v>
      </c>
      <c r="BO69" s="106"/>
      <c r="BP69" s="106">
        <f t="shared" si="51"/>
        <v>35420000</v>
      </c>
      <c r="BQ69" s="101"/>
      <c r="BR69" s="88"/>
      <c r="BS69" s="89" t="b">
        <f>+Q69+X69+AE69+AS69+AZ69+BG69+BN69=I69</f>
        <v>1</v>
      </c>
      <c r="BT69" s="90" t="b">
        <f t="shared" si="53"/>
        <v>1</v>
      </c>
      <c r="BU69" s="90"/>
      <c r="BV69" s="54"/>
      <c r="BW69" s="54"/>
      <c r="BX69" s="54"/>
      <c r="BY69" s="54"/>
      <c r="BZ69" s="54"/>
      <c r="CA69" s="54"/>
      <c r="CB69" s="54"/>
      <c r="CC69" s="54"/>
      <c r="CD69" s="58"/>
      <c r="CE69" s="58"/>
    </row>
    <row r="70" spans="1:83" ht="16.5" customHeight="1">
      <c r="A70" s="62"/>
      <c r="B70" s="1322"/>
      <c r="C70" s="1330"/>
      <c r="D70" s="1329"/>
      <c r="E70" s="1324"/>
      <c r="F70" s="91" t="s">
        <v>392</v>
      </c>
      <c r="G70" s="92">
        <f>SUM(G66:G69)</f>
        <v>281750000</v>
      </c>
      <c r="H70" s="92">
        <f>SUM(H66:H69)</f>
        <v>28175000</v>
      </c>
      <c r="I70" s="92">
        <f>SUM(I66:I69)</f>
        <v>309925000</v>
      </c>
      <c r="J70" s="91">
        <f t="shared" si="0"/>
        <v>7.7142857142857138E-2</v>
      </c>
      <c r="K70" s="92">
        <f>SUM(K66:K69)</f>
        <v>23908500</v>
      </c>
      <c r="L70" s="92">
        <f>SUM(L66:L69)</f>
        <v>286016500</v>
      </c>
      <c r="M70" s="419">
        <f>+Q67+Q68+X67+X68</f>
        <v>31878000</v>
      </c>
      <c r="N70" s="93"/>
      <c r="O70" s="91"/>
      <c r="P70" s="94">
        <f t="shared" ref="P70" si="55">+IFERROR(Q70/$I70,"-")</f>
        <v>7.7142857142857138E-2</v>
      </c>
      <c r="Q70" s="92">
        <f>SUM(Q66:Q69)</f>
        <v>23908500</v>
      </c>
      <c r="R70" s="170">
        <f>SUM(R66:R69)</f>
        <v>23908500</v>
      </c>
      <c r="S70" s="95">
        <f t="shared" ref="S70" si="56">+Q70-R70</f>
        <v>0</v>
      </c>
      <c r="T70" s="91"/>
      <c r="U70" s="93"/>
      <c r="V70" s="91"/>
      <c r="W70" s="94">
        <f t="shared" ref="W70" si="57">+IFERROR(X70/$I70,"-")</f>
        <v>2.5714285714285714E-2</v>
      </c>
      <c r="X70" s="92">
        <f>SUM(X66:X69)</f>
        <v>7969500</v>
      </c>
      <c r="Y70" s="92">
        <f>SUM(Y66:Y69)</f>
        <v>0</v>
      </c>
      <c r="Z70" s="95">
        <f t="shared" ref="Z70" si="58">+X70-Y70</f>
        <v>7969500</v>
      </c>
      <c r="AA70" s="91"/>
      <c r="AB70" s="93"/>
      <c r="AC70" s="91"/>
      <c r="AD70" s="94">
        <f t="shared" ref="AD70" si="59">+IFERROR(AE70/$I70,"-")</f>
        <v>0.44285714285714284</v>
      </c>
      <c r="AE70" s="92">
        <f>SUM(AE66:AE69)</f>
        <v>137252500</v>
      </c>
      <c r="AF70" s="92">
        <f>SUM(AF66:AF69)</f>
        <v>0</v>
      </c>
      <c r="AG70" s="95">
        <f t="shared" ref="AG70" si="60">+AE70-AF70</f>
        <v>137252500</v>
      </c>
      <c r="AH70" s="91"/>
      <c r="AI70" s="93"/>
      <c r="AJ70" s="91"/>
      <c r="AK70" s="94">
        <f t="shared" ref="AK70" si="61">+IFERROR(AL70/$I70,"-")</f>
        <v>0</v>
      </c>
      <c r="AL70" s="92">
        <f>SUM(AL66:AL69)</f>
        <v>0</v>
      </c>
      <c r="AM70" s="92">
        <f>SUM(AM66:AM69)</f>
        <v>0</v>
      </c>
      <c r="AN70" s="95">
        <f t="shared" ref="AN70" si="62">+AL70-AM70</f>
        <v>0</v>
      </c>
      <c r="AO70" s="91"/>
      <c r="AP70" s="93"/>
      <c r="AQ70" s="91"/>
      <c r="AR70" s="94">
        <f t="shared" ref="AR70" si="63">+IFERROR(AS70/$I70,"-")</f>
        <v>0</v>
      </c>
      <c r="AS70" s="92">
        <f>SUM(AS66:AS69)</f>
        <v>0</v>
      </c>
      <c r="AT70" s="92">
        <f>SUM(AT66:AT69)</f>
        <v>0</v>
      </c>
      <c r="AU70" s="95">
        <f t="shared" ref="AU70" si="64">+AS70-AT70</f>
        <v>0</v>
      </c>
      <c r="AV70" s="91"/>
      <c r="AW70" s="93"/>
      <c r="AX70" s="91"/>
      <c r="AY70" s="94">
        <f t="shared" ref="AY70" si="65">+IFERROR(AZ70/$I70,"-")</f>
        <v>0</v>
      </c>
      <c r="AZ70" s="92">
        <f>SUM(AZ66:AZ69)</f>
        <v>0</v>
      </c>
      <c r="BA70" s="92">
        <f>SUM(BA66:BA69)</f>
        <v>0</v>
      </c>
      <c r="BB70" s="95">
        <f t="shared" ref="BB70" si="66">+AZ70-BA70</f>
        <v>0</v>
      </c>
      <c r="BC70" s="91"/>
      <c r="BD70" s="93"/>
      <c r="BE70" s="91"/>
      <c r="BF70" s="94">
        <f t="shared" ref="BF70" si="67">+IFERROR(BG70/$I70,"-")</f>
        <v>0.25142857142857145</v>
      </c>
      <c r="BG70" s="92">
        <f>SUM(BG66:BG69)</f>
        <v>77924000</v>
      </c>
      <c r="BH70" s="92">
        <f>SUM(BH66:BH69)</f>
        <v>0</v>
      </c>
      <c r="BI70" s="95">
        <f t="shared" ref="BI70" si="68">+BG70-BH70</f>
        <v>77924000</v>
      </c>
      <c r="BJ70" s="91"/>
      <c r="BK70" s="93"/>
      <c r="BL70" s="91"/>
      <c r="BM70" s="94">
        <f t="shared" si="50"/>
        <v>0.20285714285714285</v>
      </c>
      <c r="BN70" s="92">
        <f>SUM(BN66:BN69)</f>
        <v>62870500</v>
      </c>
      <c r="BO70" s="92">
        <f>SUM(BO66:BO69)</f>
        <v>0</v>
      </c>
      <c r="BP70" s="95">
        <f t="shared" si="51"/>
        <v>62870500</v>
      </c>
      <c r="BQ70" s="91"/>
      <c r="BR70" s="88"/>
      <c r="BS70" s="96"/>
      <c r="BT70" s="97"/>
      <c r="BU70" s="97"/>
      <c r="BV70" s="54"/>
      <c r="BW70" s="54"/>
      <c r="BX70" s="54"/>
      <c r="BY70" s="54"/>
      <c r="BZ70" s="54"/>
      <c r="CA70" s="54"/>
      <c r="CB70" s="54"/>
      <c r="CC70" s="54"/>
      <c r="CD70" s="58"/>
      <c r="CE70" s="58"/>
    </row>
    <row r="71" spans="1:83" ht="16.5" customHeight="1">
      <c r="A71" s="62"/>
      <c r="B71" s="1322">
        <f>+B66+1</f>
        <v>13</v>
      </c>
      <c r="C71" s="1330" t="s">
        <v>405</v>
      </c>
      <c r="D71" s="1329">
        <v>269</v>
      </c>
      <c r="E71" s="1324" t="s">
        <v>387</v>
      </c>
      <c r="F71" s="63" t="s">
        <v>388</v>
      </c>
      <c r="G71" s="64">
        <f>+지급비율!F67*$D$71/1000</f>
        <v>295900000</v>
      </c>
      <c r="H71" s="64">
        <f>+G71*10%</f>
        <v>29590000</v>
      </c>
      <c r="I71" s="64">
        <f t="shared" ref="I71:I73" si="69">SUM(G71:H71)</f>
        <v>325490000</v>
      </c>
      <c r="J71" s="65">
        <f t="shared" si="0"/>
        <v>0</v>
      </c>
      <c r="K71" s="70">
        <f t="shared" ref="K71:K74" si="70">+IFERROR(R71+Y71+AF71+AT71+BA71+BH71+BO71,"-")</f>
        <v>0</v>
      </c>
      <c r="L71" s="70">
        <f>+I71-K71</f>
        <v>325490000</v>
      </c>
      <c r="M71" s="1331" t="s">
        <v>403</v>
      </c>
      <c r="N71" s="67"/>
      <c r="O71" s="72"/>
      <c r="P71" s="69"/>
      <c r="Q71" s="70">
        <f>+$I71*지급비율!G$67</f>
        <v>0</v>
      </c>
      <c r="R71" s="70"/>
      <c r="S71" s="70">
        <f>+Q71-R71</f>
        <v>0</v>
      </c>
      <c r="T71" s="81"/>
      <c r="U71" s="67"/>
      <c r="V71" s="68"/>
      <c r="W71" s="69"/>
      <c r="X71" s="70">
        <f>+$I71*지급비율!N$67</f>
        <v>0</v>
      </c>
      <c r="Y71" s="70"/>
      <c r="Z71" s="70">
        <f>+X71-Y71</f>
        <v>0</v>
      </c>
      <c r="AA71" s="71"/>
      <c r="AB71" s="67">
        <f>+EDATE(AI71,0)</f>
        <v>46019</v>
      </c>
      <c r="AC71" s="68"/>
      <c r="AD71" s="69">
        <f>+IFERROR(AE71/$I71,"-")</f>
        <v>0.5</v>
      </c>
      <c r="AE71" s="70">
        <f>+$I71*지급비율!U$67</f>
        <v>162745000</v>
      </c>
      <c r="AF71" s="70"/>
      <c r="AG71" s="70">
        <f>+AE71-AF71</f>
        <v>162745000</v>
      </c>
      <c r="AH71" s="71"/>
      <c r="AI71" s="67">
        <f>+EDATE(AP71,-1)</f>
        <v>46019</v>
      </c>
      <c r="AJ71" s="68"/>
      <c r="AK71" s="69">
        <f>+IFERROR(AL71/$I71,"-")</f>
        <v>0</v>
      </c>
      <c r="AL71" s="70">
        <f>+$I71*지급비율!AB$67</f>
        <v>0</v>
      </c>
      <c r="AM71" s="70"/>
      <c r="AN71" s="70">
        <f>+AL71-AM71</f>
        <v>0</v>
      </c>
      <c r="AO71" s="71"/>
      <c r="AP71" s="67">
        <f>+EDATE(AW71,-1)</f>
        <v>46050</v>
      </c>
      <c r="AQ71" s="68"/>
      <c r="AR71" s="69">
        <f>+IFERROR(AS71/$I71,"-")</f>
        <v>0</v>
      </c>
      <c r="AS71" s="70">
        <f>+$I71*지급비율!AI$67</f>
        <v>0</v>
      </c>
      <c r="AT71" s="70"/>
      <c r="AU71" s="70">
        <f>+AS71-AT71</f>
        <v>0</v>
      </c>
      <c r="AV71" s="71"/>
      <c r="AW71" s="67">
        <f>+EDATE(BD71,-1)</f>
        <v>46081</v>
      </c>
      <c r="AX71" s="68"/>
      <c r="AY71" s="69">
        <f>+IFERROR(AZ71/$I71,"-")</f>
        <v>0</v>
      </c>
      <c r="AZ71" s="70">
        <f>+$I71*지급비율!AP$67</f>
        <v>0</v>
      </c>
      <c r="BA71" s="70"/>
      <c r="BB71" s="70">
        <f>+AZ71-BA71</f>
        <v>0</v>
      </c>
      <c r="BC71" s="71"/>
      <c r="BD71" s="67">
        <f>+EDATE(BK71,-1)</f>
        <v>46111</v>
      </c>
      <c r="BE71" s="68"/>
      <c r="BF71" s="69">
        <f>+IFERROR(BG71/$I71,"-")</f>
        <v>0.4</v>
      </c>
      <c r="BG71" s="70">
        <f>+$I71*지급비율!AW$67</f>
        <v>130196000</v>
      </c>
      <c r="BH71" s="70"/>
      <c r="BI71" s="70">
        <f>+BG71-BH71</f>
        <v>130196000</v>
      </c>
      <c r="BJ71" s="71"/>
      <c r="BK71" s="78">
        <v>46142</v>
      </c>
      <c r="BL71" s="68"/>
      <c r="BM71" s="69">
        <f>+IFERROR(BN71/$I71,"-")</f>
        <v>0.1</v>
      </c>
      <c r="BN71" s="70">
        <f>+$I71*지급비율!BD$67</f>
        <v>32549000</v>
      </c>
      <c r="BO71" s="70"/>
      <c r="BP71" s="70">
        <f>+BN71-BO71</f>
        <v>32549000</v>
      </c>
      <c r="BQ71" s="71"/>
      <c r="BR71" s="73"/>
      <c r="BS71" s="74" t="b">
        <f>+Q71+X71+AE71+AS71+AZ71+BG71+BN71=I71</f>
        <v>1</v>
      </c>
      <c r="BT71" s="74" t="b">
        <f>+R71+Y71+AF71+AT71+BA71+BH71+BO71=K71</f>
        <v>1</v>
      </c>
      <c r="BU71" s="74"/>
      <c r="BV71" s="54"/>
      <c r="BW71" s="54"/>
      <c r="BX71" s="54"/>
      <c r="BY71" s="54"/>
      <c r="BZ71" s="54"/>
      <c r="CA71" s="54"/>
      <c r="CB71" s="54"/>
      <c r="CC71" s="54"/>
      <c r="CD71" s="58"/>
      <c r="CE71" s="58"/>
    </row>
    <row r="72" spans="1:83" ht="16.5" customHeight="1">
      <c r="A72" s="62"/>
      <c r="B72" s="1322"/>
      <c r="C72" s="1330"/>
      <c r="D72" s="1329"/>
      <c r="E72" s="1324"/>
      <c r="F72" s="75" t="s">
        <v>389</v>
      </c>
      <c r="G72" s="76">
        <f>+지급비율!F68*$D$71/1000</f>
        <v>80700000</v>
      </c>
      <c r="H72" s="76">
        <f>+G72*10%</f>
        <v>8070000</v>
      </c>
      <c r="I72" s="76">
        <f t="shared" si="69"/>
        <v>88770000</v>
      </c>
      <c r="J72" s="75">
        <f t="shared" si="0"/>
        <v>0.3</v>
      </c>
      <c r="K72" s="80">
        <f t="shared" si="70"/>
        <v>26631000</v>
      </c>
      <c r="L72" s="80">
        <f t="shared" ref="L72:L74" si="71">+I72-K72</f>
        <v>62139000</v>
      </c>
      <c r="M72" s="1332"/>
      <c r="N72" s="78">
        <v>45930</v>
      </c>
      <c r="O72" s="78">
        <v>45922</v>
      </c>
      <c r="P72" s="79">
        <f t="shared" ref="P72:P73" si="72">+IFERROR(Q72/$I72,"-")</f>
        <v>0.3</v>
      </c>
      <c r="Q72" s="70">
        <f>+$I72*지급비율!G$68</f>
        <v>26631000</v>
      </c>
      <c r="R72" s="80">
        <v>26631000</v>
      </c>
      <c r="S72" s="80">
        <f t="shared" ref="S72:S73" si="73">+Q72-R72</f>
        <v>0</v>
      </c>
      <c r="T72" s="81"/>
      <c r="U72" s="284">
        <v>45961</v>
      </c>
      <c r="V72" s="284"/>
      <c r="W72" s="286">
        <f t="shared" ref="W72:W73" si="74">+IFERROR(X72/$I72,"-")</f>
        <v>0.1</v>
      </c>
      <c r="X72" s="290">
        <f>+$I72*지급비율!N$68</f>
        <v>8877000</v>
      </c>
      <c r="Y72" s="290"/>
      <c r="Z72" s="290">
        <f t="shared" ref="Z72:Z73" si="75">+X72-Y72</f>
        <v>8877000</v>
      </c>
      <c r="AA72" s="288"/>
      <c r="AB72" s="78">
        <v>45991</v>
      </c>
      <c r="AC72" s="78"/>
      <c r="AD72" s="79">
        <f t="shared" ref="AD72:AD73" si="76">+IFERROR(AE72/$I72,"-")</f>
        <v>0.5</v>
      </c>
      <c r="AE72" s="70">
        <f>+$I72*지급비율!U$68</f>
        <v>44385000</v>
      </c>
      <c r="AF72" s="80"/>
      <c r="AG72" s="80">
        <f t="shared" ref="AG72:AG73" si="77">+AE72-AF72</f>
        <v>44385000</v>
      </c>
      <c r="AH72" s="81"/>
      <c r="AI72" s="78"/>
      <c r="AJ72" s="78"/>
      <c r="AK72" s="79">
        <f t="shared" ref="AK72:AK73" si="78">+IFERROR(AL72/$I72,"-")</f>
        <v>0</v>
      </c>
      <c r="AL72" s="70">
        <f>+$I72*지급비율!AB$68</f>
        <v>0</v>
      </c>
      <c r="AM72" s="80"/>
      <c r="AN72" s="80">
        <f t="shared" ref="AN72:AN73" si="79">+AL72-AM72</f>
        <v>0</v>
      </c>
      <c r="AO72" s="81"/>
      <c r="AP72" s="78"/>
      <c r="AQ72" s="78"/>
      <c r="AR72" s="79"/>
      <c r="AS72" s="70">
        <f>+$I72*지급비율!AI$68</f>
        <v>0</v>
      </c>
      <c r="AT72" s="80"/>
      <c r="AU72" s="80">
        <f t="shared" ref="AU72:AU73" si="80">+AS72-AT72</f>
        <v>0</v>
      </c>
      <c r="AV72" s="81"/>
      <c r="AW72" s="78"/>
      <c r="AX72" s="78"/>
      <c r="AY72" s="79"/>
      <c r="AZ72" s="70">
        <f>+$I72*지급비율!AP$68</f>
        <v>0</v>
      </c>
      <c r="BA72" s="80"/>
      <c r="BB72" s="80">
        <f t="shared" ref="BB72:BB73" si="81">+AZ72-BA72</f>
        <v>0</v>
      </c>
      <c r="BC72" s="81"/>
      <c r="BD72" s="78"/>
      <c r="BE72" s="78"/>
      <c r="BF72" s="79"/>
      <c r="BG72" s="70">
        <f>+$I72*지급비율!AW$68</f>
        <v>0</v>
      </c>
      <c r="BH72" s="80"/>
      <c r="BI72" s="80">
        <f t="shared" ref="BI72:BI73" si="82">+BG72-BH72</f>
        <v>0</v>
      </c>
      <c r="BJ72" s="81"/>
      <c r="BK72" s="78">
        <v>46142</v>
      </c>
      <c r="BL72" s="78"/>
      <c r="BM72" s="79">
        <f t="shared" ref="BM72:BM75" si="83">+IFERROR(BN72/$I72,"-")</f>
        <v>0.1</v>
      </c>
      <c r="BN72" s="70">
        <f>+$I72*지급비율!BD$68</f>
        <v>8877000</v>
      </c>
      <c r="BO72" s="80"/>
      <c r="BP72" s="80">
        <f t="shared" ref="BP72:BP80" si="84">+BN72-BO72</f>
        <v>8877000</v>
      </c>
      <c r="BQ72" s="81"/>
      <c r="BR72" s="73"/>
      <c r="BS72" s="74" t="b">
        <f t="shared" ref="BS72:BS73" si="85">+Q72+X72+AE72+AS72+AZ72+BG72+BN72=I72</f>
        <v>1</v>
      </c>
      <c r="BT72" s="74" t="b">
        <f t="shared" ref="BT72:BT74" si="86">+R72+Y72+AF72+AT72+BA72+BH72+BO72=K72</f>
        <v>1</v>
      </c>
      <c r="BU72" s="74"/>
      <c r="BV72" s="54"/>
      <c r="BW72" s="54"/>
      <c r="BX72" s="54"/>
      <c r="BY72" s="54"/>
      <c r="BZ72" s="54"/>
      <c r="CA72" s="54"/>
      <c r="CB72" s="54"/>
      <c r="CC72" s="54"/>
      <c r="CD72" s="58"/>
      <c r="CE72" s="58"/>
    </row>
    <row r="73" spans="1:83" ht="16.5" customHeight="1">
      <c r="A73" s="62"/>
      <c r="B73" s="1322"/>
      <c r="C73" s="1330"/>
      <c r="D73" s="1329"/>
      <c r="E73" s="1324"/>
      <c r="F73" s="75" t="s">
        <v>390</v>
      </c>
      <c r="G73" s="76">
        <f>+지급비율!F69*$D$71/1000</f>
        <v>53800000</v>
      </c>
      <c r="H73" s="76">
        <f t="shared" ref="H73" si="87">+G73*10%</f>
        <v>5380000</v>
      </c>
      <c r="I73" s="76">
        <f t="shared" si="69"/>
        <v>59180000</v>
      </c>
      <c r="J73" s="75">
        <f t="shared" si="0"/>
        <v>0.3</v>
      </c>
      <c r="K73" s="80">
        <f t="shared" si="70"/>
        <v>17754000</v>
      </c>
      <c r="L73" s="80">
        <f t="shared" si="71"/>
        <v>41426000</v>
      </c>
      <c r="M73" s="1332"/>
      <c r="N73" s="78">
        <v>45930</v>
      </c>
      <c r="O73" s="78">
        <v>45922</v>
      </c>
      <c r="P73" s="79">
        <f t="shared" si="72"/>
        <v>0.3</v>
      </c>
      <c r="Q73" s="70">
        <f>+$I73*지급비율!G$69</f>
        <v>17754000</v>
      </c>
      <c r="R73" s="80">
        <v>17754000</v>
      </c>
      <c r="S73" s="80">
        <f t="shared" si="73"/>
        <v>0</v>
      </c>
      <c r="T73" s="81"/>
      <c r="U73" s="284">
        <v>45961</v>
      </c>
      <c r="V73" s="285"/>
      <c r="W73" s="286">
        <f t="shared" si="74"/>
        <v>0.1</v>
      </c>
      <c r="X73" s="290">
        <f>+$I73*지급비율!N$69</f>
        <v>5918000</v>
      </c>
      <c r="Y73" s="290"/>
      <c r="Z73" s="290">
        <f t="shared" si="75"/>
        <v>5918000</v>
      </c>
      <c r="AA73" s="288"/>
      <c r="AB73" s="78">
        <v>45991</v>
      </c>
      <c r="AC73" s="72"/>
      <c r="AD73" s="79">
        <f t="shared" si="76"/>
        <v>0.5</v>
      </c>
      <c r="AE73" s="70">
        <f>+$I73*지급비율!U$69</f>
        <v>29590000</v>
      </c>
      <c r="AF73" s="80"/>
      <c r="AG73" s="80">
        <f t="shared" si="77"/>
        <v>29590000</v>
      </c>
      <c r="AH73" s="81"/>
      <c r="AI73" s="72"/>
      <c r="AJ73" s="72"/>
      <c r="AK73" s="79">
        <f t="shared" si="78"/>
        <v>0</v>
      </c>
      <c r="AL73" s="70">
        <f>+$I73*지급비율!AB$69</f>
        <v>0</v>
      </c>
      <c r="AM73" s="80"/>
      <c r="AN73" s="80">
        <f t="shared" si="79"/>
        <v>0</v>
      </c>
      <c r="AO73" s="81"/>
      <c r="AP73" s="72"/>
      <c r="AQ73" s="72"/>
      <c r="AR73" s="79"/>
      <c r="AS73" s="70">
        <f>+$I73*지급비율!AI$69</f>
        <v>0</v>
      </c>
      <c r="AT73" s="80"/>
      <c r="AU73" s="80">
        <f t="shared" si="80"/>
        <v>0</v>
      </c>
      <c r="AV73" s="81"/>
      <c r="AW73" s="72"/>
      <c r="AX73" s="72"/>
      <c r="AY73" s="79"/>
      <c r="AZ73" s="70">
        <f>+$I73*지급비율!AP$69</f>
        <v>0</v>
      </c>
      <c r="BA73" s="80"/>
      <c r="BB73" s="80">
        <f t="shared" si="81"/>
        <v>0</v>
      </c>
      <c r="BC73" s="81"/>
      <c r="BD73" s="72"/>
      <c r="BE73" s="72"/>
      <c r="BF73" s="79"/>
      <c r="BG73" s="70">
        <f>+$I73*지급비율!AW$69</f>
        <v>0</v>
      </c>
      <c r="BH73" s="80"/>
      <c r="BI73" s="80">
        <f t="shared" si="82"/>
        <v>0</v>
      </c>
      <c r="BJ73" s="81"/>
      <c r="BK73" s="78">
        <v>46142</v>
      </c>
      <c r="BL73" s="72"/>
      <c r="BM73" s="79">
        <f t="shared" si="83"/>
        <v>0.1</v>
      </c>
      <c r="BN73" s="70">
        <f>+$I73*지급비율!BD$69</f>
        <v>5918000</v>
      </c>
      <c r="BO73" s="80"/>
      <c r="BP73" s="80">
        <f t="shared" si="84"/>
        <v>5918000</v>
      </c>
      <c r="BQ73" s="81"/>
      <c r="BR73" s="73"/>
      <c r="BS73" s="74" t="b">
        <f t="shared" si="85"/>
        <v>1</v>
      </c>
      <c r="BT73" s="74" t="b">
        <f t="shared" si="86"/>
        <v>1</v>
      </c>
      <c r="BU73" s="74"/>
      <c r="BV73" s="54"/>
      <c r="BW73" s="54"/>
      <c r="BX73" s="54"/>
      <c r="BY73" s="54"/>
      <c r="BZ73" s="54"/>
      <c r="CA73" s="54"/>
      <c r="CB73" s="54"/>
      <c r="CC73" s="54"/>
      <c r="CD73" s="58"/>
      <c r="CE73" s="58"/>
    </row>
    <row r="74" spans="1:83" ht="16.5" customHeight="1">
      <c r="A74" s="62"/>
      <c r="B74" s="1322"/>
      <c r="C74" s="1330"/>
      <c r="D74" s="1329"/>
      <c r="E74" s="1324"/>
      <c r="F74" s="101" t="s">
        <v>391</v>
      </c>
      <c r="G74" s="102">
        <f>+지급비율!F70*$D$71/1000</f>
        <v>53800000</v>
      </c>
      <c r="H74" s="102">
        <f>+G74*0.1</f>
        <v>5380000</v>
      </c>
      <c r="I74" s="102">
        <f>SUM(G74:H74)</f>
        <v>59180000</v>
      </c>
      <c r="J74" s="101">
        <f t="shared" si="0"/>
        <v>0</v>
      </c>
      <c r="K74" s="106">
        <f t="shared" si="70"/>
        <v>0</v>
      </c>
      <c r="L74" s="106">
        <f t="shared" si="71"/>
        <v>59180000</v>
      </c>
      <c r="M74" s="1333"/>
      <c r="N74" s="85"/>
      <c r="O74" s="83"/>
      <c r="P74" s="86"/>
      <c r="Q74" s="70">
        <f>+$I74*지급비율!G$70</f>
        <v>0</v>
      </c>
      <c r="R74" s="87"/>
      <c r="S74" s="87"/>
      <c r="T74" s="83"/>
      <c r="U74" s="85"/>
      <c r="V74" s="83"/>
      <c r="W74" s="86"/>
      <c r="X74" s="87">
        <f>+$I74*지급비율!N$70</f>
        <v>0</v>
      </c>
      <c r="Y74" s="87"/>
      <c r="Z74" s="87"/>
      <c r="AA74" s="83"/>
      <c r="AB74" s="85"/>
      <c r="AC74" s="83"/>
      <c r="AD74" s="86"/>
      <c r="AE74" s="70">
        <f>+$I74*지급비율!U$70</f>
        <v>0</v>
      </c>
      <c r="AF74" s="87"/>
      <c r="AG74" s="87"/>
      <c r="AH74" s="83"/>
      <c r="AI74" s="85"/>
      <c r="AJ74" s="83"/>
      <c r="AK74" s="86"/>
      <c r="AL74" s="70">
        <f>+$I74*지급비율!AB$70</f>
        <v>0</v>
      </c>
      <c r="AM74" s="87"/>
      <c r="AN74" s="87"/>
      <c r="AO74" s="83"/>
      <c r="AP74" s="85"/>
      <c r="AQ74" s="83"/>
      <c r="AR74" s="86"/>
      <c r="AS74" s="70">
        <f>+$I74*지급비율!AI$70</f>
        <v>0</v>
      </c>
      <c r="AT74" s="87"/>
      <c r="AU74" s="87"/>
      <c r="AV74" s="83"/>
      <c r="AW74" s="85"/>
      <c r="AX74" s="83"/>
      <c r="AY74" s="86"/>
      <c r="AZ74" s="70">
        <f>+$I74*지급비율!AP$70</f>
        <v>0</v>
      </c>
      <c r="BA74" s="87"/>
      <c r="BB74" s="87"/>
      <c r="BC74" s="83"/>
      <c r="BD74" s="85"/>
      <c r="BE74" s="83"/>
      <c r="BF74" s="86"/>
      <c r="BG74" s="70">
        <f>+$I74*지급비율!AW$70</f>
        <v>0</v>
      </c>
      <c r="BH74" s="87"/>
      <c r="BI74" s="87"/>
      <c r="BJ74" s="83"/>
      <c r="BK74" s="78">
        <v>46142</v>
      </c>
      <c r="BL74" s="101"/>
      <c r="BM74" s="105">
        <f t="shared" si="83"/>
        <v>1</v>
      </c>
      <c r="BN74" s="70">
        <f>+$I74*지급비율!BD$70</f>
        <v>59180000</v>
      </c>
      <c r="BO74" s="106"/>
      <c r="BP74" s="106">
        <f t="shared" si="84"/>
        <v>59180000</v>
      </c>
      <c r="BQ74" s="101"/>
      <c r="BR74" s="88"/>
      <c r="BS74" s="89" t="b">
        <f>+Q74+X74+AE74+AS74+AZ74+BG74+BN74=I74</f>
        <v>1</v>
      </c>
      <c r="BT74" s="90" t="b">
        <f t="shared" si="86"/>
        <v>1</v>
      </c>
      <c r="BU74" s="90"/>
      <c r="BV74" s="54"/>
      <c r="BW74" s="54"/>
      <c r="BX74" s="54"/>
      <c r="BY74" s="54"/>
      <c r="BZ74" s="54"/>
      <c r="CA74" s="54"/>
      <c r="CB74" s="54"/>
      <c r="CC74" s="54"/>
      <c r="CD74" s="58"/>
      <c r="CE74" s="58"/>
    </row>
    <row r="75" spans="1:83" ht="16.5" customHeight="1">
      <c r="A75" s="62"/>
      <c r="B75" s="1322"/>
      <c r="C75" s="1330"/>
      <c r="D75" s="1329"/>
      <c r="E75" s="1324"/>
      <c r="F75" s="91" t="s">
        <v>392</v>
      </c>
      <c r="G75" s="92">
        <f>SUM(G71:G74)</f>
        <v>484200000</v>
      </c>
      <c r="H75" s="92">
        <f>SUM(H71:H74)</f>
        <v>48420000</v>
      </c>
      <c r="I75" s="92">
        <f>SUM(I71:I74)</f>
        <v>532620000</v>
      </c>
      <c r="J75" s="91">
        <f t="shared" ref="J75:J80" si="88">+IFERROR(K75/I75,"-")</f>
        <v>8.3333333333333329E-2</v>
      </c>
      <c r="K75" s="92">
        <f>SUM(K71:K74)</f>
        <v>44385000</v>
      </c>
      <c r="L75" s="92">
        <f>SUM(L71:L74)</f>
        <v>488235000</v>
      </c>
      <c r="M75" s="419">
        <f>+Q72+Q73+X72+X73</f>
        <v>59180000</v>
      </c>
      <c r="N75" s="93"/>
      <c r="O75" s="91"/>
      <c r="P75" s="94">
        <f t="shared" ref="P75" si="89">+IFERROR(Q75/$I75,"-")</f>
        <v>8.3333333333333329E-2</v>
      </c>
      <c r="Q75" s="92">
        <f>SUM(Q71:Q74)</f>
        <v>44385000</v>
      </c>
      <c r="R75" s="170">
        <f>SUM(R71:R74)</f>
        <v>44385000</v>
      </c>
      <c r="S75" s="95">
        <f t="shared" ref="S75" si="90">+Q75-R75</f>
        <v>0</v>
      </c>
      <c r="T75" s="91"/>
      <c r="U75" s="93"/>
      <c r="V75" s="91"/>
      <c r="W75" s="94">
        <f t="shared" ref="W75" si="91">+IFERROR(X75/$I75,"-")</f>
        <v>2.7777777777777776E-2</v>
      </c>
      <c r="X75" s="92">
        <f>SUM(X71:X74)</f>
        <v>14795000</v>
      </c>
      <c r="Y75" s="92">
        <f>SUM(Y71:Y74)</f>
        <v>0</v>
      </c>
      <c r="Z75" s="95">
        <f t="shared" ref="Z75" si="92">+X75-Y75</f>
        <v>14795000</v>
      </c>
      <c r="AA75" s="91"/>
      <c r="AB75" s="93"/>
      <c r="AC75" s="91"/>
      <c r="AD75" s="94">
        <f t="shared" ref="AD75" si="93">+IFERROR(AE75/$I75,"-")</f>
        <v>0.44444444444444442</v>
      </c>
      <c r="AE75" s="92">
        <f>SUM(AE71:AE74)</f>
        <v>236720000</v>
      </c>
      <c r="AF75" s="92">
        <f>SUM(AF71:AF74)</f>
        <v>0</v>
      </c>
      <c r="AG75" s="95">
        <f t="shared" ref="AG75" si="94">+AE75-AF75</f>
        <v>236720000</v>
      </c>
      <c r="AH75" s="91"/>
      <c r="AI75" s="93"/>
      <c r="AJ75" s="91"/>
      <c r="AK75" s="94">
        <f t="shared" ref="AK75" si="95">+IFERROR(AL75/$I75,"-")</f>
        <v>0</v>
      </c>
      <c r="AL75" s="92">
        <f>SUM(AL71:AL74)</f>
        <v>0</v>
      </c>
      <c r="AM75" s="92">
        <f>SUM(AM71:AM74)</f>
        <v>0</v>
      </c>
      <c r="AN75" s="95">
        <f t="shared" ref="AN75" si="96">+AL75-AM75</f>
        <v>0</v>
      </c>
      <c r="AO75" s="91"/>
      <c r="AP75" s="93"/>
      <c r="AQ75" s="91"/>
      <c r="AR75" s="94">
        <f t="shared" ref="AR75" si="97">+IFERROR(AS75/$I75,"-")</f>
        <v>0</v>
      </c>
      <c r="AS75" s="92">
        <f>SUM(AS71:AS74)</f>
        <v>0</v>
      </c>
      <c r="AT75" s="92">
        <f>SUM(AT71:AT74)</f>
        <v>0</v>
      </c>
      <c r="AU75" s="95">
        <f t="shared" ref="AU75" si="98">+AS75-AT75</f>
        <v>0</v>
      </c>
      <c r="AV75" s="91"/>
      <c r="AW75" s="93"/>
      <c r="AX75" s="91"/>
      <c r="AY75" s="94">
        <f t="shared" ref="AY75" si="99">+IFERROR(AZ75/$I75,"-")</f>
        <v>0</v>
      </c>
      <c r="AZ75" s="92">
        <f>SUM(AZ71:AZ74)</f>
        <v>0</v>
      </c>
      <c r="BA75" s="92">
        <f>SUM(BA71:BA74)</f>
        <v>0</v>
      </c>
      <c r="BB75" s="95">
        <f t="shared" ref="BB75" si="100">+AZ75-BA75</f>
        <v>0</v>
      </c>
      <c r="BC75" s="91"/>
      <c r="BD75" s="93"/>
      <c r="BE75" s="91"/>
      <c r="BF75" s="94">
        <f t="shared" ref="BF75" si="101">+IFERROR(BG75/$I75,"-")</f>
        <v>0.24444444444444444</v>
      </c>
      <c r="BG75" s="92">
        <f>SUM(BG71:BG74)</f>
        <v>130196000</v>
      </c>
      <c r="BH75" s="92">
        <f>SUM(BH71:BH74)</f>
        <v>0</v>
      </c>
      <c r="BI75" s="95">
        <f t="shared" ref="BI75" si="102">+BG75-BH75</f>
        <v>130196000</v>
      </c>
      <c r="BJ75" s="91"/>
      <c r="BK75" s="93"/>
      <c r="BL75" s="91"/>
      <c r="BM75" s="94">
        <f t="shared" si="83"/>
        <v>0.2</v>
      </c>
      <c r="BN75" s="92">
        <f>SUM(BN71:BN74)</f>
        <v>106524000</v>
      </c>
      <c r="BO75" s="92">
        <f>SUM(BO71:BO74)</f>
        <v>0</v>
      </c>
      <c r="BP75" s="95">
        <f t="shared" si="84"/>
        <v>106524000</v>
      </c>
      <c r="BQ75" s="91"/>
      <c r="BR75" s="88"/>
      <c r="BS75" s="96"/>
      <c r="BT75" s="97"/>
      <c r="BU75" s="97"/>
      <c r="BV75" s="54"/>
      <c r="BW75" s="54"/>
      <c r="BX75" s="54"/>
      <c r="BY75" s="54"/>
      <c r="BZ75" s="54"/>
      <c r="CA75" s="54"/>
      <c r="CB75" s="54"/>
      <c r="CC75" s="54"/>
      <c r="CD75" s="58"/>
      <c r="CE75" s="58"/>
    </row>
    <row r="76" spans="1:83" ht="16.5" customHeight="1">
      <c r="A76" s="62"/>
      <c r="B76" s="1334">
        <f t="shared" ref="B76" si="103">+B71+1</f>
        <v>14</v>
      </c>
      <c r="C76" s="1337" t="s">
        <v>406</v>
      </c>
      <c r="D76" s="1340">
        <v>315</v>
      </c>
      <c r="E76" s="1343" t="s">
        <v>387</v>
      </c>
      <c r="F76" s="63" t="s">
        <v>388</v>
      </c>
      <c r="G76" s="64">
        <f>+지급비율!F63*$D$76/1000</f>
        <v>346500000</v>
      </c>
      <c r="H76" s="64">
        <f>+G76*10%</f>
        <v>34650000</v>
      </c>
      <c r="I76" s="64">
        <f>SUM(G76:H76)</f>
        <v>381150000</v>
      </c>
      <c r="J76" s="65">
        <f t="shared" si="88"/>
        <v>0</v>
      </c>
      <c r="K76" s="70">
        <f>+IFERROR(R76+Y76+AF76+AT76+BA76+BH76+BO76,"-")</f>
        <v>0</v>
      </c>
      <c r="L76" s="70">
        <f>+I76-K76</f>
        <v>381150000</v>
      </c>
      <c r="M76" s="1331" t="s">
        <v>407</v>
      </c>
      <c r="N76" s="67"/>
      <c r="O76" s="72"/>
      <c r="P76" s="69"/>
      <c r="Q76" s="70">
        <f>+지급비율!G63*$I76</f>
        <v>0</v>
      </c>
      <c r="R76" s="70"/>
      <c r="S76" s="70">
        <f>+Q76-R76</f>
        <v>0</v>
      </c>
      <c r="T76" s="81"/>
      <c r="U76" s="67"/>
      <c r="V76" s="68"/>
      <c r="W76" s="69"/>
      <c r="X76" s="70">
        <f>+지급비율!N63*$I76</f>
        <v>0</v>
      </c>
      <c r="Y76" s="70"/>
      <c r="Z76" s="70">
        <f>+X76-Y76</f>
        <v>0</v>
      </c>
      <c r="AA76" s="81"/>
      <c r="AB76" s="67">
        <f>+EDATE(AI76,-1)+1</f>
        <v>45990</v>
      </c>
      <c r="AC76" s="68"/>
      <c r="AD76" s="69"/>
      <c r="AE76" s="70">
        <f>+지급비율!U63*$I76</f>
        <v>190575000</v>
      </c>
      <c r="AF76" s="70"/>
      <c r="AG76" s="70">
        <f>+AE76-AF76</f>
        <v>190575000</v>
      </c>
      <c r="AH76" s="81"/>
      <c r="AI76" s="67">
        <f>+EDATE(AP76,-1)</f>
        <v>46019</v>
      </c>
      <c r="AJ76" s="68"/>
      <c r="AK76" s="69"/>
      <c r="AL76" s="70">
        <f>+지급비율!AB63*$I76</f>
        <v>0</v>
      </c>
      <c r="AM76" s="70"/>
      <c r="AN76" s="70">
        <f>+AL76-AM76</f>
        <v>0</v>
      </c>
      <c r="AO76" s="81"/>
      <c r="AP76" s="67">
        <f>+EDATE(AW76,-1)</f>
        <v>46050</v>
      </c>
      <c r="AQ76" s="68"/>
      <c r="AR76" s="69"/>
      <c r="AS76" s="70">
        <f>+지급비율!AI63*$I76</f>
        <v>0</v>
      </c>
      <c r="AT76" s="70"/>
      <c r="AU76" s="70">
        <f>+AS76-AT76</f>
        <v>0</v>
      </c>
      <c r="AV76" s="81"/>
      <c r="AW76" s="67">
        <f>+EDATE(BD76,-1)</f>
        <v>46081</v>
      </c>
      <c r="AX76" s="68"/>
      <c r="AY76" s="69"/>
      <c r="AZ76" s="70">
        <f>+지급비율!AP63*$I76</f>
        <v>0</v>
      </c>
      <c r="BA76" s="70"/>
      <c r="BB76" s="70">
        <f>+AZ76-BA76</f>
        <v>0</v>
      </c>
      <c r="BC76" s="81"/>
      <c r="BD76" s="67">
        <f>+EDATE(BK76,-1)</f>
        <v>46111</v>
      </c>
      <c r="BE76" s="68"/>
      <c r="BF76" s="69"/>
      <c r="BG76" s="70">
        <f>+지급비율!AW63*$I76</f>
        <v>152460000</v>
      </c>
      <c r="BH76" s="70"/>
      <c r="BI76" s="70">
        <f>+BG76-BH76</f>
        <v>152460000</v>
      </c>
      <c r="BJ76" s="81"/>
      <c r="BK76" s="78">
        <v>46142</v>
      </c>
      <c r="BL76" s="68"/>
      <c r="BM76" s="69"/>
      <c r="BN76" s="70">
        <f>+지급비율!BD63*$I76</f>
        <v>38115000</v>
      </c>
      <c r="BO76" s="70"/>
      <c r="BP76" s="70">
        <f t="shared" si="84"/>
        <v>38115000</v>
      </c>
      <c r="BQ76" s="81"/>
      <c r="BR76" s="73"/>
      <c r="BS76" s="74" t="b">
        <f>+Q76+X76+AE76+AS76+AZ76+BG76+BN76=I76</f>
        <v>1</v>
      </c>
      <c r="BT76" s="74" t="b">
        <f>+R76+Y76+AF76+AT76+BA76+BH76+BO76=K76</f>
        <v>1</v>
      </c>
      <c r="BU76" s="74"/>
      <c r="BV76" s="54"/>
      <c r="BW76" s="54"/>
      <c r="BX76" s="54"/>
      <c r="BY76" s="54"/>
      <c r="BZ76" s="54"/>
      <c r="CA76" s="54"/>
      <c r="CB76" s="54"/>
      <c r="CC76" s="54"/>
      <c r="CD76" s="58"/>
      <c r="CE76" s="58"/>
    </row>
    <row r="77" spans="1:83" ht="16.5" customHeight="1">
      <c r="A77" s="62"/>
      <c r="B77" s="1335"/>
      <c r="C77" s="1338"/>
      <c r="D77" s="1341"/>
      <c r="E77" s="1344"/>
      <c r="F77" s="75" t="s">
        <v>389</v>
      </c>
      <c r="G77" s="76">
        <f>+지급비율!F64*$D$76/1000</f>
        <v>94500000</v>
      </c>
      <c r="H77" s="76">
        <f>+G77*10%</f>
        <v>9450000</v>
      </c>
      <c r="I77" s="76">
        <f>SUM(G77:H77)</f>
        <v>103950000</v>
      </c>
      <c r="J77" s="75">
        <f t="shared" si="88"/>
        <v>0.3</v>
      </c>
      <c r="K77" s="80">
        <f>+IFERROR(R77+Y77+AF77+AT77+BA77+BH77+BO77,"-")</f>
        <v>31185000</v>
      </c>
      <c r="L77" s="80">
        <f>+I77-K77</f>
        <v>72765000</v>
      </c>
      <c r="M77" s="1332"/>
      <c r="N77" s="78">
        <v>45935</v>
      </c>
      <c r="O77" s="78">
        <v>45922</v>
      </c>
      <c r="P77" s="79">
        <f>+IFERROR(Q77/$I77,"-")</f>
        <v>0.3</v>
      </c>
      <c r="Q77" s="70">
        <f>+지급비율!G64*$I77</f>
        <v>31185000</v>
      </c>
      <c r="R77" s="80">
        <f>+Q77</f>
        <v>31185000</v>
      </c>
      <c r="S77" s="80">
        <f>+Q77-R77</f>
        <v>0</v>
      </c>
      <c r="T77" s="81"/>
      <c r="U77" s="78">
        <v>45991</v>
      </c>
      <c r="V77" s="78"/>
      <c r="W77" s="79">
        <f>+IFERROR(X77/$I77,"-")</f>
        <v>0.1</v>
      </c>
      <c r="X77" s="70">
        <f>+지급비율!N64*$I77</f>
        <v>10395000</v>
      </c>
      <c r="Y77" s="70"/>
      <c r="Z77" s="70">
        <f>+X77-Y77</f>
        <v>10395000</v>
      </c>
      <c r="AA77" s="161"/>
      <c r="AB77" s="78">
        <v>45991</v>
      </c>
      <c r="AC77" s="78"/>
      <c r="AD77" s="79">
        <f>+IFERROR(AE77/$I77,"-")</f>
        <v>0.5</v>
      </c>
      <c r="AE77" s="70">
        <f>+지급비율!U64*$I77</f>
        <v>51975000</v>
      </c>
      <c r="AF77" s="70"/>
      <c r="AG77" s="70">
        <f>+AE77-AF77</f>
        <v>51975000</v>
      </c>
      <c r="AH77" s="161"/>
      <c r="AI77" s="78"/>
      <c r="AJ77" s="78"/>
      <c r="AK77" s="79">
        <f>+IFERROR(AL77/$I77,"-")</f>
        <v>0</v>
      </c>
      <c r="AL77" s="70">
        <f>+지급비율!AB64*$I77</f>
        <v>0</v>
      </c>
      <c r="AM77" s="70"/>
      <c r="AN77" s="70">
        <f>+AL77-AM77</f>
        <v>0</v>
      </c>
      <c r="AO77" s="161"/>
      <c r="AP77" s="78"/>
      <c r="AQ77" s="78"/>
      <c r="AR77" s="79">
        <f>+IFERROR(AS77/$I77,"-")</f>
        <v>0</v>
      </c>
      <c r="AS77" s="70">
        <f>+지급비율!AI64*$I77</f>
        <v>0</v>
      </c>
      <c r="AT77" s="70"/>
      <c r="AU77" s="70">
        <f>+AS77-AT77</f>
        <v>0</v>
      </c>
      <c r="AV77" s="161"/>
      <c r="AW77" s="78"/>
      <c r="AX77" s="78"/>
      <c r="AY77" s="79">
        <f>+IFERROR(AZ77/$I77,"-")</f>
        <v>0</v>
      </c>
      <c r="AZ77" s="70">
        <f>+지급비율!AP64*$I77</f>
        <v>0</v>
      </c>
      <c r="BA77" s="70"/>
      <c r="BB77" s="70">
        <f>+AZ77-BA77</f>
        <v>0</v>
      </c>
      <c r="BC77" s="161"/>
      <c r="BD77" s="78"/>
      <c r="BE77" s="78"/>
      <c r="BF77" s="79">
        <f>+IFERROR(BG77/$I77,"-")</f>
        <v>0</v>
      </c>
      <c r="BG77" s="70">
        <f>+지급비율!AW64*$I77</f>
        <v>0</v>
      </c>
      <c r="BH77" s="70"/>
      <c r="BI77" s="70">
        <f>+BG77-BH77</f>
        <v>0</v>
      </c>
      <c r="BJ77" s="161"/>
      <c r="BK77" s="78">
        <v>46142</v>
      </c>
      <c r="BL77" s="78"/>
      <c r="BM77" s="79">
        <f>+IFERROR(BN77/$I77,"-")</f>
        <v>0.1</v>
      </c>
      <c r="BN77" s="70">
        <f>+지급비율!BD64*$I77</f>
        <v>10395000</v>
      </c>
      <c r="BO77" s="70"/>
      <c r="BP77" s="70">
        <f t="shared" si="84"/>
        <v>10395000</v>
      </c>
      <c r="BQ77" s="161"/>
      <c r="BR77" s="73"/>
      <c r="BS77" s="74" t="b">
        <f>+Q77+X77+AE77+AS77+AZ77+BG77+BN77=I77</f>
        <v>1</v>
      </c>
      <c r="BT77" s="74" t="b">
        <f>+R77+Y77+AF77+AT77+BA77+BH77+BO77=K77</f>
        <v>1</v>
      </c>
      <c r="BU77" s="74" t="b">
        <f>+BG77+BG78+AZ77+AZ78+AS77+AS78+AE77+AE78+X77+X78+Q77+Q78+BN77+BN78=([5]지급비율!$F$39+[5]지급비율!$F$40)*1.1*D76/1000</f>
        <v>0</v>
      </c>
      <c r="BV77" s="54"/>
      <c r="BW77" s="54"/>
      <c r="BX77" s="54"/>
      <c r="BY77" s="54"/>
      <c r="BZ77" s="54"/>
      <c r="CA77" s="54"/>
      <c r="CB77" s="54"/>
      <c r="CC77" s="54"/>
      <c r="CD77" s="58"/>
      <c r="CE77" s="58"/>
    </row>
    <row r="78" spans="1:83" ht="16.5" customHeight="1">
      <c r="A78" s="62"/>
      <c r="B78" s="1335"/>
      <c r="C78" s="1338"/>
      <c r="D78" s="1341"/>
      <c r="E78" s="1344"/>
      <c r="F78" s="75" t="s">
        <v>390</v>
      </c>
      <c r="G78" s="76">
        <f>+지급비율!F65*$D$76/1000</f>
        <v>63000000</v>
      </c>
      <c r="H78" s="76">
        <f>+G78*10%</f>
        <v>6300000</v>
      </c>
      <c r="I78" s="76">
        <f>SUM(G78:H78)</f>
        <v>69300000</v>
      </c>
      <c r="J78" s="75">
        <f t="shared" si="88"/>
        <v>0.3</v>
      </c>
      <c r="K78" s="80">
        <f>+IFERROR(R78+Y78+AF78+AT78+BA78+BH78+BO78,"-")</f>
        <v>20790000</v>
      </c>
      <c r="L78" s="80">
        <f>+I78-K78</f>
        <v>48510000</v>
      </c>
      <c r="M78" s="1332"/>
      <c r="N78" s="78">
        <v>45935</v>
      </c>
      <c r="O78" s="78">
        <v>45922</v>
      </c>
      <c r="P78" s="79">
        <f>+IFERROR(Q78/$I78,"-")</f>
        <v>0.3</v>
      </c>
      <c r="Q78" s="70">
        <f>+지급비율!G65*$I78</f>
        <v>20790000</v>
      </c>
      <c r="R78" s="80">
        <f>+Q78</f>
        <v>20790000</v>
      </c>
      <c r="S78" s="80">
        <f>+Q78-R78</f>
        <v>0</v>
      </c>
      <c r="T78" s="81"/>
      <c r="U78" s="78">
        <v>45991</v>
      </c>
      <c r="V78" s="72"/>
      <c r="W78" s="79">
        <f>+IFERROR(X78/$I78,"-")</f>
        <v>0.1</v>
      </c>
      <c r="X78" s="70">
        <f>+지급비율!N65*$I78</f>
        <v>6930000</v>
      </c>
      <c r="Y78" s="70"/>
      <c r="Z78" s="70">
        <f>+X78-Y78</f>
        <v>6930000</v>
      </c>
      <c r="AA78" s="161"/>
      <c r="AB78" s="78">
        <v>45991</v>
      </c>
      <c r="AC78" s="72"/>
      <c r="AD78" s="79">
        <f>+IFERROR(AE78/$I78,"-")</f>
        <v>0.5</v>
      </c>
      <c r="AE78" s="70">
        <f>+지급비율!U65*$I78</f>
        <v>34650000</v>
      </c>
      <c r="AF78" s="70"/>
      <c r="AG78" s="70">
        <f>+AE78-AF78</f>
        <v>34650000</v>
      </c>
      <c r="AH78" s="161"/>
      <c r="AI78" s="72"/>
      <c r="AJ78" s="72"/>
      <c r="AK78" s="79">
        <f>+IFERROR(AL78/$I78,"-")</f>
        <v>0</v>
      </c>
      <c r="AL78" s="70">
        <f>+지급비율!AB65*$I78</f>
        <v>0</v>
      </c>
      <c r="AM78" s="70"/>
      <c r="AN78" s="70">
        <f>+AL78-AM78</f>
        <v>0</v>
      </c>
      <c r="AO78" s="161"/>
      <c r="AP78" s="72"/>
      <c r="AQ78" s="72"/>
      <c r="AR78" s="79">
        <f>+IFERROR(AS78/$I78,"-")</f>
        <v>0</v>
      </c>
      <c r="AS78" s="70">
        <f>+지급비율!AI65*$I78</f>
        <v>0</v>
      </c>
      <c r="AT78" s="70"/>
      <c r="AU78" s="70">
        <f>+AS78-AT78</f>
        <v>0</v>
      </c>
      <c r="AV78" s="161"/>
      <c r="AW78" s="72"/>
      <c r="AX78" s="72"/>
      <c r="AY78" s="79">
        <f>+IFERROR(AZ78/$I78,"-")</f>
        <v>0</v>
      </c>
      <c r="AZ78" s="70">
        <f>+지급비율!AP65*$I78</f>
        <v>0</v>
      </c>
      <c r="BA78" s="70"/>
      <c r="BB78" s="70">
        <f>+AZ78-BA78</f>
        <v>0</v>
      </c>
      <c r="BC78" s="161"/>
      <c r="BD78" s="72"/>
      <c r="BE78" s="72"/>
      <c r="BF78" s="79">
        <f>+IFERROR(BG78/$I78,"-")</f>
        <v>0</v>
      </c>
      <c r="BG78" s="70">
        <f>+지급비율!AW65*$I78</f>
        <v>0</v>
      </c>
      <c r="BH78" s="70"/>
      <c r="BI78" s="70">
        <f>+BG78-BH78</f>
        <v>0</v>
      </c>
      <c r="BJ78" s="161"/>
      <c r="BK78" s="78">
        <v>46142</v>
      </c>
      <c r="BL78" s="72"/>
      <c r="BM78" s="79">
        <f>+IFERROR(BN78/$I78,"-")</f>
        <v>0.1</v>
      </c>
      <c r="BN78" s="70">
        <f>+지급비율!BD65*$I78</f>
        <v>6930000</v>
      </c>
      <c r="BO78" s="70"/>
      <c r="BP78" s="70">
        <f t="shared" si="84"/>
        <v>6930000</v>
      </c>
      <c r="BQ78" s="161"/>
      <c r="BR78" s="73"/>
      <c r="BS78" s="74" t="b">
        <f>+Q78+X78+AE78+AS78+AZ78+BG78+BN78=I78</f>
        <v>1</v>
      </c>
      <c r="BT78" s="74" t="b">
        <f>+R78+Y78+AF78+AT78+BA78+BH78+BO78=K78</f>
        <v>1</v>
      </c>
      <c r="BU78" s="74"/>
      <c r="BV78" s="54"/>
      <c r="BW78" s="54"/>
      <c r="BX78" s="54"/>
      <c r="BY78" s="54"/>
      <c r="BZ78" s="54"/>
      <c r="CA78" s="54"/>
      <c r="CB78" s="54"/>
      <c r="CC78" s="54"/>
      <c r="CD78" s="58"/>
      <c r="CE78" s="58"/>
    </row>
    <row r="79" spans="1:83" ht="16.5" customHeight="1">
      <c r="A79" s="62"/>
      <c r="B79" s="1335"/>
      <c r="C79" s="1338"/>
      <c r="D79" s="1341"/>
      <c r="E79" s="1344"/>
      <c r="F79" s="101" t="s">
        <v>391</v>
      </c>
      <c r="G79" s="102">
        <f>+지급비율!F66*$D$76/1000</f>
        <v>55125000</v>
      </c>
      <c r="H79" s="102">
        <f>+G79*0.1</f>
        <v>5512500</v>
      </c>
      <c r="I79" s="102">
        <f>SUM(G79:H79)</f>
        <v>60637500</v>
      </c>
      <c r="J79" s="101">
        <f t="shared" si="88"/>
        <v>0</v>
      </c>
      <c r="K79" s="106">
        <f>+IFERROR(R79+Y79+AF79+AT79+BA79+BH79+BO79,"-")</f>
        <v>0</v>
      </c>
      <c r="L79" s="106">
        <f>+I79-K79</f>
        <v>60637500</v>
      </c>
      <c r="M79" s="1333"/>
      <c r="N79" s="85"/>
      <c r="O79" s="83"/>
      <c r="P79" s="86"/>
      <c r="Q79" s="70">
        <f>+지급비율!G66*$I79</f>
        <v>0</v>
      </c>
      <c r="R79" s="87"/>
      <c r="S79" s="87"/>
      <c r="T79" s="83"/>
      <c r="U79" s="85"/>
      <c r="V79" s="83"/>
      <c r="W79" s="86"/>
      <c r="X79" s="70">
        <f>+지급비율!N66*$I79</f>
        <v>0</v>
      </c>
      <c r="Y79" s="87"/>
      <c r="Z79" s="87"/>
      <c r="AA79" s="83"/>
      <c r="AB79" s="85"/>
      <c r="AC79" s="83"/>
      <c r="AD79" s="86"/>
      <c r="AE79" s="70">
        <f>+지급비율!U66*$I79</f>
        <v>0</v>
      </c>
      <c r="AF79" s="87"/>
      <c r="AG79" s="87"/>
      <c r="AH79" s="83"/>
      <c r="AI79" s="85"/>
      <c r="AJ79" s="83"/>
      <c r="AK79" s="86"/>
      <c r="AL79" s="70">
        <f>+지급비율!AB66*$I79</f>
        <v>0</v>
      </c>
      <c r="AM79" s="87"/>
      <c r="AN79" s="87"/>
      <c r="AO79" s="83"/>
      <c r="AP79" s="85"/>
      <c r="AQ79" s="83"/>
      <c r="AR79" s="86"/>
      <c r="AS79" s="70">
        <f>+지급비율!AI66*$I79</f>
        <v>0</v>
      </c>
      <c r="AT79" s="87"/>
      <c r="AU79" s="87"/>
      <c r="AV79" s="83"/>
      <c r="AW79" s="85"/>
      <c r="AX79" s="83"/>
      <c r="AY79" s="86"/>
      <c r="AZ79" s="70">
        <f>+지급비율!AP66*$I79</f>
        <v>0</v>
      </c>
      <c r="BA79" s="87"/>
      <c r="BB79" s="87"/>
      <c r="BC79" s="83"/>
      <c r="BD79" s="85"/>
      <c r="BE79" s="83"/>
      <c r="BF79" s="86"/>
      <c r="BG79" s="70">
        <f>+지급비율!AW66*$I79</f>
        <v>0</v>
      </c>
      <c r="BH79" s="87"/>
      <c r="BI79" s="87"/>
      <c r="BJ79" s="83"/>
      <c r="BK79" s="78">
        <v>46142</v>
      </c>
      <c r="BL79" s="101"/>
      <c r="BM79" s="86"/>
      <c r="BN79" s="70">
        <f>+지급비율!BD66*$I79</f>
        <v>60637500</v>
      </c>
      <c r="BO79" s="87"/>
      <c r="BP79" s="70">
        <f t="shared" si="84"/>
        <v>60637500</v>
      </c>
      <c r="BQ79" s="83"/>
      <c r="BR79" s="88"/>
      <c r="BS79" s="89" t="b">
        <f>+Q79+X79+AE79+AS79+AZ79+BG79+BN79=I79</f>
        <v>1</v>
      </c>
      <c r="BT79" s="90" t="b">
        <f>+R79+Y79+AF79+AT79+BA79+BH79+BO79=K79</f>
        <v>1</v>
      </c>
      <c r="BU79" s="90"/>
      <c r="BV79" s="54"/>
      <c r="BW79" s="54"/>
      <c r="BX79" s="54"/>
      <c r="BY79" s="54"/>
      <c r="BZ79" s="54"/>
      <c r="CA79" s="54"/>
      <c r="CB79" s="54"/>
      <c r="CC79" s="54"/>
      <c r="CD79" s="58"/>
      <c r="CE79" s="58"/>
    </row>
    <row r="80" spans="1:83" ht="16.5" customHeight="1">
      <c r="A80" s="62"/>
      <c r="B80" s="1336"/>
      <c r="C80" s="1339"/>
      <c r="D80" s="1342"/>
      <c r="E80" s="1345"/>
      <c r="F80" s="91" t="s">
        <v>392</v>
      </c>
      <c r="G80" s="92">
        <f>SUM(G76:G79)</f>
        <v>559125000</v>
      </c>
      <c r="H80" s="92">
        <f>SUM(H76:H79)</f>
        <v>55912500</v>
      </c>
      <c r="I80" s="92">
        <f>SUM(I76:I79)</f>
        <v>615037500</v>
      </c>
      <c r="J80" s="91">
        <f t="shared" si="88"/>
        <v>8.4507042253521125E-2</v>
      </c>
      <c r="K80" s="92">
        <f>SUM(K76:K79)</f>
        <v>51975000</v>
      </c>
      <c r="L80" s="92">
        <f>SUM(L76:L79)</f>
        <v>563062500</v>
      </c>
      <c r="M80" s="419">
        <f>+Q77+Q78</f>
        <v>51975000</v>
      </c>
      <c r="N80" s="93"/>
      <c r="O80" s="91"/>
      <c r="P80" s="94">
        <f t="shared" ref="P80:P85" si="104">+IFERROR(Q80/$I80,"-")</f>
        <v>8.4507042253521125E-2</v>
      </c>
      <c r="Q80" s="92">
        <f>SUM(Q76:Q79)</f>
        <v>51975000</v>
      </c>
      <c r="R80" s="170">
        <f>SUM(R76:R79)</f>
        <v>51975000</v>
      </c>
      <c r="S80" s="95">
        <f t="shared" ref="S80" si="105">+Q80-R80</f>
        <v>0</v>
      </c>
      <c r="T80" s="91"/>
      <c r="U80" s="93"/>
      <c r="V80" s="91"/>
      <c r="W80" s="94">
        <f>+IFERROR(X80/$I80,"-")</f>
        <v>2.8169014084507043E-2</v>
      </c>
      <c r="X80" s="92">
        <f>SUM(X76:X79)</f>
        <v>17325000</v>
      </c>
      <c r="Y80" s="92">
        <f>SUM(Y76:Y79)</f>
        <v>0</v>
      </c>
      <c r="Z80" s="95">
        <f t="shared" ref="Z80" si="106">+X80-Y80</f>
        <v>17325000</v>
      </c>
      <c r="AA80" s="91"/>
      <c r="AB80" s="93"/>
      <c r="AC80" s="91"/>
      <c r="AD80" s="94">
        <f>+IFERROR(AE80/$I80,"-")</f>
        <v>0.45070422535211269</v>
      </c>
      <c r="AE80" s="92">
        <f>SUM(AE76:AE79)</f>
        <v>277200000</v>
      </c>
      <c r="AF80" s="92">
        <f>SUM(AF76:AF79)</f>
        <v>0</v>
      </c>
      <c r="AG80" s="95">
        <f t="shared" ref="AG80" si="107">+AE80-AF80</f>
        <v>277200000</v>
      </c>
      <c r="AH80" s="91"/>
      <c r="AI80" s="93"/>
      <c r="AJ80" s="91"/>
      <c r="AK80" s="94">
        <f t="shared" ref="AK80" si="108">+IFERROR(AL80/$I80,"-")</f>
        <v>0</v>
      </c>
      <c r="AL80" s="92">
        <f>SUM(AL76:AL79)</f>
        <v>0</v>
      </c>
      <c r="AM80" s="92">
        <f>SUM(AM76:AM79)</f>
        <v>0</v>
      </c>
      <c r="AN80" s="95">
        <f t="shared" ref="AN80" si="109">+AL80-AM80</f>
        <v>0</v>
      </c>
      <c r="AO80" s="91"/>
      <c r="AP80" s="93"/>
      <c r="AQ80" s="91"/>
      <c r="AR80" s="94">
        <f>+IFERROR(AS80/$I80,"-")</f>
        <v>0</v>
      </c>
      <c r="AS80" s="92">
        <f>SUM(AS76:AS79)</f>
        <v>0</v>
      </c>
      <c r="AT80" s="92">
        <f>SUM(AT76:AT79)</f>
        <v>0</v>
      </c>
      <c r="AU80" s="95">
        <f t="shared" ref="AU80" si="110">+AS80-AT80</f>
        <v>0</v>
      </c>
      <c r="AV80" s="91"/>
      <c r="AW80" s="93"/>
      <c r="AX80" s="91"/>
      <c r="AY80" s="94">
        <f>+IFERROR(AZ80/$I80,"-")</f>
        <v>0</v>
      </c>
      <c r="AZ80" s="92">
        <f>SUM(AZ76:AZ79)</f>
        <v>0</v>
      </c>
      <c r="BA80" s="92">
        <f>SUM(BA76:BA79)</f>
        <v>0</v>
      </c>
      <c r="BB80" s="95">
        <f t="shared" ref="BB80" si="111">+AZ80-BA80</f>
        <v>0</v>
      </c>
      <c r="BC80" s="91"/>
      <c r="BD80" s="93"/>
      <c r="BE80" s="91"/>
      <c r="BF80" s="94">
        <f>+IFERROR(BG80/$I80,"-")</f>
        <v>0.24788732394366197</v>
      </c>
      <c r="BG80" s="92">
        <f>SUM(BG76:BG79)</f>
        <v>152460000</v>
      </c>
      <c r="BH80" s="92">
        <f>SUM(BH76:BH79)</f>
        <v>0</v>
      </c>
      <c r="BI80" s="95">
        <f t="shared" ref="BI80" si="112">+BG80-BH80</f>
        <v>152460000</v>
      </c>
      <c r="BJ80" s="91"/>
      <c r="BK80" s="93"/>
      <c r="BL80" s="91"/>
      <c r="BM80" s="94">
        <f t="shared" ref="BM80" si="113">+IFERROR(BN80/$I80,"-")</f>
        <v>0.18873239436619718</v>
      </c>
      <c r="BN80" s="92">
        <f>SUM(BN76:BN79)</f>
        <v>116077500</v>
      </c>
      <c r="BO80" s="92">
        <f>SUM(BO76:BO79)</f>
        <v>0</v>
      </c>
      <c r="BP80" s="95">
        <f t="shared" si="84"/>
        <v>116077500</v>
      </c>
      <c r="BQ80" s="91"/>
      <c r="BR80" s="88"/>
      <c r="BS80" s="96"/>
      <c r="BT80" s="97"/>
      <c r="BU80" s="97"/>
      <c r="BV80" s="54"/>
      <c r="BW80" s="54"/>
      <c r="BX80" s="54"/>
      <c r="BY80" s="54"/>
      <c r="BZ80" s="54"/>
      <c r="CA80" s="54"/>
      <c r="CB80" s="54"/>
      <c r="CC80" s="54"/>
      <c r="CD80" s="58"/>
      <c r="CE80" s="58"/>
    </row>
    <row r="81" spans="1:83" ht="16.5" customHeight="1">
      <c r="A81" s="62"/>
      <c r="B81" s="1346" t="s">
        <v>392</v>
      </c>
      <c r="C81" s="1346"/>
      <c r="D81" s="1348">
        <f>+SUM(D11:D75)</f>
        <v>4375</v>
      </c>
      <c r="E81" s="1346"/>
      <c r="F81" s="108" t="s">
        <v>388</v>
      </c>
      <c r="G81" s="109">
        <f>+G11+G16+G21+G26+G31+G36+G41+G46+G51+G56+G61+G66+G71+G76</f>
        <v>5159000000</v>
      </c>
      <c r="H81" s="109">
        <f>+G81*10%</f>
        <v>515900000</v>
      </c>
      <c r="I81" s="109">
        <f>SUM(G81:H81)</f>
        <v>5674900000</v>
      </c>
      <c r="J81" s="108">
        <f>+IFERROR(K81/I81,"-")</f>
        <v>0</v>
      </c>
      <c r="K81" s="109">
        <f t="shared" ref="K81:L84" si="114">+K11+K16+K21+K26+K31+K36+K41+K46+K51+K56+K61+K66+K71+K76</f>
        <v>0</v>
      </c>
      <c r="L81" s="109">
        <f t="shared" si="114"/>
        <v>5674900000</v>
      </c>
      <c r="M81" s="426"/>
      <c r="N81" s="110"/>
      <c r="O81" s="110"/>
      <c r="P81" s="111">
        <f t="shared" si="104"/>
        <v>0</v>
      </c>
      <c r="Q81" s="109">
        <f t="shared" ref="Q81:R84" si="115">+Q11+Q16+Q21+Q26+Q31+Q36+Q41+Q46+Q51+Q56+Q61+Q66+Q71+Q76</f>
        <v>0</v>
      </c>
      <c r="R81" s="109">
        <f t="shared" si="115"/>
        <v>0</v>
      </c>
      <c r="S81" s="109">
        <f>+Q81-R81</f>
        <v>0</v>
      </c>
      <c r="T81" s="112"/>
      <c r="U81" s="110"/>
      <c r="V81" s="110"/>
      <c r="W81" s="111">
        <f>+IFERROR(X81/$I81,"-")</f>
        <v>0</v>
      </c>
      <c r="X81" s="109">
        <f t="shared" ref="X81:Y84" si="116">+X11+X16+X21+X26+X31+X36+X41+X46+X51+X56+X61+X66+X71+X76</f>
        <v>0</v>
      </c>
      <c r="Y81" s="109">
        <f t="shared" si="116"/>
        <v>0</v>
      </c>
      <c r="Z81" s="109">
        <f>+X81-Y81</f>
        <v>0</v>
      </c>
      <c r="AA81" s="112"/>
      <c r="AB81" s="110"/>
      <c r="AC81" s="110"/>
      <c r="AD81" s="111">
        <f>+IFERROR(AE81/$I81,"-")</f>
        <v>0.5</v>
      </c>
      <c r="AE81" s="109">
        <f t="shared" ref="AE81:AF84" si="117">+AE11+AE16+AE21+AE26+AE31+AE36+AE41+AE46+AE51+AE56+AE61+AE66+AE71+AE76</f>
        <v>2837450000</v>
      </c>
      <c r="AF81" s="109">
        <f t="shared" si="117"/>
        <v>0</v>
      </c>
      <c r="AG81" s="109">
        <f>+AE81-AF81</f>
        <v>2837450000</v>
      </c>
      <c r="AH81" s="112"/>
      <c r="AI81" s="110"/>
      <c r="AJ81" s="110"/>
      <c r="AK81" s="111">
        <f>+IFERROR(AL81/$I81,"-")</f>
        <v>0</v>
      </c>
      <c r="AL81" s="109">
        <f t="shared" ref="AL81:AM84" si="118">+AL11+AL16+AL21+AL26+AL31+AL36+AL41+AL46+AL51+AL56+AL61+AL66+AL71+AL76</f>
        <v>0</v>
      </c>
      <c r="AM81" s="109">
        <f t="shared" si="118"/>
        <v>0</v>
      </c>
      <c r="AN81" s="109">
        <f>+AL81-AM81</f>
        <v>0</v>
      </c>
      <c r="AO81" s="112"/>
      <c r="AP81" s="110"/>
      <c r="AQ81" s="110"/>
      <c r="AR81" s="111">
        <f>+IFERROR(AS81/$I81,"-")</f>
        <v>0</v>
      </c>
      <c r="AS81" s="109">
        <f t="shared" ref="AS81:AT84" si="119">+AS11+AS16+AS21+AS26+AS31+AS36+AS41+AS46+AS51+AS56+AS61+AS66+AS71+AS76</f>
        <v>0</v>
      </c>
      <c r="AT81" s="109">
        <f t="shared" si="119"/>
        <v>0</v>
      </c>
      <c r="AU81" s="109">
        <f>+AS81-AT81</f>
        <v>0</v>
      </c>
      <c r="AV81" s="112"/>
      <c r="AW81" s="110"/>
      <c r="AX81" s="110"/>
      <c r="AY81" s="111">
        <f>+IFERROR(AZ81/$I81,"-")</f>
        <v>0</v>
      </c>
      <c r="AZ81" s="109">
        <f t="shared" ref="AZ81:BA84" si="120">+AZ11+AZ16+AZ21+AZ26+AZ31+AZ36+AZ41+AZ46+AZ51+AZ56+AZ61+AZ66+AZ71+AZ76</f>
        <v>0</v>
      </c>
      <c r="BA81" s="109">
        <f t="shared" si="120"/>
        <v>0</v>
      </c>
      <c r="BB81" s="109">
        <f>+AZ81-BA81</f>
        <v>0</v>
      </c>
      <c r="BC81" s="112"/>
      <c r="BD81" s="110"/>
      <c r="BE81" s="110"/>
      <c r="BF81" s="111">
        <f>+IFERROR(BG81/$I81,"-")</f>
        <v>0.4</v>
      </c>
      <c r="BG81" s="109">
        <f t="shared" ref="BG81:BH84" si="121">+BG11+BG16+BG21+BG26+BG31+BG36+BG41+BG46+BG51+BG56+BG61+BG66+BG71+BG76</f>
        <v>2269960000</v>
      </c>
      <c r="BH81" s="109">
        <f t="shared" si="121"/>
        <v>0</v>
      </c>
      <c r="BI81" s="109">
        <f>+BG81-BH81</f>
        <v>2269960000</v>
      </c>
      <c r="BJ81" s="112"/>
      <c r="BK81" s="110"/>
      <c r="BL81" s="110"/>
      <c r="BM81" s="111">
        <f>+IFERROR(BN81/$I81,"-")</f>
        <v>0.1</v>
      </c>
      <c r="BN81" s="109">
        <f t="shared" ref="BN81:BO84" si="122">+BN11+BN16+BN21+BN26+BN31+BN36+BN41+BN46+BN51+BN56+BN61+BN66+BN71+BN76</f>
        <v>567490000</v>
      </c>
      <c r="BO81" s="109">
        <f t="shared" si="122"/>
        <v>0</v>
      </c>
      <c r="BP81" s="109">
        <f>+BN81-BO81</f>
        <v>567490000</v>
      </c>
      <c r="BQ81" s="112"/>
      <c r="BR81" s="73"/>
      <c r="BS81" s="113" t="b">
        <f>+Q81+X81+AE81+AS81+AZ81+BG81+BN81=I81</f>
        <v>1</v>
      </c>
      <c r="BT81" s="113" t="b">
        <f>+R81+Y81+AF81+AT81+BA81+BH81+BO81=K81</f>
        <v>1</v>
      </c>
      <c r="BU81" s="113"/>
      <c r="BV81" s="54"/>
      <c r="BW81" s="54"/>
      <c r="BX81" s="54"/>
      <c r="BY81" s="54"/>
      <c r="BZ81" s="54"/>
      <c r="CA81" s="54"/>
      <c r="CB81" s="54"/>
      <c r="CC81" s="54"/>
      <c r="CD81" s="58"/>
      <c r="CE81" s="58"/>
    </row>
    <row r="82" spans="1:83" ht="16.5" customHeight="1">
      <c r="A82" s="62"/>
      <c r="B82" s="1346"/>
      <c r="C82" s="1346"/>
      <c r="D82" s="1348"/>
      <c r="E82" s="1346"/>
      <c r="F82" s="114" t="s">
        <v>389</v>
      </c>
      <c r="G82" s="109">
        <f>+G12+G17+G22+G27+G32+G37+G42+G47+G52+G57+G62+G67+G72+G77</f>
        <v>1407000000</v>
      </c>
      <c r="H82" s="115">
        <f>+G82*10%</f>
        <v>140700000</v>
      </c>
      <c r="I82" s="115">
        <f>SUM(G82:H82)</f>
        <v>1547700000</v>
      </c>
      <c r="J82" s="114">
        <f>+IFERROR(K82/I82,"-")</f>
        <v>0.62995315629643989</v>
      </c>
      <c r="K82" s="109">
        <f t="shared" si="114"/>
        <v>974978500</v>
      </c>
      <c r="L82" s="109">
        <f t="shared" si="114"/>
        <v>572721500</v>
      </c>
      <c r="M82" s="426"/>
      <c r="N82" s="116"/>
      <c r="O82" s="116"/>
      <c r="P82" s="117">
        <f t="shared" si="104"/>
        <v>0.3</v>
      </c>
      <c r="Q82" s="109">
        <f t="shared" si="115"/>
        <v>464310000</v>
      </c>
      <c r="R82" s="109">
        <f t="shared" si="115"/>
        <v>464607000</v>
      </c>
      <c r="S82" s="115">
        <f>+Q82-R82</f>
        <v>-297000</v>
      </c>
      <c r="T82" s="118"/>
      <c r="U82" s="116"/>
      <c r="V82" s="116"/>
      <c r="W82" s="117">
        <f t="shared" ref="W82:W85" si="123">+IFERROR(X82/$I82,"-")</f>
        <v>0.1</v>
      </c>
      <c r="X82" s="109">
        <f t="shared" si="116"/>
        <v>154770000</v>
      </c>
      <c r="Y82" s="109">
        <f t="shared" si="116"/>
        <v>102976500</v>
      </c>
      <c r="Z82" s="115">
        <f t="shared" ref="Z82:Z85" si="124">+X82-Y82</f>
        <v>51793500</v>
      </c>
      <c r="AA82" s="118"/>
      <c r="AB82" s="116"/>
      <c r="AC82" s="116"/>
      <c r="AD82" s="117">
        <f t="shared" ref="AD82:AD85" si="125">+IFERROR(AE82/$I82,"-")</f>
        <v>0.5</v>
      </c>
      <c r="AE82" s="109">
        <f t="shared" si="117"/>
        <v>773850000</v>
      </c>
      <c r="AF82" s="109">
        <f t="shared" si="117"/>
        <v>407395000</v>
      </c>
      <c r="AG82" s="115">
        <f t="shared" ref="AG82:AG85" si="126">+AE82-AF82</f>
        <v>366455000</v>
      </c>
      <c r="AH82" s="118"/>
      <c r="AI82" s="116"/>
      <c r="AJ82" s="116"/>
      <c r="AK82" s="117">
        <f t="shared" ref="AK82:AK85" si="127">+IFERROR(AL82/$I82,"-")</f>
        <v>0</v>
      </c>
      <c r="AL82" s="109">
        <f t="shared" si="118"/>
        <v>0</v>
      </c>
      <c r="AM82" s="109">
        <f t="shared" si="118"/>
        <v>0</v>
      </c>
      <c r="AN82" s="115">
        <f t="shared" ref="AN82:AN85" si="128">+AL82-AM82</f>
        <v>0</v>
      </c>
      <c r="AO82" s="118"/>
      <c r="AP82" s="116"/>
      <c r="AQ82" s="116"/>
      <c r="AR82" s="117">
        <f t="shared" ref="AR82:AR85" si="129">+IFERROR(AS82/$I82,"-")</f>
        <v>0</v>
      </c>
      <c r="AS82" s="109">
        <f t="shared" si="119"/>
        <v>0</v>
      </c>
      <c r="AT82" s="109">
        <f t="shared" si="119"/>
        <v>0</v>
      </c>
      <c r="AU82" s="115">
        <f t="shared" ref="AU82:AU85" si="130">+AS82-AT82</f>
        <v>0</v>
      </c>
      <c r="AV82" s="118"/>
      <c r="AW82" s="116"/>
      <c r="AX82" s="116"/>
      <c r="AY82" s="117">
        <f t="shared" ref="AY82:AY85" si="131">+IFERROR(AZ82/$I82,"-")</f>
        <v>0</v>
      </c>
      <c r="AZ82" s="109">
        <f t="shared" si="120"/>
        <v>0</v>
      </c>
      <c r="BA82" s="109">
        <f t="shared" si="120"/>
        <v>0</v>
      </c>
      <c r="BB82" s="115">
        <f t="shared" ref="BB82:BB85" si="132">+AZ82-BA82</f>
        <v>0</v>
      </c>
      <c r="BC82" s="118"/>
      <c r="BD82" s="116"/>
      <c r="BE82" s="116"/>
      <c r="BF82" s="117">
        <f t="shared" ref="BF82:BF85" si="133">+IFERROR(BG82/$I82,"-")</f>
        <v>0</v>
      </c>
      <c r="BG82" s="109">
        <f t="shared" si="121"/>
        <v>0</v>
      </c>
      <c r="BH82" s="109">
        <f t="shared" si="121"/>
        <v>0</v>
      </c>
      <c r="BI82" s="115">
        <f t="shared" ref="BI82:BI85" si="134">+BG82-BH82</f>
        <v>0</v>
      </c>
      <c r="BJ82" s="118"/>
      <c r="BK82" s="116"/>
      <c r="BL82" s="116"/>
      <c r="BM82" s="117">
        <f t="shared" ref="BM82:BM85" si="135">+IFERROR(BN82/$I82,"-")</f>
        <v>0.1</v>
      </c>
      <c r="BN82" s="109">
        <f t="shared" si="122"/>
        <v>154770000</v>
      </c>
      <c r="BO82" s="109">
        <f t="shared" si="122"/>
        <v>0</v>
      </c>
      <c r="BP82" s="115">
        <f t="shared" ref="BP82:BP85" si="136">+BN82-BO82</f>
        <v>154770000</v>
      </c>
      <c r="BQ82" s="118"/>
      <c r="BR82" s="73"/>
      <c r="BS82" s="113" t="b">
        <f t="shared" ref="BS82:BS84" si="137">+Q82+X82+AE82+AS82+AZ82+BG82+BN82=I82</f>
        <v>1</v>
      </c>
      <c r="BT82" s="113" t="b">
        <f t="shared" ref="BT82:BT84" si="138">+R82+Y82+AF82+AT82+BA82+BH82+BO82=K82</f>
        <v>1</v>
      </c>
      <c r="BU82" s="113"/>
      <c r="BV82" s="54"/>
      <c r="BW82" s="54"/>
      <c r="BX82" s="54"/>
      <c r="BY82" s="54"/>
      <c r="BZ82" s="54"/>
      <c r="CA82" s="54"/>
      <c r="CB82" s="54"/>
      <c r="CC82" s="54"/>
      <c r="CD82" s="58"/>
      <c r="CE82" s="58"/>
    </row>
    <row r="83" spans="1:83" ht="16.5" customHeight="1">
      <c r="A83" s="62"/>
      <c r="B83" s="1346"/>
      <c r="C83" s="1346"/>
      <c r="D83" s="1348"/>
      <c r="E83" s="1346"/>
      <c r="F83" s="114" t="s">
        <v>390</v>
      </c>
      <c r="G83" s="109">
        <f>+G13+G18+G23+G28+G33+G38+G43+G48+G53+G58+G63+G68+G73+G78</f>
        <v>588300000</v>
      </c>
      <c r="H83" s="115">
        <f t="shared" ref="H83" si="139">+G83*10%</f>
        <v>58830000</v>
      </c>
      <c r="I83" s="115">
        <f>SUM(G83:H83)</f>
        <v>647130000</v>
      </c>
      <c r="J83" s="114">
        <f>+IFERROR(K83/I83,"-")</f>
        <v>0.54631140574536796</v>
      </c>
      <c r="K83" s="109">
        <f t="shared" si="114"/>
        <v>353534500</v>
      </c>
      <c r="L83" s="109">
        <f t="shared" si="114"/>
        <v>293595500</v>
      </c>
      <c r="M83" s="426"/>
      <c r="N83" s="116"/>
      <c r="O83" s="116"/>
      <c r="P83" s="117">
        <f t="shared" si="104"/>
        <v>0.3</v>
      </c>
      <c r="Q83" s="109">
        <f t="shared" si="115"/>
        <v>194139000</v>
      </c>
      <c r="R83" s="109">
        <f t="shared" si="115"/>
        <v>194188500</v>
      </c>
      <c r="S83" s="115">
        <f>+Q83-R83</f>
        <v>-49500</v>
      </c>
      <c r="T83" s="118"/>
      <c r="U83" s="116"/>
      <c r="V83" s="116"/>
      <c r="W83" s="117">
        <f t="shared" si="123"/>
        <v>0.1</v>
      </c>
      <c r="X83" s="109">
        <f t="shared" si="116"/>
        <v>64713000</v>
      </c>
      <c r="Y83" s="109">
        <f t="shared" si="116"/>
        <v>35596000</v>
      </c>
      <c r="Z83" s="115">
        <f t="shared" si="124"/>
        <v>29117000</v>
      </c>
      <c r="AA83" s="118"/>
      <c r="AB83" s="116"/>
      <c r="AC83" s="116"/>
      <c r="AD83" s="117">
        <f t="shared" si="125"/>
        <v>0.5</v>
      </c>
      <c r="AE83" s="109">
        <f t="shared" si="117"/>
        <v>323565000</v>
      </c>
      <c r="AF83" s="109">
        <f t="shared" si="117"/>
        <v>123750000</v>
      </c>
      <c r="AG83" s="115">
        <f t="shared" si="126"/>
        <v>199815000</v>
      </c>
      <c r="AH83" s="118"/>
      <c r="AI83" s="116"/>
      <c r="AJ83" s="116"/>
      <c r="AK83" s="117">
        <f t="shared" si="127"/>
        <v>0</v>
      </c>
      <c r="AL83" s="109">
        <f t="shared" si="118"/>
        <v>0</v>
      </c>
      <c r="AM83" s="109">
        <f t="shared" si="118"/>
        <v>0</v>
      </c>
      <c r="AN83" s="115">
        <f t="shared" si="128"/>
        <v>0</v>
      </c>
      <c r="AO83" s="118"/>
      <c r="AP83" s="116"/>
      <c r="AQ83" s="116"/>
      <c r="AR83" s="117">
        <f t="shared" si="129"/>
        <v>0</v>
      </c>
      <c r="AS83" s="109">
        <f t="shared" si="119"/>
        <v>0</v>
      </c>
      <c r="AT83" s="109">
        <f t="shared" si="119"/>
        <v>0</v>
      </c>
      <c r="AU83" s="115">
        <f t="shared" si="130"/>
        <v>0</v>
      </c>
      <c r="AV83" s="118"/>
      <c r="AW83" s="116"/>
      <c r="AX83" s="116"/>
      <c r="AY83" s="117">
        <f t="shared" si="131"/>
        <v>0</v>
      </c>
      <c r="AZ83" s="109">
        <f t="shared" si="120"/>
        <v>0</v>
      </c>
      <c r="BA83" s="109">
        <f t="shared" si="120"/>
        <v>0</v>
      </c>
      <c r="BB83" s="115">
        <f t="shared" si="132"/>
        <v>0</v>
      </c>
      <c r="BC83" s="118"/>
      <c r="BD83" s="116"/>
      <c r="BE83" s="116"/>
      <c r="BF83" s="117">
        <f t="shared" si="133"/>
        <v>0</v>
      </c>
      <c r="BG83" s="109">
        <f t="shared" si="121"/>
        <v>0</v>
      </c>
      <c r="BH83" s="109">
        <f t="shared" si="121"/>
        <v>0</v>
      </c>
      <c r="BI83" s="115">
        <f t="shared" si="134"/>
        <v>0</v>
      </c>
      <c r="BJ83" s="118"/>
      <c r="BK83" s="116"/>
      <c r="BL83" s="116"/>
      <c r="BM83" s="117">
        <f t="shared" si="135"/>
        <v>0.1</v>
      </c>
      <c r="BN83" s="109">
        <f t="shared" si="122"/>
        <v>64713000</v>
      </c>
      <c r="BO83" s="109">
        <f t="shared" si="122"/>
        <v>0</v>
      </c>
      <c r="BP83" s="115">
        <f t="shared" si="136"/>
        <v>64713000</v>
      </c>
      <c r="BQ83" s="118"/>
      <c r="BR83" s="73"/>
      <c r="BS83" s="113" t="b">
        <f t="shared" si="137"/>
        <v>1</v>
      </c>
      <c r="BT83" s="113" t="b">
        <f t="shared" si="138"/>
        <v>1</v>
      </c>
      <c r="BU83" s="113"/>
      <c r="BV83" s="54"/>
      <c r="BW83" s="54"/>
      <c r="BX83" s="54"/>
      <c r="BY83" s="54"/>
      <c r="BZ83" s="54"/>
      <c r="CA83" s="54"/>
      <c r="CB83" s="54"/>
      <c r="CC83" s="54"/>
      <c r="CD83" s="58"/>
      <c r="CE83" s="58"/>
    </row>
    <row r="84" spans="1:83" ht="16.5" customHeight="1">
      <c r="A84" s="62"/>
      <c r="B84" s="1346"/>
      <c r="C84" s="1346"/>
      <c r="D84" s="1348"/>
      <c r="E84" s="1346"/>
      <c r="F84" s="119" t="s">
        <v>391</v>
      </c>
      <c r="G84" s="109">
        <f>+G14+G19+G24+G29+G34+G39+G44+G49+G54+G59+G64+G69+G74+G79</f>
        <v>849925000</v>
      </c>
      <c r="H84" s="120">
        <f>+G84*0.1</f>
        <v>84992500</v>
      </c>
      <c r="I84" s="120">
        <f>SUM(G84:H84)</f>
        <v>934917500</v>
      </c>
      <c r="J84" s="119">
        <f>+IFERROR(K84/I84,"-")</f>
        <v>0</v>
      </c>
      <c r="K84" s="109">
        <f t="shared" si="114"/>
        <v>0</v>
      </c>
      <c r="L84" s="109">
        <f t="shared" si="114"/>
        <v>934917500</v>
      </c>
      <c r="M84" s="427"/>
      <c r="N84" s="119"/>
      <c r="O84" s="119"/>
      <c r="P84" s="121">
        <f t="shared" si="104"/>
        <v>0</v>
      </c>
      <c r="Q84" s="109">
        <f t="shared" si="115"/>
        <v>0</v>
      </c>
      <c r="R84" s="109">
        <f t="shared" si="115"/>
        <v>0</v>
      </c>
      <c r="S84" s="120">
        <f>+Q84-R84</f>
        <v>0</v>
      </c>
      <c r="T84" s="119"/>
      <c r="U84" s="119"/>
      <c r="V84" s="119"/>
      <c r="W84" s="121">
        <f t="shared" si="123"/>
        <v>0</v>
      </c>
      <c r="X84" s="109">
        <f t="shared" si="116"/>
        <v>0</v>
      </c>
      <c r="Y84" s="109">
        <f t="shared" si="116"/>
        <v>0</v>
      </c>
      <c r="Z84" s="120">
        <f t="shared" si="124"/>
        <v>0</v>
      </c>
      <c r="AA84" s="119"/>
      <c r="AB84" s="119"/>
      <c r="AC84" s="119"/>
      <c r="AD84" s="121">
        <f t="shared" si="125"/>
        <v>0</v>
      </c>
      <c r="AE84" s="109">
        <f t="shared" si="117"/>
        <v>0</v>
      </c>
      <c r="AF84" s="109">
        <f t="shared" si="117"/>
        <v>0</v>
      </c>
      <c r="AG84" s="120">
        <f t="shared" si="126"/>
        <v>0</v>
      </c>
      <c r="AH84" s="119"/>
      <c r="AI84" s="119"/>
      <c r="AJ84" s="119"/>
      <c r="AK84" s="121">
        <f t="shared" si="127"/>
        <v>0</v>
      </c>
      <c r="AL84" s="109">
        <f t="shared" si="118"/>
        <v>0</v>
      </c>
      <c r="AM84" s="109">
        <f t="shared" si="118"/>
        <v>0</v>
      </c>
      <c r="AN84" s="120">
        <f t="shared" si="128"/>
        <v>0</v>
      </c>
      <c r="AO84" s="119"/>
      <c r="AP84" s="119"/>
      <c r="AQ84" s="119"/>
      <c r="AR84" s="121">
        <f t="shared" si="129"/>
        <v>0</v>
      </c>
      <c r="AS84" s="109">
        <f t="shared" si="119"/>
        <v>0</v>
      </c>
      <c r="AT84" s="109">
        <f t="shared" si="119"/>
        <v>0</v>
      </c>
      <c r="AU84" s="120">
        <f t="shared" si="130"/>
        <v>0</v>
      </c>
      <c r="AV84" s="119"/>
      <c r="AW84" s="119"/>
      <c r="AX84" s="119"/>
      <c r="AY84" s="121">
        <f t="shared" si="131"/>
        <v>0</v>
      </c>
      <c r="AZ84" s="109">
        <f t="shared" si="120"/>
        <v>0</v>
      </c>
      <c r="BA84" s="109">
        <f t="shared" si="120"/>
        <v>0</v>
      </c>
      <c r="BB84" s="120">
        <f t="shared" si="132"/>
        <v>0</v>
      </c>
      <c r="BC84" s="119"/>
      <c r="BD84" s="119"/>
      <c r="BE84" s="119"/>
      <c r="BF84" s="121">
        <f t="shared" si="133"/>
        <v>0</v>
      </c>
      <c r="BG84" s="109">
        <f t="shared" si="121"/>
        <v>0</v>
      </c>
      <c r="BH84" s="109">
        <f t="shared" si="121"/>
        <v>0</v>
      </c>
      <c r="BI84" s="120">
        <f t="shared" si="134"/>
        <v>0</v>
      </c>
      <c r="BJ84" s="119"/>
      <c r="BK84" s="119"/>
      <c r="BL84" s="119"/>
      <c r="BM84" s="121">
        <f t="shared" si="135"/>
        <v>1</v>
      </c>
      <c r="BN84" s="109">
        <f t="shared" si="122"/>
        <v>934917500</v>
      </c>
      <c r="BO84" s="109">
        <f t="shared" si="122"/>
        <v>0</v>
      </c>
      <c r="BP84" s="120">
        <f t="shared" si="136"/>
        <v>934917500</v>
      </c>
      <c r="BQ84" s="119"/>
      <c r="BR84" s="88"/>
      <c r="BS84" s="122" t="b">
        <f t="shared" si="137"/>
        <v>1</v>
      </c>
      <c r="BT84" s="123" t="b">
        <f t="shared" si="138"/>
        <v>1</v>
      </c>
      <c r="BU84" s="123"/>
      <c r="BV84" s="54"/>
      <c r="BW84" s="54"/>
      <c r="BX84" s="54"/>
      <c r="BY84" s="54"/>
      <c r="BZ84" s="54"/>
      <c r="CA84" s="54"/>
      <c r="CB84" s="54"/>
      <c r="CC84" s="54"/>
      <c r="CD84" s="58"/>
      <c r="CE84" s="58"/>
    </row>
    <row r="85" spans="1:83" ht="16.5" customHeight="1">
      <c r="A85" s="62"/>
      <c r="B85" s="1347"/>
      <c r="C85" s="1347"/>
      <c r="D85" s="1347"/>
      <c r="E85" s="1347"/>
      <c r="F85" s="124" t="s">
        <v>392</v>
      </c>
      <c r="G85" s="125">
        <f>SUM(G81:G84)</f>
        <v>8004225000</v>
      </c>
      <c r="H85" s="125">
        <f>SUM(H81:H84)</f>
        <v>800422500</v>
      </c>
      <c r="I85" s="125">
        <f>SUM(I81:I84)</f>
        <v>8804647500</v>
      </c>
      <c r="J85" s="124">
        <f>+IFERROR(K85/I85,"-")</f>
        <v>0.15088769879770883</v>
      </c>
      <c r="K85" s="125">
        <f>SUM(K81:K84)</f>
        <v>1328513000</v>
      </c>
      <c r="L85" s="125">
        <f>SUM(L81:L84)</f>
        <v>7476134500</v>
      </c>
      <c r="M85" s="424">
        <f>+M75+M70+M65+M60+M55+M50+M45+M40+M35+M30+M25+M20+M15</f>
        <v>564793000</v>
      </c>
      <c r="N85" s="126"/>
      <c r="O85" s="124"/>
      <c r="P85" s="127">
        <f t="shared" si="104"/>
        <v>7.4784254565557567E-2</v>
      </c>
      <c r="Q85" s="125">
        <f>SUM(Q81:Q84)</f>
        <v>658449000</v>
      </c>
      <c r="R85" s="125">
        <f>SUM(R81:R84)</f>
        <v>658795500</v>
      </c>
      <c r="S85" s="128">
        <f>+Q85-R85</f>
        <v>-346500</v>
      </c>
      <c r="T85" s="124"/>
      <c r="U85" s="126"/>
      <c r="V85" s="124"/>
      <c r="W85" s="127">
        <f t="shared" si="123"/>
        <v>2.4928084855185856E-2</v>
      </c>
      <c r="X85" s="125">
        <f>SUM(X81:X84)</f>
        <v>219483000</v>
      </c>
      <c r="Y85" s="125">
        <f>SUM(Y81:Y84)</f>
        <v>138572500</v>
      </c>
      <c r="Z85" s="128">
        <f t="shared" si="124"/>
        <v>80910500</v>
      </c>
      <c r="AA85" s="124"/>
      <c r="AB85" s="126"/>
      <c r="AC85" s="124"/>
      <c r="AD85" s="127">
        <f t="shared" si="125"/>
        <v>0.44690772685675378</v>
      </c>
      <c r="AE85" s="125">
        <f>SUM(AE81:AE84)</f>
        <v>3934865000</v>
      </c>
      <c r="AF85" s="125">
        <f>SUM(AF81:AF84)</f>
        <v>531145000</v>
      </c>
      <c r="AG85" s="128">
        <f t="shared" si="126"/>
        <v>3403720000</v>
      </c>
      <c r="AH85" s="124"/>
      <c r="AI85" s="126"/>
      <c r="AJ85" s="124"/>
      <c r="AK85" s="127">
        <f t="shared" si="127"/>
        <v>0</v>
      </c>
      <c r="AL85" s="125">
        <f>SUM(AL81:AL84)</f>
        <v>0</v>
      </c>
      <c r="AM85" s="125">
        <f>SUM(AM81:AM84)</f>
        <v>0</v>
      </c>
      <c r="AN85" s="128">
        <f t="shared" si="128"/>
        <v>0</v>
      </c>
      <c r="AO85" s="124"/>
      <c r="AP85" s="126"/>
      <c r="AQ85" s="124"/>
      <c r="AR85" s="127">
        <f t="shared" si="129"/>
        <v>0</v>
      </c>
      <c r="AS85" s="125">
        <f>SUM(AS81:AS84)</f>
        <v>0</v>
      </c>
      <c r="AT85" s="125">
        <f>SUM(AT81:AT84)</f>
        <v>0</v>
      </c>
      <c r="AU85" s="128">
        <f t="shared" si="130"/>
        <v>0</v>
      </c>
      <c r="AV85" s="124"/>
      <c r="AW85" s="126"/>
      <c r="AX85" s="124"/>
      <c r="AY85" s="127">
        <f t="shared" si="131"/>
        <v>0</v>
      </c>
      <c r="AZ85" s="125">
        <f>SUM(AZ81:AZ84)</f>
        <v>0</v>
      </c>
      <c r="BA85" s="125">
        <f>SUM(BA81:BA84)</f>
        <v>0</v>
      </c>
      <c r="BB85" s="128">
        <f t="shared" si="132"/>
        <v>0</v>
      </c>
      <c r="BC85" s="124"/>
      <c r="BD85" s="126"/>
      <c r="BE85" s="124"/>
      <c r="BF85" s="127">
        <f t="shared" si="133"/>
        <v>0.25781384206465963</v>
      </c>
      <c r="BG85" s="125">
        <f>SUM(BG81:BG84)</f>
        <v>2269960000</v>
      </c>
      <c r="BH85" s="125">
        <f>SUM(BH81:BH84)</f>
        <v>0</v>
      </c>
      <c r="BI85" s="128">
        <f t="shared" si="134"/>
        <v>2269960000</v>
      </c>
      <c r="BJ85" s="124"/>
      <c r="BK85" s="126"/>
      <c r="BL85" s="124"/>
      <c r="BM85" s="127">
        <f t="shared" si="135"/>
        <v>0.19556609165784319</v>
      </c>
      <c r="BN85" s="125">
        <f>SUM(BN81:BN84)</f>
        <v>1721890500</v>
      </c>
      <c r="BO85" s="125">
        <f>SUM(BO81:BO84)</f>
        <v>0</v>
      </c>
      <c r="BP85" s="128">
        <f t="shared" si="136"/>
        <v>1721890500</v>
      </c>
      <c r="BQ85" s="124"/>
      <c r="BR85" s="88"/>
      <c r="BS85" s="129"/>
      <c r="BT85" s="130"/>
      <c r="BU85" s="130"/>
      <c r="BV85" s="54"/>
      <c r="BW85" s="54"/>
      <c r="BX85" s="54"/>
      <c r="BY85" s="54"/>
      <c r="BZ85" s="54"/>
      <c r="CA85" s="54"/>
      <c r="CB85" s="54"/>
      <c r="CC85" s="54"/>
      <c r="CD85" s="58"/>
      <c r="CE85" s="58"/>
    </row>
    <row r="86" spans="1:83">
      <c r="G86" s="131"/>
    </row>
    <row r="88" spans="1:83">
      <c r="G88" s="449"/>
      <c r="H88" s="449"/>
      <c r="AF88" s="131"/>
    </row>
    <row r="89" spans="1:83">
      <c r="G89" s="449"/>
      <c r="H89" s="449"/>
    </row>
    <row r="90" spans="1:83">
      <c r="G90" s="449"/>
      <c r="H90" s="449"/>
    </row>
    <row r="92" spans="1:83">
      <c r="X92" s="132"/>
      <c r="Z92" s="132"/>
      <c r="AE92" s="132"/>
      <c r="AG92" s="132"/>
      <c r="AL92" s="132"/>
      <c r="AN92" s="132"/>
      <c r="AS92" s="132"/>
      <c r="AU92" s="132"/>
      <c r="AZ92" s="132"/>
      <c r="BB92" s="132"/>
      <c r="BG92" s="132"/>
      <c r="BI92" s="132"/>
      <c r="BN92" s="132"/>
      <c r="BP92" s="132"/>
      <c r="BV92" s="132"/>
      <c r="BW92" s="133"/>
      <c r="BZ92" s="133"/>
    </row>
  </sheetData>
  <mergeCells count="92">
    <mergeCell ref="B81:C85"/>
    <mergeCell ref="D81:D85"/>
    <mergeCell ref="E81:E85"/>
    <mergeCell ref="B71:B75"/>
    <mergeCell ref="C71:C75"/>
    <mergeCell ref="D71:D75"/>
    <mergeCell ref="E71:E75"/>
    <mergeCell ref="M71:M74"/>
    <mergeCell ref="B76:B80"/>
    <mergeCell ref="C76:C80"/>
    <mergeCell ref="D76:D80"/>
    <mergeCell ref="E76:E80"/>
    <mergeCell ref="M76:M79"/>
    <mergeCell ref="B61:B65"/>
    <mergeCell ref="C61:C65"/>
    <mergeCell ref="D61:D65"/>
    <mergeCell ref="E61:E65"/>
    <mergeCell ref="M61:M64"/>
    <mergeCell ref="B66:B70"/>
    <mergeCell ref="C66:C70"/>
    <mergeCell ref="D66:D70"/>
    <mergeCell ref="E66:E70"/>
    <mergeCell ref="M66:M69"/>
    <mergeCell ref="B51:B55"/>
    <mergeCell ref="C51:C55"/>
    <mergeCell ref="D51:D55"/>
    <mergeCell ref="E51:E55"/>
    <mergeCell ref="M51:M54"/>
    <mergeCell ref="B56:B60"/>
    <mergeCell ref="C56:C60"/>
    <mergeCell ref="D56:D60"/>
    <mergeCell ref="E56:E60"/>
    <mergeCell ref="M56:M59"/>
    <mergeCell ref="B41:B45"/>
    <mergeCell ref="C41:C45"/>
    <mergeCell ref="D41:D45"/>
    <mergeCell ref="E41:E45"/>
    <mergeCell ref="M41:M44"/>
    <mergeCell ref="B46:B50"/>
    <mergeCell ref="C46:C50"/>
    <mergeCell ref="D46:D50"/>
    <mergeCell ref="E46:E50"/>
    <mergeCell ref="M46:M49"/>
    <mergeCell ref="B31:B35"/>
    <mergeCell ref="C31:C35"/>
    <mergeCell ref="D31:D35"/>
    <mergeCell ref="E31:E35"/>
    <mergeCell ref="M31:M34"/>
    <mergeCell ref="B36:B40"/>
    <mergeCell ref="C36:C40"/>
    <mergeCell ref="D36:D40"/>
    <mergeCell ref="E36:E40"/>
    <mergeCell ref="M36:M39"/>
    <mergeCell ref="M21:M24"/>
    <mergeCell ref="B26:B30"/>
    <mergeCell ref="C26:C30"/>
    <mergeCell ref="D26:D30"/>
    <mergeCell ref="E26:E30"/>
    <mergeCell ref="M26:M29"/>
    <mergeCell ref="B16:B20"/>
    <mergeCell ref="C16:C20"/>
    <mergeCell ref="D16:D20"/>
    <mergeCell ref="E16:E20"/>
    <mergeCell ref="B21:B25"/>
    <mergeCell ref="C21:C25"/>
    <mergeCell ref="D21:D25"/>
    <mergeCell ref="E21:E25"/>
    <mergeCell ref="BK9:BQ9"/>
    <mergeCell ref="BS9:BU10"/>
    <mergeCell ref="B11:B15"/>
    <mergeCell ref="C11:C15"/>
    <mergeCell ref="D11:D15"/>
    <mergeCell ref="E11:E15"/>
    <mergeCell ref="M11:M14"/>
    <mergeCell ref="U9:AA9"/>
    <mergeCell ref="AB9:AH9"/>
    <mergeCell ref="AI9:AO9"/>
    <mergeCell ref="AP9:AV9"/>
    <mergeCell ref="AW9:BC9"/>
    <mergeCell ref="BD9:BJ9"/>
    <mergeCell ref="G9:G10"/>
    <mergeCell ref="H9:H10"/>
    <mergeCell ref="I9:I10"/>
    <mergeCell ref="J9:L9"/>
    <mergeCell ref="M9:M10"/>
    <mergeCell ref="N9:T9"/>
    <mergeCell ref="B8:C8"/>
    <mergeCell ref="B9:B10"/>
    <mergeCell ref="C9:C10"/>
    <mergeCell ref="D9:D10"/>
    <mergeCell ref="E9:E10"/>
    <mergeCell ref="F9:F10"/>
  </mergeCells>
  <phoneticPr fontId="9" type="noConversion"/>
  <printOptions horizontalCentered="1"/>
  <pageMargins left="0" right="0" top="0.39370078740157483" bottom="0" header="0" footer="0"/>
  <pageSetup paperSize="8" scale="22" orientation="landscape"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AA6F6-39A2-4DF2-9804-30F41DC881E7}">
  <dimension ref="B2:AK47"/>
  <sheetViews>
    <sheetView showGridLines="0" workbookViewId="0">
      <pane xSplit="6" ySplit="11" topLeftCell="G12" activePane="bottomRight" state="frozen"/>
      <selection activeCell="C36" sqref="B22:C54"/>
      <selection pane="topRight" activeCell="C36" sqref="B22:C54"/>
      <selection pane="bottomLeft" activeCell="C36" sqref="B22:C54"/>
      <selection pane="bottomRight" activeCell="C36" sqref="B22:C54"/>
    </sheetView>
  </sheetViews>
  <sheetFormatPr defaultColWidth="9.140625" defaultRowHeight="12.75"/>
  <cols>
    <col min="1" max="1" width="1.85546875" style="539" customWidth="1"/>
    <col min="2" max="2" width="21.5703125" style="539" bestFit="1" customWidth="1"/>
    <col min="3" max="3" width="4.28515625" style="540" bestFit="1" customWidth="1"/>
    <col min="4" max="4" width="19.85546875" style="540" bestFit="1" customWidth="1"/>
    <col min="5" max="5" width="13.42578125" style="540" bestFit="1" customWidth="1"/>
    <col min="6" max="6" width="11.85546875" style="539" bestFit="1" customWidth="1"/>
    <col min="7" max="7" width="18.5703125" style="539" bestFit="1" customWidth="1"/>
    <col min="8" max="8" width="9.5703125" style="539" bestFit="1" customWidth="1"/>
    <col min="9" max="9" width="13.140625" style="539" bestFit="1" customWidth="1"/>
    <col min="10" max="10" width="13" style="539" bestFit="1" customWidth="1"/>
    <col min="11" max="11" width="13.140625" style="539" bestFit="1" customWidth="1"/>
    <col min="12" max="12" width="10.85546875" style="539" bestFit="1" customWidth="1"/>
    <col min="13" max="13" width="11.7109375" style="539" bestFit="1" customWidth="1"/>
    <col min="14" max="15" width="10.5703125" style="539" bestFit="1" customWidth="1"/>
    <col min="16" max="16" width="11.5703125" style="539" bestFit="1" customWidth="1"/>
    <col min="17" max="17" width="11.7109375" style="539" bestFit="1" customWidth="1"/>
    <col min="18" max="18" width="13.140625" style="539" bestFit="1" customWidth="1"/>
    <col min="19" max="19" width="11.5703125" style="539" bestFit="1" customWidth="1"/>
    <col min="20" max="21" width="11.7109375" style="539" bestFit="1" customWidth="1"/>
    <col min="22" max="36" width="9.140625" style="539"/>
    <col min="37" max="37" width="9.140625" style="541"/>
    <col min="38" max="16384" width="9.140625" style="539"/>
  </cols>
  <sheetData>
    <row r="2" spans="2:36">
      <c r="B2" s="539" t="s">
        <v>408</v>
      </c>
    </row>
    <row r="4" spans="2:36">
      <c r="B4" s="1317" t="s">
        <v>409</v>
      </c>
      <c r="C4" s="1317" t="s">
        <v>358</v>
      </c>
      <c r="D4" s="1317" t="s">
        <v>359</v>
      </c>
      <c r="E4" s="1319" t="s">
        <v>360</v>
      </c>
      <c r="F4" s="1319" t="s">
        <v>410</v>
      </c>
      <c r="G4" s="1319" t="s">
        <v>411</v>
      </c>
      <c r="H4" s="1319" t="s">
        <v>412</v>
      </c>
      <c r="I4" s="1319" t="s">
        <v>156</v>
      </c>
      <c r="J4" s="1319" t="s">
        <v>413</v>
      </c>
      <c r="K4" s="1349" t="s">
        <v>414</v>
      </c>
      <c r="L4" s="1349">
        <v>45688</v>
      </c>
      <c r="M4" s="1349">
        <v>45716</v>
      </c>
      <c r="N4" s="1349">
        <v>45747</v>
      </c>
      <c r="O4" s="1349">
        <v>45777</v>
      </c>
      <c r="P4" s="1349">
        <v>45808</v>
      </c>
      <c r="Q4" s="1349">
        <v>45838</v>
      </c>
      <c r="R4" s="1349">
        <v>45869</v>
      </c>
      <c r="S4" s="1349">
        <v>45900</v>
      </c>
      <c r="T4" s="1349">
        <v>45930</v>
      </c>
      <c r="U4" s="1349">
        <v>45961</v>
      </c>
      <c r="V4" s="1349">
        <v>45991</v>
      </c>
      <c r="W4" s="1349">
        <v>46022</v>
      </c>
      <c r="X4" s="1349" t="s">
        <v>415</v>
      </c>
      <c r="Y4" s="1349">
        <v>46053</v>
      </c>
      <c r="Z4" s="1349">
        <v>46081</v>
      </c>
      <c r="AA4" s="1349">
        <v>46112</v>
      </c>
      <c r="AB4" s="1349">
        <v>46142</v>
      </c>
      <c r="AC4" s="1349">
        <v>46173</v>
      </c>
      <c r="AD4" s="1349">
        <v>46203</v>
      </c>
      <c r="AE4" s="1349">
        <v>46234</v>
      </c>
      <c r="AF4" s="1349">
        <v>46265</v>
      </c>
      <c r="AG4" s="1349">
        <v>46295</v>
      </c>
      <c r="AH4" s="1349">
        <v>46326</v>
      </c>
      <c r="AI4" s="1349">
        <v>46356</v>
      </c>
      <c r="AJ4" s="1349">
        <v>46387</v>
      </c>
    </row>
    <row r="5" spans="2:36">
      <c r="B5" s="1318"/>
      <c r="C5" s="1318"/>
      <c r="D5" s="1318"/>
      <c r="E5" s="1320"/>
      <c r="F5" s="1320"/>
      <c r="G5" s="1320"/>
      <c r="H5" s="1320"/>
      <c r="I5" s="1320"/>
      <c r="J5" s="1320"/>
      <c r="K5" s="1350"/>
      <c r="L5" s="1350"/>
      <c r="M5" s="1350"/>
      <c r="N5" s="1350"/>
      <c r="O5" s="1350"/>
      <c r="P5" s="1350"/>
      <c r="Q5" s="1350"/>
      <c r="R5" s="1350"/>
      <c r="S5" s="1350"/>
      <c r="T5" s="1350"/>
      <c r="U5" s="1350"/>
      <c r="V5" s="1350"/>
      <c r="W5" s="1350"/>
      <c r="X5" s="1350"/>
      <c r="Y5" s="1350"/>
      <c r="Z5" s="1350"/>
      <c r="AA5" s="1350"/>
      <c r="AB5" s="1350"/>
      <c r="AC5" s="1350"/>
      <c r="AD5" s="1350"/>
      <c r="AE5" s="1350"/>
      <c r="AF5" s="1350"/>
      <c r="AG5" s="1350"/>
      <c r="AH5" s="1350"/>
      <c r="AI5" s="1350"/>
      <c r="AJ5" s="1350"/>
    </row>
    <row r="6" spans="2:36" s="547" customFormat="1">
      <c r="B6" s="542" t="s">
        <v>392</v>
      </c>
      <c r="C6" s="542">
        <f>+SUM(C7:C11)</f>
        <v>35</v>
      </c>
      <c r="D6" s="542"/>
      <c r="E6" s="543">
        <f>+SUM(E12:E47)</f>
        <v>12461.235000000001</v>
      </c>
      <c r="F6" s="544"/>
      <c r="G6" s="545">
        <f>+SUM(G12:G47)</f>
        <v>6468986150</v>
      </c>
      <c r="H6" s="546">
        <f t="shared" ref="H6:H11" si="0">+I6/G6</f>
        <v>0.59275802437759118</v>
      </c>
      <c r="I6" s="545">
        <f>+J6+K6+X6</f>
        <v>3834543450</v>
      </c>
      <c r="J6" s="545">
        <f t="shared" ref="J6:AJ6" si="1">+SUM(J12:J47)</f>
        <v>82695800</v>
      </c>
      <c r="K6" s="545">
        <f t="shared" si="1"/>
        <v>3751847650</v>
      </c>
      <c r="L6" s="545">
        <f t="shared" si="1"/>
        <v>76624900</v>
      </c>
      <c r="M6" s="545">
        <f t="shared" si="1"/>
        <v>149806800</v>
      </c>
      <c r="N6" s="545">
        <f t="shared" si="1"/>
        <v>105195200</v>
      </c>
      <c r="O6" s="545">
        <f t="shared" si="1"/>
        <v>132330550</v>
      </c>
      <c r="P6" s="545">
        <f t="shared" si="1"/>
        <v>269249750</v>
      </c>
      <c r="Q6" s="545">
        <f t="shared" si="1"/>
        <v>926710125</v>
      </c>
      <c r="R6" s="545">
        <f t="shared" si="1"/>
        <v>274812450</v>
      </c>
      <c r="S6" s="545">
        <f t="shared" si="1"/>
        <v>748856725</v>
      </c>
      <c r="T6" s="545">
        <f t="shared" si="1"/>
        <v>844521150</v>
      </c>
      <c r="U6" s="545">
        <f t="shared" si="1"/>
        <v>223740000</v>
      </c>
      <c r="V6" s="545">
        <f t="shared" si="1"/>
        <v>0</v>
      </c>
      <c r="W6" s="545">
        <f t="shared" si="1"/>
        <v>0</v>
      </c>
      <c r="X6" s="545">
        <f t="shared" si="1"/>
        <v>0</v>
      </c>
      <c r="Y6" s="545">
        <f t="shared" si="1"/>
        <v>0</v>
      </c>
      <c r="Z6" s="545">
        <f t="shared" si="1"/>
        <v>0</v>
      </c>
      <c r="AA6" s="545">
        <f t="shared" si="1"/>
        <v>0</v>
      </c>
      <c r="AB6" s="545">
        <f t="shared" si="1"/>
        <v>0</v>
      </c>
      <c r="AC6" s="545">
        <f t="shared" si="1"/>
        <v>0</v>
      </c>
      <c r="AD6" s="545">
        <f t="shared" si="1"/>
        <v>0</v>
      </c>
      <c r="AE6" s="545">
        <f t="shared" si="1"/>
        <v>0</v>
      </c>
      <c r="AF6" s="545">
        <f t="shared" si="1"/>
        <v>0</v>
      </c>
      <c r="AG6" s="545">
        <f t="shared" si="1"/>
        <v>0</v>
      </c>
      <c r="AH6" s="545">
        <f t="shared" si="1"/>
        <v>0</v>
      </c>
      <c r="AI6" s="545">
        <f t="shared" si="1"/>
        <v>0</v>
      </c>
      <c r="AJ6" s="545">
        <f t="shared" si="1"/>
        <v>0</v>
      </c>
    </row>
    <row r="7" spans="2:36" s="547" customFormat="1" ht="25.5">
      <c r="B7" s="565" t="s">
        <v>416</v>
      </c>
      <c r="C7" s="548">
        <f>+C25</f>
        <v>13</v>
      </c>
      <c r="D7" s="548"/>
      <c r="E7" s="549">
        <f>+SUM(E12:E25)</f>
        <v>4375.1400000000003</v>
      </c>
      <c r="F7" s="550"/>
      <c r="G7" s="551">
        <f>+SUM(G12:G25)</f>
        <v>2021633900</v>
      </c>
      <c r="H7" s="552">
        <f t="shared" si="0"/>
        <v>0.63143875852101605</v>
      </c>
      <c r="I7" s="551">
        <f t="shared" ref="I7:AJ7" si="2">+SUM(I12:I25)</f>
        <v>1276538000</v>
      </c>
      <c r="J7" s="551">
        <f t="shared" si="2"/>
        <v>0</v>
      </c>
      <c r="K7" s="551">
        <f t="shared" si="2"/>
        <v>1276538000</v>
      </c>
      <c r="L7" s="551">
        <f t="shared" si="2"/>
        <v>0</v>
      </c>
      <c r="M7" s="551">
        <f t="shared" si="2"/>
        <v>120235500</v>
      </c>
      <c r="N7" s="551">
        <f t="shared" si="2"/>
        <v>46893000</v>
      </c>
      <c r="O7" s="551">
        <f t="shared" si="2"/>
        <v>74844000</v>
      </c>
      <c r="P7" s="551">
        <f t="shared" si="2"/>
        <v>0</v>
      </c>
      <c r="Q7" s="551">
        <f t="shared" si="2"/>
        <v>259154500</v>
      </c>
      <c r="R7" s="551">
        <f t="shared" si="2"/>
        <v>155870000</v>
      </c>
      <c r="S7" s="551">
        <f t="shared" si="2"/>
        <v>232071500</v>
      </c>
      <c r="T7" s="551">
        <f t="shared" si="2"/>
        <v>163729500</v>
      </c>
      <c r="U7" s="551">
        <f t="shared" si="2"/>
        <v>223740000</v>
      </c>
      <c r="V7" s="551">
        <f t="shared" si="2"/>
        <v>0</v>
      </c>
      <c r="W7" s="551">
        <f t="shared" si="2"/>
        <v>0</v>
      </c>
      <c r="X7" s="551">
        <f t="shared" si="2"/>
        <v>0</v>
      </c>
      <c r="Y7" s="551">
        <f t="shared" si="2"/>
        <v>0</v>
      </c>
      <c r="Z7" s="551">
        <f t="shared" si="2"/>
        <v>0</v>
      </c>
      <c r="AA7" s="551">
        <f t="shared" si="2"/>
        <v>0</v>
      </c>
      <c r="AB7" s="551">
        <f t="shared" si="2"/>
        <v>0</v>
      </c>
      <c r="AC7" s="551">
        <f t="shared" si="2"/>
        <v>0</v>
      </c>
      <c r="AD7" s="551">
        <f t="shared" si="2"/>
        <v>0</v>
      </c>
      <c r="AE7" s="551">
        <f t="shared" si="2"/>
        <v>0</v>
      </c>
      <c r="AF7" s="551">
        <f t="shared" si="2"/>
        <v>0</v>
      </c>
      <c r="AG7" s="551">
        <f t="shared" si="2"/>
        <v>0</v>
      </c>
      <c r="AH7" s="551">
        <f t="shared" si="2"/>
        <v>0</v>
      </c>
      <c r="AI7" s="551">
        <f t="shared" si="2"/>
        <v>0</v>
      </c>
      <c r="AJ7" s="551">
        <f t="shared" si="2"/>
        <v>0</v>
      </c>
    </row>
    <row r="8" spans="2:36" s="547" customFormat="1" ht="25.5">
      <c r="B8" s="565" t="s">
        <v>417</v>
      </c>
      <c r="C8" s="548">
        <f>+C34</f>
        <v>9</v>
      </c>
      <c r="D8" s="548"/>
      <c r="E8" s="549">
        <f>+SUM(E26:E34)</f>
        <v>4738.1350000000002</v>
      </c>
      <c r="F8" s="550"/>
      <c r="G8" s="551">
        <f>+SUM(G26:G34)</f>
        <v>2605974250</v>
      </c>
      <c r="H8" s="552">
        <f t="shared" si="0"/>
        <v>0.70903615029964318</v>
      </c>
      <c r="I8" s="551">
        <f t="shared" ref="I8:AJ8" si="3">+SUM(I26:I34)</f>
        <v>1847729950</v>
      </c>
      <c r="J8" s="551">
        <f t="shared" si="3"/>
        <v>0</v>
      </c>
      <c r="K8" s="551">
        <f t="shared" si="3"/>
        <v>1847729950</v>
      </c>
      <c r="L8" s="551">
        <f t="shared" si="3"/>
        <v>0</v>
      </c>
      <c r="M8" s="551">
        <f t="shared" si="3"/>
        <v>0</v>
      </c>
      <c r="N8" s="551">
        <f t="shared" si="3"/>
        <v>0</v>
      </c>
      <c r="O8" s="551">
        <f t="shared" si="3"/>
        <v>57486550</v>
      </c>
      <c r="P8" s="551">
        <f t="shared" si="3"/>
        <v>78022450</v>
      </c>
      <c r="Q8" s="551">
        <f t="shared" si="3"/>
        <v>573154175</v>
      </c>
      <c r="R8" s="551">
        <f t="shared" si="3"/>
        <v>92120050</v>
      </c>
      <c r="S8" s="551">
        <f t="shared" si="3"/>
        <v>458809725</v>
      </c>
      <c r="T8" s="551">
        <f t="shared" si="3"/>
        <v>588137000</v>
      </c>
      <c r="U8" s="551">
        <f t="shared" si="3"/>
        <v>0</v>
      </c>
      <c r="V8" s="551">
        <f t="shared" si="3"/>
        <v>0</v>
      </c>
      <c r="W8" s="551">
        <f t="shared" si="3"/>
        <v>0</v>
      </c>
      <c r="X8" s="551">
        <f t="shared" si="3"/>
        <v>0</v>
      </c>
      <c r="Y8" s="551">
        <f t="shared" si="3"/>
        <v>0</v>
      </c>
      <c r="Z8" s="551">
        <f t="shared" si="3"/>
        <v>0</v>
      </c>
      <c r="AA8" s="551">
        <f t="shared" si="3"/>
        <v>0</v>
      </c>
      <c r="AB8" s="551">
        <f t="shared" si="3"/>
        <v>0</v>
      </c>
      <c r="AC8" s="551">
        <f t="shared" si="3"/>
        <v>0</v>
      </c>
      <c r="AD8" s="551">
        <f t="shared" si="3"/>
        <v>0</v>
      </c>
      <c r="AE8" s="551">
        <f t="shared" si="3"/>
        <v>0</v>
      </c>
      <c r="AF8" s="551">
        <f t="shared" si="3"/>
        <v>0</v>
      </c>
      <c r="AG8" s="551">
        <f t="shared" si="3"/>
        <v>0</v>
      </c>
      <c r="AH8" s="551">
        <f t="shared" si="3"/>
        <v>0</v>
      </c>
      <c r="AI8" s="551">
        <f t="shared" si="3"/>
        <v>0</v>
      </c>
      <c r="AJ8" s="551">
        <f t="shared" si="3"/>
        <v>0</v>
      </c>
    </row>
    <row r="9" spans="2:36" s="547" customFormat="1" ht="25.5">
      <c r="B9" s="565" t="s">
        <v>418</v>
      </c>
      <c r="C9" s="548">
        <f>+C36</f>
        <v>2</v>
      </c>
      <c r="D9" s="548"/>
      <c r="E9" s="549">
        <f>+SUM(E35:E36)</f>
        <v>1306</v>
      </c>
      <c r="F9" s="550"/>
      <c r="G9" s="551">
        <f>+SUM(G35:G36)</f>
        <v>718300000</v>
      </c>
      <c r="H9" s="552">
        <f t="shared" si="0"/>
        <v>0</v>
      </c>
      <c r="I9" s="551">
        <f>+SUM(I35:I36)</f>
        <v>0</v>
      </c>
      <c r="J9" s="551">
        <f>+SUM(J27:J35)</f>
        <v>0</v>
      </c>
      <c r="K9" s="551">
        <f>+SUM(K35:K36)</f>
        <v>0</v>
      </c>
      <c r="L9" s="551">
        <f t="shared" ref="L9:AJ9" si="4">+SUM(L35:L36)</f>
        <v>0</v>
      </c>
      <c r="M9" s="551">
        <f t="shared" si="4"/>
        <v>0</v>
      </c>
      <c r="N9" s="551">
        <f t="shared" si="4"/>
        <v>0</v>
      </c>
      <c r="O9" s="551">
        <f t="shared" si="4"/>
        <v>0</v>
      </c>
      <c r="P9" s="551">
        <f t="shared" si="4"/>
        <v>0</v>
      </c>
      <c r="Q9" s="551">
        <f t="shared" si="4"/>
        <v>0</v>
      </c>
      <c r="R9" s="551">
        <f t="shared" si="4"/>
        <v>0</v>
      </c>
      <c r="S9" s="551">
        <f t="shared" si="4"/>
        <v>0</v>
      </c>
      <c r="T9" s="551">
        <f t="shared" si="4"/>
        <v>0</v>
      </c>
      <c r="U9" s="551">
        <f t="shared" si="4"/>
        <v>0</v>
      </c>
      <c r="V9" s="551">
        <f t="shared" si="4"/>
        <v>0</v>
      </c>
      <c r="W9" s="551">
        <f t="shared" si="4"/>
        <v>0</v>
      </c>
      <c r="X9" s="551">
        <f t="shared" si="4"/>
        <v>0</v>
      </c>
      <c r="Y9" s="551">
        <f t="shared" si="4"/>
        <v>0</v>
      </c>
      <c r="Z9" s="551">
        <f t="shared" si="4"/>
        <v>0</v>
      </c>
      <c r="AA9" s="551">
        <f t="shared" si="4"/>
        <v>0</v>
      </c>
      <c r="AB9" s="551">
        <f t="shared" si="4"/>
        <v>0</v>
      </c>
      <c r="AC9" s="551">
        <f t="shared" si="4"/>
        <v>0</v>
      </c>
      <c r="AD9" s="551">
        <f t="shared" si="4"/>
        <v>0</v>
      </c>
      <c r="AE9" s="551">
        <f t="shared" si="4"/>
        <v>0</v>
      </c>
      <c r="AF9" s="551">
        <f t="shared" si="4"/>
        <v>0</v>
      </c>
      <c r="AG9" s="551">
        <f t="shared" si="4"/>
        <v>0</v>
      </c>
      <c r="AH9" s="551">
        <f t="shared" si="4"/>
        <v>0</v>
      </c>
      <c r="AI9" s="551">
        <f t="shared" si="4"/>
        <v>0</v>
      </c>
      <c r="AJ9" s="551">
        <f t="shared" si="4"/>
        <v>0</v>
      </c>
    </row>
    <row r="10" spans="2:36" s="547" customFormat="1" ht="25.5">
      <c r="B10" s="565" t="s">
        <v>419</v>
      </c>
      <c r="C10" s="548">
        <f>+C39</f>
        <v>3</v>
      </c>
      <c r="D10" s="548"/>
      <c r="E10" s="549">
        <f>+SUM(E37:E39)</f>
        <v>432.58</v>
      </c>
      <c r="F10" s="550"/>
      <c r="G10" s="551">
        <f>+SUM(G37:G39)</f>
        <v>237919000</v>
      </c>
      <c r="H10" s="552">
        <f t="shared" si="0"/>
        <v>0.2</v>
      </c>
      <c r="I10" s="551">
        <f>+SUM(I37:I39)</f>
        <v>47583800</v>
      </c>
      <c r="J10" s="551">
        <f t="shared" ref="J10:AJ10" si="5">+SUM(J37:J39)</f>
        <v>47583800</v>
      </c>
      <c r="K10" s="551">
        <f t="shared" si="5"/>
        <v>0</v>
      </c>
      <c r="L10" s="551">
        <f t="shared" si="5"/>
        <v>0</v>
      </c>
      <c r="M10" s="551">
        <f t="shared" si="5"/>
        <v>0</v>
      </c>
      <c r="N10" s="551">
        <f t="shared" si="5"/>
        <v>0</v>
      </c>
      <c r="O10" s="551">
        <f t="shared" si="5"/>
        <v>0</v>
      </c>
      <c r="P10" s="551">
        <f t="shared" si="5"/>
        <v>0</v>
      </c>
      <c r="Q10" s="551">
        <f t="shared" si="5"/>
        <v>0</v>
      </c>
      <c r="R10" s="551">
        <f t="shared" si="5"/>
        <v>0</v>
      </c>
      <c r="S10" s="551">
        <f t="shared" si="5"/>
        <v>0</v>
      </c>
      <c r="T10" s="551">
        <f t="shared" si="5"/>
        <v>0</v>
      </c>
      <c r="U10" s="551">
        <f t="shared" si="5"/>
        <v>0</v>
      </c>
      <c r="V10" s="551">
        <f t="shared" si="5"/>
        <v>0</v>
      </c>
      <c r="W10" s="551">
        <f t="shared" si="5"/>
        <v>0</v>
      </c>
      <c r="X10" s="551">
        <f t="shared" si="5"/>
        <v>0</v>
      </c>
      <c r="Y10" s="551">
        <f t="shared" si="5"/>
        <v>0</v>
      </c>
      <c r="Z10" s="551">
        <f t="shared" si="5"/>
        <v>0</v>
      </c>
      <c r="AA10" s="551">
        <f t="shared" si="5"/>
        <v>0</v>
      </c>
      <c r="AB10" s="551">
        <f t="shared" si="5"/>
        <v>0</v>
      </c>
      <c r="AC10" s="551">
        <f t="shared" si="5"/>
        <v>0</v>
      </c>
      <c r="AD10" s="551">
        <f t="shared" si="5"/>
        <v>0</v>
      </c>
      <c r="AE10" s="551">
        <f t="shared" si="5"/>
        <v>0</v>
      </c>
      <c r="AF10" s="551">
        <f t="shared" si="5"/>
        <v>0</v>
      </c>
      <c r="AG10" s="551">
        <f t="shared" si="5"/>
        <v>0</v>
      </c>
      <c r="AH10" s="551">
        <f t="shared" si="5"/>
        <v>0</v>
      </c>
      <c r="AI10" s="551">
        <f t="shared" si="5"/>
        <v>0</v>
      </c>
      <c r="AJ10" s="551">
        <f t="shared" si="5"/>
        <v>0</v>
      </c>
    </row>
    <row r="11" spans="2:36" s="547" customFormat="1" ht="25.5">
      <c r="B11" s="565" t="s">
        <v>420</v>
      </c>
      <c r="C11" s="548">
        <f>+C47</f>
        <v>8</v>
      </c>
      <c r="D11" s="548"/>
      <c r="E11" s="549">
        <f>+SUM(E40:E47)</f>
        <v>1609.3800000000003</v>
      </c>
      <c r="F11" s="550"/>
      <c r="G11" s="551">
        <f>+SUM(G40:G47)</f>
        <v>885159000.00000012</v>
      </c>
      <c r="H11" s="552">
        <f t="shared" si="0"/>
        <v>0.74866967403596407</v>
      </c>
      <c r="I11" s="551">
        <f>+SUM(I40:I47)</f>
        <v>662691700</v>
      </c>
      <c r="J11" s="551">
        <f>+SUM(J40:J47)</f>
        <v>35112000</v>
      </c>
      <c r="K11" s="551">
        <f t="shared" ref="K11:AJ11" si="6">+SUM(K40:K47)</f>
        <v>627579700</v>
      </c>
      <c r="L11" s="551">
        <f t="shared" si="6"/>
        <v>76624900</v>
      </c>
      <c r="M11" s="551">
        <f t="shared" si="6"/>
        <v>29571300</v>
      </c>
      <c r="N11" s="551">
        <f t="shared" si="6"/>
        <v>58302200</v>
      </c>
      <c r="O11" s="551">
        <f t="shared" si="6"/>
        <v>0</v>
      </c>
      <c r="P11" s="551">
        <f t="shared" si="6"/>
        <v>191227300</v>
      </c>
      <c r="Q11" s="551">
        <f t="shared" si="6"/>
        <v>94401450</v>
      </c>
      <c r="R11" s="551">
        <f t="shared" si="6"/>
        <v>26822400</v>
      </c>
      <c r="S11" s="551">
        <f t="shared" si="6"/>
        <v>57975500</v>
      </c>
      <c r="T11" s="551">
        <f t="shared" si="6"/>
        <v>92654650</v>
      </c>
      <c r="U11" s="551">
        <f t="shared" si="6"/>
        <v>0</v>
      </c>
      <c r="V11" s="551">
        <f t="shared" si="6"/>
        <v>0</v>
      </c>
      <c r="W11" s="551">
        <f t="shared" si="6"/>
        <v>0</v>
      </c>
      <c r="X11" s="551">
        <f t="shared" si="6"/>
        <v>0</v>
      </c>
      <c r="Y11" s="551">
        <f t="shared" si="6"/>
        <v>0</v>
      </c>
      <c r="Z11" s="551">
        <f t="shared" si="6"/>
        <v>0</v>
      </c>
      <c r="AA11" s="551">
        <f t="shared" si="6"/>
        <v>0</v>
      </c>
      <c r="AB11" s="551">
        <f t="shared" si="6"/>
        <v>0</v>
      </c>
      <c r="AC11" s="551">
        <f t="shared" si="6"/>
        <v>0</v>
      </c>
      <c r="AD11" s="551">
        <f t="shared" si="6"/>
        <v>0</v>
      </c>
      <c r="AE11" s="551">
        <f t="shared" si="6"/>
        <v>0</v>
      </c>
      <c r="AF11" s="551">
        <f t="shared" si="6"/>
        <v>0</v>
      </c>
      <c r="AG11" s="551">
        <f t="shared" si="6"/>
        <v>0</v>
      </c>
      <c r="AH11" s="551">
        <f t="shared" si="6"/>
        <v>0</v>
      </c>
      <c r="AI11" s="551">
        <f t="shared" si="6"/>
        <v>0</v>
      </c>
      <c r="AJ11" s="551">
        <f t="shared" si="6"/>
        <v>0</v>
      </c>
    </row>
    <row r="12" spans="2:36">
      <c r="B12" s="1351" t="s">
        <v>347</v>
      </c>
      <c r="C12" s="566">
        <v>1</v>
      </c>
      <c r="D12" s="567" t="str">
        <f>+'BT 2HO'!C11</f>
        <v>Jinyoung Metal Factory_1</v>
      </c>
      <c r="E12" s="567">
        <f>+'BT 2HO'!D11</f>
        <v>817.21</v>
      </c>
      <c r="F12" s="568">
        <v>350000000</v>
      </c>
      <c r="G12" s="568">
        <f>+E12*F12/1000*1.1</f>
        <v>314625850</v>
      </c>
      <c r="H12" s="560">
        <f t="shared" ref="H12:H47" si="7">+I12/G12</f>
        <v>0.87023161002187199</v>
      </c>
      <c r="I12" s="559">
        <f t="shared" ref="I12:I25" si="8">+J12+K12+X12</f>
        <v>273797360</v>
      </c>
      <c r="J12" s="568"/>
      <c r="K12" s="559">
        <f t="shared" ref="K12:K25" si="9">+SUM(L12:W12)</f>
        <v>273797360</v>
      </c>
      <c r="L12" s="568"/>
      <c r="M12" s="568">
        <f>+'BT 2HO'!R13+'BT 2HO'!R12</f>
        <v>89401620</v>
      </c>
      <c r="N12" s="568"/>
      <c r="O12" s="568"/>
      <c r="P12" s="568"/>
      <c r="Q12" s="568">
        <f>+'BT 2HO'!Y12+'BT 2HO'!Y13</f>
        <v>29800540</v>
      </c>
      <c r="R12" s="568"/>
      <c r="S12" s="568">
        <f>+'BT 2HO'!AF12+'BT 2HO'!AF13</f>
        <v>154595200</v>
      </c>
      <c r="T12" s="568"/>
      <c r="U12" s="568"/>
      <c r="V12" s="568"/>
      <c r="W12" s="568"/>
      <c r="X12" s="568">
        <f t="shared" ref="X12:X25" si="10">+SUM(Y12:AJ12)</f>
        <v>0</v>
      </c>
      <c r="Y12" s="568"/>
      <c r="Z12" s="568"/>
      <c r="AA12" s="568"/>
      <c r="AB12" s="568"/>
      <c r="AC12" s="568"/>
      <c r="AD12" s="568"/>
      <c r="AE12" s="568"/>
      <c r="AF12" s="568"/>
      <c r="AG12" s="568"/>
      <c r="AH12" s="568"/>
      <c r="AI12" s="568"/>
      <c r="AJ12" s="568"/>
    </row>
    <row r="13" spans="2:36">
      <c r="B13" s="1352"/>
      <c r="C13" s="553"/>
      <c r="D13" s="554" t="str">
        <f>+'BT 2HO'!C16</f>
        <v>Jinyoung Metal Factory_2</v>
      </c>
      <c r="E13" s="554">
        <f>+'BT 2HO'!D16</f>
        <v>240.69</v>
      </c>
      <c r="F13" s="559">
        <v>350000000</v>
      </c>
      <c r="G13" s="559">
        <f t="shared" ref="G13:G47" si="11">+E13*F13/1000*1.1</f>
        <v>92665650.000000015</v>
      </c>
      <c r="H13" s="560">
        <f t="shared" si="7"/>
        <v>0.99823008849557504</v>
      </c>
      <c r="I13" s="559">
        <f t="shared" si="8"/>
        <v>92501640</v>
      </c>
      <c r="J13" s="555"/>
      <c r="K13" s="559">
        <f t="shared" si="9"/>
        <v>92501640</v>
      </c>
      <c r="L13" s="555"/>
      <c r="M13" s="555">
        <f>+'BT 2HO'!R17+'BT 2HO'!R18</f>
        <v>30833880</v>
      </c>
      <c r="N13" s="555"/>
      <c r="O13" s="555"/>
      <c r="P13" s="555"/>
      <c r="Q13" s="555">
        <f>+'BT 2HO'!Y17+'BT 2HO'!Y18</f>
        <v>10277960</v>
      </c>
      <c r="R13" s="555"/>
      <c r="S13" s="555">
        <f>+'BT 2HO'!AF17+'BT 2HO'!AF18</f>
        <v>51389800</v>
      </c>
      <c r="T13" s="555"/>
      <c r="U13" s="555"/>
      <c r="V13" s="555"/>
      <c r="W13" s="555"/>
      <c r="X13" s="559">
        <f t="shared" si="10"/>
        <v>0</v>
      </c>
      <c r="Y13" s="555"/>
      <c r="Z13" s="555"/>
      <c r="AA13" s="555"/>
      <c r="AB13" s="555"/>
      <c r="AC13" s="555"/>
      <c r="AD13" s="555"/>
      <c r="AE13" s="555"/>
      <c r="AF13" s="555"/>
      <c r="AG13" s="555"/>
      <c r="AH13" s="555"/>
      <c r="AI13" s="555"/>
      <c r="AJ13" s="555"/>
    </row>
    <row r="14" spans="2:36">
      <c r="B14" s="1352"/>
      <c r="C14" s="557">
        <f>+C12+1</f>
        <v>2</v>
      </c>
      <c r="D14" s="558" t="str">
        <f>+'BT 2HO'!C21</f>
        <v>Kairos</v>
      </c>
      <c r="E14" s="558">
        <f>+'BT 2HO'!D21</f>
        <v>386.24</v>
      </c>
      <c r="F14" s="559">
        <v>350000000</v>
      </c>
      <c r="G14" s="559">
        <f t="shared" si="11"/>
        <v>148702400</v>
      </c>
      <c r="H14" s="560">
        <f t="shared" si="7"/>
        <v>0.89944076222038116</v>
      </c>
      <c r="I14" s="559">
        <f t="shared" si="8"/>
        <v>133749000</v>
      </c>
      <c r="J14" s="559"/>
      <c r="K14" s="559">
        <f t="shared" si="9"/>
        <v>133749000</v>
      </c>
      <c r="L14" s="559"/>
      <c r="M14" s="559"/>
      <c r="N14" s="559">
        <f>+'BT 2HO'!R22+'BT 2HO'!R23</f>
        <v>46893000</v>
      </c>
      <c r="O14" s="559"/>
      <c r="P14" s="559"/>
      <c r="Q14" s="559">
        <f>+'BT 2HO'!Y22+'BT 2HO'!Y23</f>
        <v>15631000</v>
      </c>
      <c r="R14" s="559">
        <f>+'BT 2HO'!AF22+'BT 2HO'!AF23</f>
        <v>71225000</v>
      </c>
      <c r="S14" s="559"/>
      <c r="T14" s="559"/>
      <c r="U14" s="559"/>
      <c r="V14" s="559"/>
      <c r="W14" s="559"/>
      <c r="X14" s="559">
        <f t="shared" si="10"/>
        <v>0</v>
      </c>
      <c r="Y14" s="559"/>
      <c r="Z14" s="559"/>
      <c r="AA14" s="559"/>
      <c r="AB14" s="559"/>
      <c r="AC14" s="559"/>
      <c r="AD14" s="559"/>
      <c r="AE14" s="559"/>
      <c r="AF14" s="559"/>
      <c r="AG14" s="559"/>
      <c r="AH14" s="559"/>
      <c r="AI14" s="559"/>
      <c r="AJ14" s="559"/>
    </row>
    <row r="15" spans="2:36">
      <c r="B15" s="1352"/>
      <c r="C15" s="557">
        <f t="shared" ref="C15:C47" si="12">+C14+1</f>
        <v>3</v>
      </c>
      <c r="D15" s="558" t="str">
        <f>+'BT 2HO'!C26</f>
        <v>Doori Industry</v>
      </c>
      <c r="E15" s="558">
        <f>+'BT 2HO'!D26</f>
        <v>210</v>
      </c>
      <c r="F15" s="559">
        <v>450000000</v>
      </c>
      <c r="G15" s="559">
        <f t="shared" si="11"/>
        <v>103950000.00000001</v>
      </c>
      <c r="H15" s="560">
        <f t="shared" si="7"/>
        <v>0.39999999999999997</v>
      </c>
      <c r="I15" s="559">
        <f t="shared" si="8"/>
        <v>41580000</v>
      </c>
      <c r="J15" s="559"/>
      <c r="K15" s="559">
        <f t="shared" si="9"/>
        <v>41580000</v>
      </c>
      <c r="L15" s="559"/>
      <c r="M15" s="559"/>
      <c r="N15" s="559"/>
      <c r="O15" s="559">
        <f>+'BT 2HO'!R27+'BT 2HO'!R28</f>
        <v>31185000</v>
      </c>
      <c r="P15" s="559"/>
      <c r="Q15" s="559"/>
      <c r="R15" s="559">
        <f>+'BT 2HO'!Y27+'BT 2HO'!Y28</f>
        <v>10395000</v>
      </c>
      <c r="S15" s="559"/>
      <c r="T15" s="559"/>
      <c r="U15" s="559"/>
      <c r="V15" s="559"/>
      <c r="W15" s="559"/>
      <c r="X15" s="559">
        <f t="shared" si="10"/>
        <v>0</v>
      </c>
      <c r="Y15" s="559"/>
      <c r="Z15" s="559"/>
      <c r="AA15" s="559"/>
      <c r="AB15" s="559"/>
      <c r="AC15" s="559"/>
      <c r="AD15" s="559"/>
      <c r="AE15" s="559"/>
      <c r="AF15" s="559"/>
      <c r="AG15" s="559"/>
      <c r="AH15" s="559"/>
      <c r="AI15" s="559"/>
      <c r="AJ15" s="559"/>
    </row>
    <row r="16" spans="2:36">
      <c r="B16" s="1352"/>
      <c r="C16" s="557">
        <f t="shared" si="12"/>
        <v>4</v>
      </c>
      <c r="D16" s="558" t="str">
        <f>+'BT 2HO'!C31</f>
        <v>Geumjeong Techno</v>
      </c>
      <c r="E16" s="558">
        <f>+'BT 2HO'!D31</f>
        <v>122</v>
      </c>
      <c r="F16" s="559">
        <v>450000000</v>
      </c>
      <c r="G16" s="559">
        <f t="shared" si="11"/>
        <v>60390000.000000007</v>
      </c>
      <c r="H16" s="560">
        <f t="shared" si="7"/>
        <v>0.89999999999999991</v>
      </c>
      <c r="I16" s="559">
        <f t="shared" si="8"/>
        <v>54351000</v>
      </c>
      <c r="J16" s="559"/>
      <c r="K16" s="559">
        <f t="shared" si="9"/>
        <v>54351000</v>
      </c>
      <c r="L16" s="559"/>
      <c r="M16" s="559"/>
      <c r="N16" s="559"/>
      <c r="O16" s="559">
        <f>+'BT 2HO'!R32+'BT 2HO'!R33</f>
        <v>18117000.000000004</v>
      </c>
      <c r="P16" s="559"/>
      <c r="Q16" s="559"/>
      <c r="R16" s="559"/>
      <c r="S16" s="559">
        <f>+'BT 2HO'!Y32+'BT 2HO'!Y33</f>
        <v>6039000</v>
      </c>
      <c r="T16" s="559">
        <f>+'BT 2HO'!AF32+'BT 2HO'!AF33</f>
        <v>30195000</v>
      </c>
      <c r="U16" s="559"/>
      <c r="V16" s="559"/>
      <c r="W16" s="559"/>
      <c r="X16" s="559">
        <f t="shared" si="10"/>
        <v>0</v>
      </c>
      <c r="Y16" s="559"/>
      <c r="Z16" s="559"/>
      <c r="AA16" s="559"/>
      <c r="AB16" s="559"/>
      <c r="AC16" s="559"/>
      <c r="AD16" s="559"/>
      <c r="AE16" s="559"/>
      <c r="AF16" s="559"/>
      <c r="AG16" s="559"/>
      <c r="AH16" s="559"/>
      <c r="AI16" s="559"/>
      <c r="AJ16" s="559"/>
    </row>
    <row r="17" spans="2:36">
      <c r="B17" s="1352"/>
      <c r="C17" s="557">
        <f t="shared" si="12"/>
        <v>5</v>
      </c>
      <c r="D17" s="558" t="str">
        <f>+'BT 2HO'!C36</f>
        <v>Epyeonan nursing home(Drop)</v>
      </c>
      <c r="E17" s="558">
        <f>+'BT 2HO'!D36</f>
        <v>172</v>
      </c>
      <c r="F17" s="559">
        <v>450000000</v>
      </c>
      <c r="G17" s="559">
        <f t="shared" si="11"/>
        <v>85140000</v>
      </c>
      <c r="H17" s="560">
        <f t="shared" si="7"/>
        <v>0.3</v>
      </c>
      <c r="I17" s="559">
        <f t="shared" si="8"/>
        <v>25542000</v>
      </c>
      <c r="J17" s="559"/>
      <c r="K17" s="559">
        <f t="shared" si="9"/>
        <v>25542000</v>
      </c>
      <c r="L17" s="559"/>
      <c r="M17" s="559"/>
      <c r="N17" s="559"/>
      <c r="O17" s="559">
        <f>+'BT 2HO'!R37+'BT 2HO'!R38</f>
        <v>25542000</v>
      </c>
      <c r="P17" s="559"/>
      <c r="Q17" s="559"/>
      <c r="R17" s="559"/>
      <c r="S17" s="559"/>
      <c r="T17" s="559"/>
      <c r="U17" s="559"/>
      <c r="V17" s="559"/>
      <c r="W17" s="559"/>
      <c r="X17" s="559">
        <f t="shared" si="10"/>
        <v>0</v>
      </c>
      <c r="Y17" s="559"/>
      <c r="Z17" s="559"/>
      <c r="AA17" s="559"/>
      <c r="AB17" s="559"/>
      <c r="AC17" s="559"/>
      <c r="AD17" s="559"/>
      <c r="AE17" s="559"/>
      <c r="AF17" s="559"/>
      <c r="AG17" s="559"/>
      <c r="AH17" s="559"/>
      <c r="AI17" s="559"/>
      <c r="AJ17" s="559"/>
    </row>
    <row r="18" spans="2:36">
      <c r="B18" s="1352"/>
      <c r="C18" s="557">
        <f t="shared" si="12"/>
        <v>6</v>
      </c>
      <c r="D18" s="558" t="str">
        <f>+'BT 2HO'!C41</f>
        <v>Joongang Special Paper</v>
      </c>
      <c r="E18" s="558">
        <f>+'BT 2HO'!D41</f>
        <v>438</v>
      </c>
      <c r="F18" s="559">
        <v>450000000</v>
      </c>
      <c r="G18" s="559">
        <f t="shared" si="11"/>
        <v>216810000.00000003</v>
      </c>
      <c r="H18" s="560">
        <f t="shared" si="7"/>
        <v>0.39999999999999997</v>
      </c>
      <c r="I18" s="559">
        <f t="shared" si="8"/>
        <v>86724000</v>
      </c>
      <c r="J18" s="559"/>
      <c r="K18" s="559">
        <f t="shared" si="9"/>
        <v>86724000</v>
      </c>
      <c r="L18" s="559"/>
      <c r="M18" s="559"/>
      <c r="N18" s="559"/>
      <c r="O18" s="559"/>
      <c r="P18" s="559"/>
      <c r="Q18" s="559">
        <f>+'BT 2HO'!R42+'BT 2HO'!R43</f>
        <v>65043000</v>
      </c>
      <c r="R18" s="559"/>
      <c r="S18" s="559"/>
      <c r="T18" s="559">
        <f>+'BT 2HO'!Y42+'BT 2HO'!Y43</f>
        <v>21681000</v>
      </c>
      <c r="U18" s="559"/>
      <c r="V18" s="559"/>
      <c r="W18" s="559"/>
      <c r="X18" s="559">
        <f t="shared" si="10"/>
        <v>0</v>
      </c>
      <c r="Y18" s="559"/>
      <c r="Z18" s="559"/>
      <c r="AA18" s="559"/>
      <c r="AB18" s="559"/>
      <c r="AC18" s="559"/>
      <c r="AD18" s="559"/>
      <c r="AE18" s="559"/>
      <c r="AF18" s="559"/>
      <c r="AG18" s="559"/>
      <c r="AH18" s="559"/>
      <c r="AI18" s="559"/>
      <c r="AJ18" s="559"/>
    </row>
    <row r="19" spans="2:36">
      <c r="B19" s="1352"/>
      <c r="C19" s="557">
        <f t="shared" si="12"/>
        <v>7</v>
      </c>
      <c r="D19" s="558" t="str">
        <f>+'BT 2HO'!C46</f>
        <v>Sambo Green Filter</v>
      </c>
      <c r="E19" s="558">
        <f>+'BT 2HO'!D46</f>
        <v>171</v>
      </c>
      <c r="F19" s="559">
        <v>450000000</v>
      </c>
      <c r="G19" s="559">
        <f t="shared" si="11"/>
        <v>84645000</v>
      </c>
      <c r="H19" s="560">
        <f t="shared" si="7"/>
        <v>0.9</v>
      </c>
      <c r="I19" s="559">
        <f t="shared" si="8"/>
        <v>76180500</v>
      </c>
      <c r="J19" s="559"/>
      <c r="K19" s="559">
        <f t="shared" si="9"/>
        <v>76180500</v>
      </c>
      <c r="L19" s="559"/>
      <c r="M19" s="559"/>
      <c r="N19" s="559"/>
      <c r="O19" s="559"/>
      <c r="P19" s="559"/>
      <c r="Q19" s="559">
        <f>+'BT 2HO'!R47+'BT 2HO'!R48</f>
        <v>25393500</v>
      </c>
      <c r="R19" s="559"/>
      <c r="S19" s="559">
        <f>+'BT 2HO'!Y47+'BT 2HO'!Y48</f>
        <v>8464500</v>
      </c>
      <c r="T19" s="559"/>
      <c r="U19" s="559">
        <f>+'BT 2HO'!AF47+'BT 2HO'!AF48</f>
        <v>42322500</v>
      </c>
      <c r="V19" s="559"/>
      <c r="W19" s="559"/>
      <c r="X19" s="559">
        <f t="shared" si="10"/>
        <v>0</v>
      </c>
      <c r="Y19" s="559"/>
      <c r="Z19" s="559"/>
      <c r="AA19" s="559"/>
      <c r="AB19" s="559"/>
      <c r="AC19" s="559"/>
      <c r="AD19" s="559"/>
      <c r="AE19" s="559"/>
      <c r="AF19" s="559"/>
      <c r="AG19" s="559"/>
      <c r="AH19" s="559"/>
      <c r="AI19" s="559"/>
      <c r="AJ19" s="559"/>
    </row>
    <row r="20" spans="2:36">
      <c r="B20" s="1352"/>
      <c r="C20" s="557">
        <f t="shared" si="12"/>
        <v>8</v>
      </c>
      <c r="D20" s="558" t="str">
        <f>+'BT 2HO'!C51</f>
        <v>Fusei Menix 1 &amp; 2</v>
      </c>
      <c r="E20" s="558">
        <f>+'BT 2HO'!D51</f>
        <v>527</v>
      </c>
      <c r="F20" s="559">
        <v>450000000</v>
      </c>
      <c r="G20" s="559">
        <f t="shared" si="11"/>
        <v>260865000.00000003</v>
      </c>
      <c r="H20" s="560">
        <f t="shared" si="7"/>
        <v>0.3</v>
      </c>
      <c r="I20" s="559">
        <f t="shared" si="8"/>
        <v>78259500</v>
      </c>
      <c r="J20" s="559"/>
      <c r="K20" s="559">
        <f t="shared" si="9"/>
        <v>78259500</v>
      </c>
      <c r="L20" s="559"/>
      <c r="M20" s="559"/>
      <c r="N20" s="559"/>
      <c r="O20" s="559"/>
      <c r="P20" s="559"/>
      <c r="Q20" s="559">
        <f>+'BT 2HO'!R52+'BT 2HO'!R53</f>
        <v>78259500</v>
      </c>
      <c r="R20" s="559"/>
      <c r="S20" s="559"/>
      <c r="T20" s="559"/>
      <c r="U20" s="559"/>
      <c r="V20" s="559"/>
      <c r="W20" s="559"/>
      <c r="X20" s="559">
        <f t="shared" si="10"/>
        <v>0</v>
      </c>
      <c r="Y20" s="559"/>
      <c r="Z20" s="559"/>
      <c r="AA20" s="559"/>
      <c r="AB20" s="559"/>
      <c r="AC20" s="559"/>
      <c r="AD20" s="559"/>
      <c r="AE20" s="559"/>
      <c r="AF20" s="559"/>
      <c r="AG20" s="559"/>
      <c r="AH20" s="559"/>
      <c r="AI20" s="559"/>
      <c r="AJ20" s="559"/>
    </row>
    <row r="21" spans="2:36">
      <c r="B21" s="1352"/>
      <c r="C21" s="557">
        <f t="shared" si="12"/>
        <v>9</v>
      </c>
      <c r="D21" s="558" t="str">
        <f>+'BT 2HO'!C56</f>
        <v>Shincheon Food</v>
      </c>
      <c r="E21" s="558">
        <f>+'BT 2HO'!D56</f>
        <v>234</v>
      </c>
      <c r="F21" s="559">
        <v>450000000</v>
      </c>
      <c r="G21" s="559">
        <f t="shared" si="11"/>
        <v>115830000.00000001</v>
      </c>
      <c r="H21" s="560">
        <f t="shared" si="7"/>
        <v>0.89999999999999991</v>
      </c>
      <c r="I21" s="559">
        <f t="shared" si="8"/>
        <v>104247000</v>
      </c>
      <c r="J21" s="559"/>
      <c r="K21" s="559">
        <f t="shared" si="9"/>
        <v>104247000</v>
      </c>
      <c r="L21" s="559"/>
      <c r="M21" s="559"/>
      <c r="N21" s="559"/>
      <c r="O21" s="559"/>
      <c r="P21" s="559"/>
      <c r="Q21" s="559">
        <f>+'BT 2HO'!R57+'BT 2HO'!R58</f>
        <v>34749000</v>
      </c>
      <c r="R21" s="559"/>
      <c r="S21" s="559">
        <f>+'BT 2HO'!Y57+'BT 2HO'!Y58</f>
        <v>11583000</v>
      </c>
      <c r="T21" s="559"/>
      <c r="U21" s="559">
        <f>+'BT 2HO'!AF57+'BT 2HO'!AF58</f>
        <v>57915000</v>
      </c>
      <c r="V21" s="559"/>
      <c r="W21" s="559"/>
      <c r="X21" s="559">
        <f t="shared" si="10"/>
        <v>0</v>
      </c>
      <c r="Y21" s="559"/>
      <c r="Z21" s="559"/>
      <c r="AA21" s="559"/>
      <c r="AB21" s="559"/>
      <c r="AC21" s="559"/>
      <c r="AD21" s="559"/>
      <c r="AE21" s="559"/>
      <c r="AF21" s="559"/>
      <c r="AG21" s="559"/>
      <c r="AH21" s="559"/>
      <c r="AI21" s="559"/>
      <c r="AJ21" s="559"/>
    </row>
    <row r="22" spans="2:36">
      <c r="B22" s="1352"/>
      <c r="C22" s="557">
        <f t="shared" si="12"/>
        <v>10</v>
      </c>
      <c r="D22" s="558" t="str">
        <f>+'BT 2HO'!C61</f>
        <v>Giga steel</v>
      </c>
      <c r="E22" s="558">
        <f>+'BT 2HO'!D61</f>
        <v>500</v>
      </c>
      <c r="F22" s="559">
        <v>450000000</v>
      </c>
      <c r="G22" s="559">
        <f t="shared" si="11"/>
        <v>247500000.00000003</v>
      </c>
      <c r="H22" s="560">
        <f t="shared" si="7"/>
        <v>0.89879999999999993</v>
      </c>
      <c r="I22" s="559">
        <f t="shared" si="8"/>
        <v>222453000</v>
      </c>
      <c r="J22" s="559"/>
      <c r="K22" s="559">
        <f t="shared" si="9"/>
        <v>222453000</v>
      </c>
      <c r="L22" s="559"/>
      <c r="M22" s="559"/>
      <c r="N22" s="559"/>
      <c r="O22" s="559"/>
      <c r="P22" s="559"/>
      <c r="Q22" s="559"/>
      <c r="R22" s="559">
        <f>+'BT 2HO'!R62+'BT 2HO'!R63</f>
        <v>74250000</v>
      </c>
      <c r="S22" s="559"/>
      <c r="T22" s="559">
        <f>+'BT 2HO'!Y62+'BT 2HO'!Y63</f>
        <v>24700500</v>
      </c>
      <c r="U22" s="559">
        <f>+'BT 2HO'!AF62+'BT 2HO'!AF63</f>
        <v>123502500</v>
      </c>
      <c r="V22" s="559"/>
      <c r="W22" s="559"/>
      <c r="X22" s="559">
        <f t="shared" si="10"/>
        <v>0</v>
      </c>
      <c r="Y22" s="559"/>
      <c r="Z22" s="559"/>
      <c r="AA22" s="559"/>
      <c r="AB22" s="559"/>
      <c r="AC22" s="559"/>
      <c r="AD22" s="559"/>
      <c r="AE22" s="559"/>
      <c r="AF22" s="559"/>
      <c r="AG22" s="559"/>
      <c r="AH22" s="559"/>
      <c r="AI22" s="559"/>
      <c r="AJ22" s="559"/>
    </row>
    <row r="23" spans="2:36">
      <c r="B23" s="1352"/>
      <c r="C23" s="557">
        <f t="shared" si="12"/>
        <v>11</v>
      </c>
      <c r="D23" s="558" t="str">
        <f>+'BT 2HO'!C66</f>
        <v>Mijin Precision</v>
      </c>
      <c r="E23" s="558">
        <f>+'BT 2HO'!D66</f>
        <v>127</v>
      </c>
      <c r="F23" s="559">
        <v>450000000</v>
      </c>
      <c r="G23" s="559">
        <f t="shared" si="11"/>
        <v>62865000.000000007</v>
      </c>
      <c r="H23" s="560">
        <f t="shared" si="7"/>
        <v>0.3</v>
      </c>
      <c r="I23" s="559">
        <f t="shared" si="8"/>
        <v>18859500</v>
      </c>
      <c r="J23" s="559"/>
      <c r="K23" s="559">
        <f t="shared" si="9"/>
        <v>18859500</v>
      </c>
      <c r="L23" s="559"/>
      <c r="M23" s="559"/>
      <c r="N23" s="559"/>
      <c r="O23" s="559"/>
      <c r="P23" s="559"/>
      <c r="Q23" s="559"/>
      <c r="R23" s="559"/>
      <c r="S23" s="559"/>
      <c r="T23" s="559">
        <f>+'BT 2HO'!R67+'BT 2HO'!R68</f>
        <v>18859500</v>
      </c>
      <c r="U23" s="559"/>
      <c r="V23" s="559"/>
      <c r="W23" s="559"/>
      <c r="X23" s="559">
        <f t="shared" si="10"/>
        <v>0</v>
      </c>
      <c r="Y23" s="559"/>
      <c r="Z23" s="559"/>
      <c r="AA23" s="559"/>
      <c r="AB23" s="559"/>
      <c r="AC23" s="559"/>
      <c r="AD23" s="559"/>
      <c r="AE23" s="559"/>
      <c r="AF23" s="559"/>
      <c r="AG23" s="559"/>
      <c r="AH23" s="559"/>
      <c r="AI23" s="559"/>
      <c r="AJ23" s="559"/>
    </row>
    <row r="24" spans="2:36">
      <c r="B24" s="1352"/>
      <c r="C24" s="557">
        <f t="shared" si="12"/>
        <v>12</v>
      </c>
      <c r="D24" s="558" t="str">
        <f>+'BT 2HO'!C71</f>
        <v>Wolchool Metal</v>
      </c>
      <c r="E24" s="558">
        <f>+'BT 2HO'!D71</f>
        <v>161</v>
      </c>
      <c r="F24" s="559">
        <v>450000000</v>
      </c>
      <c r="G24" s="559">
        <f t="shared" si="11"/>
        <v>79695000</v>
      </c>
      <c r="H24" s="560">
        <f t="shared" si="7"/>
        <v>0.3</v>
      </c>
      <c r="I24" s="559">
        <f t="shared" si="8"/>
        <v>23908500</v>
      </c>
      <c r="J24" s="559"/>
      <c r="K24" s="559">
        <f t="shared" si="9"/>
        <v>23908500</v>
      </c>
      <c r="L24" s="559"/>
      <c r="M24" s="559"/>
      <c r="N24" s="559"/>
      <c r="O24" s="559"/>
      <c r="P24" s="559"/>
      <c r="Q24" s="559"/>
      <c r="R24" s="559"/>
      <c r="S24" s="559"/>
      <c r="T24" s="559">
        <f>+'BT 2HO'!R72+'BT 2HO'!R73</f>
        <v>23908500</v>
      </c>
      <c r="U24" s="559"/>
      <c r="V24" s="559"/>
      <c r="W24" s="559"/>
      <c r="X24" s="559">
        <f t="shared" si="10"/>
        <v>0</v>
      </c>
      <c r="Y24" s="559"/>
      <c r="Z24" s="559"/>
      <c r="AA24" s="559"/>
      <c r="AB24" s="559"/>
      <c r="AC24" s="559"/>
      <c r="AD24" s="559"/>
      <c r="AE24" s="559"/>
      <c r="AF24" s="559"/>
      <c r="AG24" s="559"/>
      <c r="AH24" s="559"/>
      <c r="AI24" s="559"/>
      <c r="AJ24" s="559"/>
    </row>
    <row r="25" spans="2:36">
      <c r="B25" s="1352"/>
      <c r="C25" s="557">
        <f t="shared" si="12"/>
        <v>13</v>
      </c>
      <c r="D25" s="558" t="str">
        <f>+'BT 2HO'!C76</f>
        <v>Unitech Korea</v>
      </c>
      <c r="E25" s="558">
        <f>+'BT 2HO'!D76</f>
        <v>269</v>
      </c>
      <c r="F25" s="559">
        <v>500000000</v>
      </c>
      <c r="G25" s="559">
        <f t="shared" si="11"/>
        <v>147950000</v>
      </c>
      <c r="H25" s="560">
        <f t="shared" si="7"/>
        <v>0.3</v>
      </c>
      <c r="I25" s="559">
        <f t="shared" si="8"/>
        <v>44385000</v>
      </c>
      <c r="J25" s="559"/>
      <c r="K25" s="559">
        <f t="shared" si="9"/>
        <v>44385000</v>
      </c>
      <c r="L25" s="559"/>
      <c r="M25" s="559"/>
      <c r="N25" s="559"/>
      <c r="O25" s="559"/>
      <c r="P25" s="559"/>
      <c r="Q25" s="559"/>
      <c r="R25" s="559"/>
      <c r="S25" s="559"/>
      <c r="T25" s="559">
        <f>+'BT 2HO'!R77+'BT 2HO'!R78</f>
        <v>44385000</v>
      </c>
      <c r="U25" s="559"/>
      <c r="V25" s="559"/>
      <c r="W25" s="559"/>
      <c r="X25" s="559">
        <f t="shared" si="10"/>
        <v>0</v>
      </c>
      <c r="Y25" s="559"/>
      <c r="Z25" s="559"/>
      <c r="AA25" s="559"/>
      <c r="AB25" s="559"/>
      <c r="AC25" s="559"/>
      <c r="AD25" s="559"/>
      <c r="AE25" s="559"/>
      <c r="AF25" s="559"/>
      <c r="AG25" s="559"/>
      <c r="AH25" s="559"/>
      <c r="AI25" s="559"/>
      <c r="AJ25" s="559"/>
    </row>
    <row r="26" spans="2:36">
      <c r="B26" s="1351" t="s">
        <v>192</v>
      </c>
      <c r="C26" s="566">
        <v>1</v>
      </c>
      <c r="D26" s="567" t="str">
        <f>+'BT 3HO'!C11</f>
        <v>Seun Steel Gyeongju</v>
      </c>
      <c r="E26" s="567">
        <f>+'BT 3HO'!D11</f>
        <v>709.29499999999996</v>
      </c>
      <c r="F26" s="568">
        <v>500000000</v>
      </c>
      <c r="G26" s="568">
        <f t="shared" ref="G26:G46" si="13">+E26*F26/1000*1.1</f>
        <v>390112250.00000006</v>
      </c>
      <c r="H26" s="569">
        <f t="shared" ref="H26:H46" si="14">+I26/G26</f>
        <v>0.39999999999999991</v>
      </c>
      <c r="I26" s="568">
        <f t="shared" ref="I26:I43" si="15">+J26+K26+X26</f>
        <v>156044900</v>
      </c>
      <c r="J26" s="568"/>
      <c r="K26" s="568">
        <f t="shared" ref="K26:K43" si="16">+SUM(L26:W26)</f>
        <v>156044900</v>
      </c>
      <c r="L26" s="568"/>
      <c r="M26" s="568"/>
      <c r="N26" s="568"/>
      <c r="O26" s="568"/>
      <c r="P26" s="568">
        <f>+'BT 3HO'!R12+'BT 3HO'!R13</f>
        <v>78022450</v>
      </c>
      <c r="Q26" s="568"/>
      <c r="R26" s="568"/>
      <c r="S26" s="568">
        <f>+'BT 3HO'!Y12+'BT 3HO'!Y13</f>
        <v>78022450</v>
      </c>
      <c r="T26" s="568"/>
      <c r="U26" s="568"/>
      <c r="V26" s="568"/>
      <c r="W26" s="568"/>
      <c r="X26" s="568">
        <f t="shared" ref="X26:X43" si="17">+SUM(Y26:AJ26)</f>
        <v>0</v>
      </c>
      <c r="Y26" s="568"/>
      <c r="Z26" s="568"/>
      <c r="AA26" s="568"/>
      <c r="AB26" s="568"/>
      <c r="AC26" s="568"/>
      <c r="AD26" s="568"/>
      <c r="AE26" s="568"/>
      <c r="AF26" s="568"/>
      <c r="AG26" s="568"/>
      <c r="AH26" s="568"/>
      <c r="AI26" s="568"/>
      <c r="AJ26" s="568"/>
    </row>
    <row r="27" spans="2:36">
      <c r="B27" s="1352"/>
      <c r="C27" s="557">
        <f t="shared" si="12"/>
        <v>2</v>
      </c>
      <c r="D27" s="558" t="str">
        <f>+'BT 3HO'!C16</f>
        <v>Oneel</v>
      </c>
      <c r="E27" s="558">
        <f>+'BT 3HO'!D16</f>
        <v>522.60500000000002</v>
      </c>
      <c r="F27" s="559">
        <v>500000000</v>
      </c>
      <c r="G27" s="559">
        <f t="shared" si="13"/>
        <v>287432750</v>
      </c>
      <c r="H27" s="560">
        <f t="shared" si="14"/>
        <v>0.9</v>
      </c>
      <c r="I27" s="559">
        <f t="shared" si="15"/>
        <v>258689475</v>
      </c>
      <c r="J27" s="559"/>
      <c r="K27" s="559">
        <f t="shared" si="16"/>
        <v>258689475</v>
      </c>
      <c r="L27" s="559"/>
      <c r="M27" s="559"/>
      <c r="N27" s="559"/>
      <c r="O27" s="559">
        <f>+'BT 3HO'!R17+'BT 3HO'!R18</f>
        <v>57486550</v>
      </c>
      <c r="P27" s="559"/>
      <c r="Q27" s="559"/>
      <c r="R27" s="559">
        <f>+'BT 3HO'!Y17+'BT 3HO'!Y18</f>
        <v>57486550</v>
      </c>
      <c r="S27" s="559">
        <f>+'BT 3HO'!AF17+'BT 3HO'!AF18</f>
        <v>143716375</v>
      </c>
      <c r="T27" s="559"/>
      <c r="U27" s="559"/>
      <c r="V27" s="559"/>
      <c r="W27" s="559"/>
      <c r="X27" s="559">
        <f t="shared" si="17"/>
        <v>0</v>
      </c>
      <c r="Y27" s="559"/>
      <c r="Z27" s="559"/>
      <c r="AA27" s="559"/>
      <c r="AB27" s="559"/>
      <c r="AC27" s="559"/>
      <c r="AD27" s="559"/>
      <c r="AE27" s="559"/>
      <c r="AF27" s="559"/>
      <c r="AG27" s="559"/>
      <c r="AH27" s="559"/>
      <c r="AI27" s="559"/>
      <c r="AJ27" s="559"/>
    </row>
    <row r="28" spans="2:36">
      <c r="B28" s="1352"/>
      <c r="C28" s="557">
        <f t="shared" si="12"/>
        <v>3</v>
      </c>
      <c r="D28" s="558" t="str">
        <f>+'BT 3HO'!C21</f>
        <v>LSG</v>
      </c>
      <c r="E28" s="558">
        <f>+'BT 3HO'!D21</f>
        <v>499.11</v>
      </c>
      <c r="F28" s="559">
        <v>500000000</v>
      </c>
      <c r="G28" s="559">
        <f t="shared" si="13"/>
        <v>274510500</v>
      </c>
      <c r="H28" s="560">
        <f t="shared" si="14"/>
        <v>0.9</v>
      </c>
      <c r="I28" s="559">
        <f t="shared" si="15"/>
        <v>247059450</v>
      </c>
      <c r="J28" s="559"/>
      <c r="K28" s="559">
        <f t="shared" si="16"/>
        <v>247059450</v>
      </c>
      <c r="L28" s="559"/>
      <c r="M28" s="559"/>
      <c r="N28" s="559"/>
      <c r="O28" s="559"/>
      <c r="P28" s="559"/>
      <c r="Q28" s="559">
        <f>+'BT 3HO'!R22+'BT 3HO'!R23+'BT 3HO'!Y22+'BT 3HO'!Y23+'BT 3HO'!AF22+'BT 3HO'!AF23</f>
        <v>247059450</v>
      </c>
      <c r="R28" s="559"/>
      <c r="S28" s="559"/>
      <c r="T28" s="559"/>
      <c r="U28" s="559"/>
      <c r="V28" s="559"/>
      <c r="W28" s="559"/>
      <c r="X28" s="559">
        <f t="shared" si="17"/>
        <v>0</v>
      </c>
      <c r="Y28" s="559"/>
      <c r="Z28" s="559"/>
      <c r="AA28" s="559"/>
      <c r="AB28" s="559"/>
      <c r="AC28" s="559"/>
      <c r="AD28" s="559"/>
      <c r="AE28" s="559"/>
      <c r="AF28" s="559"/>
      <c r="AG28" s="559"/>
      <c r="AH28" s="559"/>
      <c r="AI28" s="559"/>
      <c r="AJ28" s="559"/>
    </row>
    <row r="29" spans="2:36">
      <c r="B29" s="1352"/>
      <c r="C29" s="557">
        <f t="shared" si="12"/>
        <v>4</v>
      </c>
      <c r="D29" s="558" t="str">
        <f>+'BT 3HO'!C26</f>
        <v>Hanseo Motors</v>
      </c>
      <c r="E29" s="558">
        <f>+'BT 3HO'!D26</f>
        <v>142.875</v>
      </c>
      <c r="F29" s="559">
        <v>500000000</v>
      </c>
      <c r="G29" s="559">
        <f t="shared" si="13"/>
        <v>78581250</v>
      </c>
      <c r="H29" s="560">
        <f t="shared" si="14"/>
        <v>0.9</v>
      </c>
      <c r="I29" s="559">
        <f t="shared" si="15"/>
        <v>70723125</v>
      </c>
      <c r="J29" s="559"/>
      <c r="K29" s="559">
        <f t="shared" si="16"/>
        <v>70723125</v>
      </c>
      <c r="L29" s="559"/>
      <c r="M29" s="559"/>
      <c r="N29" s="559"/>
      <c r="O29" s="559"/>
      <c r="P29" s="559"/>
      <c r="Q29" s="559">
        <f>+'BT 3HO'!R27+'BT 3HO'!R28+'BT 3HO'!Y27+'BT 3HO'!Y28+'BT 3HO'!AF27+'BT 3HO'!AF28</f>
        <v>70723125</v>
      </c>
      <c r="R29" s="559"/>
      <c r="S29" s="559"/>
      <c r="T29" s="559"/>
      <c r="U29" s="559"/>
      <c r="V29" s="559"/>
      <c r="W29" s="559"/>
      <c r="X29" s="559">
        <f t="shared" si="17"/>
        <v>0</v>
      </c>
      <c r="Y29" s="559"/>
      <c r="Z29" s="559"/>
      <c r="AA29" s="559"/>
      <c r="AB29" s="559"/>
      <c r="AC29" s="559"/>
      <c r="AD29" s="559"/>
      <c r="AE29" s="559"/>
      <c r="AF29" s="559"/>
      <c r="AG29" s="559"/>
      <c r="AH29" s="559"/>
      <c r="AI29" s="559"/>
      <c r="AJ29" s="559"/>
    </row>
    <row r="30" spans="2:36">
      <c r="B30" s="1352"/>
      <c r="C30" s="557">
        <f t="shared" si="12"/>
        <v>5</v>
      </c>
      <c r="D30" s="558" t="str">
        <f>+'BT 3HO'!C31</f>
        <v>Daechon Headquarters</v>
      </c>
      <c r="E30" s="558">
        <f>+'BT 3HO'!D31</f>
        <v>897.89</v>
      </c>
      <c r="F30" s="559">
        <v>500000000</v>
      </c>
      <c r="G30" s="559">
        <f t="shared" si="13"/>
        <v>493839500.00000006</v>
      </c>
      <c r="H30" s="560">
        <f t="shared" si="14"/>
        <v>0.89999999999999991</v>
      </c>
      <c r="I30" s="559">
        <f t="shared" si="15"/>
        <v>444455550</v>
      </c>
      <c r="J30" s="559"/>
      <c r="K30" s="559">
        <f t="shared" si="16"/>
        <v>444455550</v>
      </c>
      <c r="L30" s="559"/>
      <c r="M30" s="559"/>
      <c r="N30" s="559"/>
      <c r="O30" s="559"/>
      <c r="P30" s="559"/>
      <c r="Q30" s="559">
        <f>+'BT 3HO'!R32+'BT 3HO'!R33</f>
        <v>98767900</v>
      </c>
      <c r="R30" s="559"/>
      <c r="S30" s="559">
        <f>+'BT 3HO'!Y32+'BT 3HO'!Y33</f>
        <v>98767900</v>
      </c>
      <c r="T30" s="559">
        <f>+'BT 3HO'!AF32+'BT 3HO'!AF33</f>
        <v>246919750</v>
      </c>
      <c r="U30" s="559"/>
      <c r="V30" s="559"/>
      <c r="W30" s="559"/>
      <c r="X30" s="559">
        <f t="shared" si="17"/>
        <v>0</v>
      </c>
      <c r="Y30" s="559"/>
      <c r="Z30" s="559"/>
      <c r="AA30" s="559"/>
      <c r="AB30" s="559"/>
      <c r="AC30" s="559"/>
      <c r="AD30" s="559"/>
      <c r="AE30" s="559"/>
      <c r="AF30" s="559"/>
      <c r="AG30" s="559"/>
      <c r="AH30" s="559"/>
      <c r="AI30" s="559"/>
      <c r="AJ30" s="559"/>
    </row>
    <row r="31" spans="2:36">
      <c r="B31" s="1352"/>
      <c r="C31" s="557">
        <f t="shared" si="12"/>
        <v>6</v>
      </c>
      <c r="D31" s="558" t="str">
        <f>+'BT 3HO'!C36</f>
        <v>Changseong High Tech</v>
      </c>
      <c r="E31" s="558">
        <f>+'BT 3HO'!D36</f>
        <v>166.37</v>
      </c>
      <c r="F31" s="559">
        <v>500000000</v>
      </c>
      <c r="G31" s="559">
        <f t="shared" si="13"/>
        <v>91503500</v>
      </c>
      <c r="H31" s="560">
        <f t="shared" si="14"/>
        <v>0.9</v>
      </c>
      <c r="I31" s="559">
        <f t="shared" si="15"/>
        <v>82353150</v>
      </c>
      <c r="J31" s="559"/>
      <c r="K31" s="559">
        <f t="shared" si="16"/>
        <v>82353150</v>
      </c>
      <c r="L31" s="559"/>
      <c r="M31" s="559"/>
      <c r="N31" s="559"/>
      <c r="O31" s="559"/>
      <c r="P31" s="559"/>
      <c r="Q31" s="559">
        <f>+'BT 3HO'!R37+'BT 3HO'!R38</f>
        <v>18300700</v>
      </c>
      <c r="R31" s="559">
        <f>+'BT 3HO'!Y37+'BT 3HO'!Y38</f>
        <v>18300700</v>
      </c>
      <c r="S31" s="559"/>
      <c r="T31" s="559">
        <f>+'BT 3HO'!AF37+'BT 3HO'!AF38</f>
        <v>45751750</v>
      </c>
      <c r="U31" s="559"/>
      <c r="V31" s="559"/>
      <c r="W31" s="559"/>
      <c r="X31" s="559">
        <f t="shared" si="17"/>
        <v>0</v>
      </c>
      <c r="Y31" s="559"/>
      <c r="Z31" s="559"/>
      <c r="AA31" s="559"/>
      <c r="AB31" s="559"/>
      <c r="AC31" s="559"/>
      <c r="AD31" s="559"/>
      <c r="AE31" s="559"/>
      <c r="AF31" s="559"/>
      <c r="AG31" s="559"/>
      <c r="AH31" s="559"/>
      <c r="AI31" s="559"/>
      <c r="AJ31" s="559"/>
    </row>
    <row r="32" spans="2:36">
      <c r="B32" s="1352"/>
      <c r="C32" s="557">
        <f t="shared" si="12"/>
        <v>7</v>
      </c>
      <c r="D32" s="558" t="str">
        <f>+'BT 3HO'!C41</f>
        <v>Daechon Busan</v>
      </c>
      <c r="E32" s="558">
        <f>+'BT 3HO'!D41</f>
        <v>1155.7</v>
      </c>
      <c r="F32" s="559">
        <v>500000000</v>
      </c>
      <c r="G32" s="559">
        <f t="shared" si="13"/>
        <v>635635000</v>
      </c>
      <c r="H32" s="560">
        <f t="shared" si="14"/>
        <v>0.9</v>
      </c>
      <c r="I32" s="559">
        <f t="shared" si="15"/>
        <v>572071500</v>
      </c>
      <c r="J32" s="559"/>
      <c r="K32" s="559">
        <f t="shared" si="16"/>
        <v>572071500</v>
      </c>
      <c r="L32" s="559"/>
      <c r="M32" s="559"/>
      <c r="N32" s="559"/>
      <c r="O32" s="559"/>
      <c r="P32" s="559"/>
      <c r="Q32" s="559">
        <f>+'BT 3HO'!R42+'BT 3HO'!R43</f>
        <v>138303000</v>
      </c>
      <c r="R32" s="559"/>
      <c r="S32" s="559">
        <f>+'BT 3HO'!Y42+'BT 3HO'!Y43</f>
        <v>138303000</v>
      </c>
      <c r="T32" s="559">
        <f>+'BT 3HO'!AF42+'BT 3HO'!AF43</f>
        <v>295465500</v>
      </c>
      <c r="U32" s="559"/>
      <c r="V32" s="559"/>
      <c r="W32" s="559"/>
      <c r="X32" s="559">
        <f t="shared" si="17"/>
        <v>0</v>
      </c>
      <c r="Y32" s="559"/>
      <c r="Z32" s="559"/>
      <c r="AA32" s="559"/>
      <c r="AB32" s="559"/>
      <c r="AC32" s="559"/>
      <c r="AD32" s="559"/>
      <c r="AE32" s="559"/>
      <c r="AF32" s="559"/>
      <c r="AG32" s="559"/>
      <c r="AH32" s="559"/>
      <c r="AI32" s="559"/>
      <c r="AJ32" s="559"/>
    </row>
    <row r="33" spans="2:36">
      <c r="B33" s="1352"/>
      <c r="C33" s="557">
        <f t="shared" si="12"/>
        <v>8</v>
      </c>
      <c r="D33" s="558" t="str">
        <f>+'BT 3HO'!C46</f>
        <v>E-Tech</v>
      </c>
      <c r="E33" s="558">
        <f>+'BT 3HO'!D46</f>
        <v>148.47999999999999</v>
      </c>
      <c r="F33" s="559">
        <v>500000000</v>
      </c>
      <c r="G33" s="559">
        <f t="shared" si="13"/>
        <v>81664000</v>
      </c>
      <c r="H33" s="560">
        <f t="shared" si="14"/>
        <v>0.2</v>
      </c>
      <c r="I33" s="559">
        <f t="shared" si="15"/>
        <v>16332800</v>
      </c>
      <c r="J33" s="559"/>
      <c r="K33" s="559">
        <f t="shared" si="16"/>
        <v>16332800</v>
      </c>
      <c r="L33" s="559"/>
      <c r="M33" s="559"/>
      <c r="N33" s="559"/>
      <c r="O33" s="559"/>
      <c r="P33" s="559"/>
      <c r="Q33" s="559"/>
      <c r="R33" s="559">
        <f>+'BT 3HO'!R47+'BT 3HO'!R48</f>
        <v>16332800</v>
      </c>
      <c r="S33" s="559"/>
      <c r="T33" s="559"/>
      <c r="U33" s="559"/>
      <c r="V33" s="559"/>
      <c r="W33" s="559"/>
      <c r="X33" s="559">
        <f t="shared" si="17"/>
        <v>0</v>
      </c>
      <c r="Y33" s="559"/>
      <c r="Z33" s="559"/>
      <c r="AA33" s="559"/>
      <c r="AB33" s="559"/>
      <c r="AC33" s="559"/>
      <c r="AD33" s="559"/>
      <c r="AE33" s="559"/>
      <c r="AF33" s="559"/>
      <c r="AG33" s="559"/>
      <c r="AH33" s="559"/>
      <c r="AI33" s="559"/>
      <c r="AJ33" s="559"/>
    </row>
    <row r="34" spans="2:36">
      <c r="B34" s="1353"/>
      <c r="C34" s="561">
        <f t="shared" si="12"/>
        <v>9</v>
      </c>
      <c r="D34" s="570" t="str">
        <f>+'BT 3HO'!C51</f>
        <v>Dongsung Metal</v>
      </c>
      <c r="E34" s="562">
        <f>+'BT 3HO'!D51</f>
        <v>495.81</v>
      </c>
      <c r="F34" s="563">
        <v>500000000</v>
      </c>
      <c r="G34" s="563">
        <f t="shared" si="13"/>
        <v>272695500</v>
      </c>
      <c r="H34" s="564">
        <f t="shared" si="14"/>
        <v>0</v>
      </c>
      <c r="I34" s="563">
        <f t="shared" si="15"/>
        <v>0</v>
      </c>
      <c r="J34" s="563"/>
      <c r="K34" s="563">
        <f t="shared" si="16"/>
        <v>0</v>
      </c>
      <c r="L34" s="563"/>
      <c r="M34" s="563"/>
      <c r="N34" s="563"/>
      <c r="O34" s="563"/>
      <c r="P34" s="563"/>
      <c r="Q34" s="563">
        <f>+'BT 3HO'!R52+'BT 3HO'!R53</f>
        <v>0</v>
      </c>
      <c r="R34" s="563">
        <f>+'BT 3HO'!Y52+'BT 3HO'!Y53</f>
        <v>0</v>
      </c>
      <c r="S34" s="563"/>
      <c r="T34" s="563"/>
      <c r="U34" s="563"/>
      <c r="V34" s="563"/>
      <c r="W34" s="563"/>
      <c r="X34" s="563">
        <f t="shared" si="17"/>
        <v>0</v>
      </c>
      <c r="Y34" s="563"/>
      <c r="Z34" s="563"/>
      <c r="AA34" s="563"/>
      <c r="AB34" s="563"/>
      <c r="AC34" s="563"/>
      <c r="AD34" s="563"/>
      <c r="AE34" s="563"/>
      <c r="AF34" s="563"/>
      <c r="AG34" s="563"/>
      <c r="AH34" s="563"/>
      <c r="AI34" s="563"/>
      <c r="AJ34" s="563"/>
    </row>
    <row r="35" spans="2:36">
      <c r="B35" s="1351" t="s">
        <v>227</v>
      </c>
      <c r="C35" s="553">
        <v>1</v>
      </c>
      <c r="D35" s="554" t="str">
        <f>+'BT 4HO'!C36</f>
        <v>RMK</v>
      </c>
      <c r="E35" s="554">
        <f>+'BT 4HO'!D36</f>
        <v>991</v>
      </c>
      <c r="F35" s="555">
        <v>500000000</v>
      </c>
      <c r="G35" s="555">
        <f t="shared" si="13"/>
        <v>545050000</v>
      </c>
      <c r="H35" s="556">
        <f t="shared" si="14"/>
        <v>0</v>
      </c>
      <c r="I35" s="555">
        <f t="shared" si="15"/>
        <v>0</v>
      </c>
      <c r="J35" s="555"/>
      <c r="K35" s="555">
        <f t="shared" si="16"/>
        <v>0</v>
      </c>
      <c r="L35" s="555"/>
      <c r="M35" s="555"/>
      <c r="N35" s="555"/>
      <c r="O35" s="555"/>
      <c r="P35" s="555"/>
      <c r="Q35" s="555"/>
      <c r="R35" s="555"/>
      <c r="S35" s="555"/>
      <c r="T35" s="555"/>
      <c r="U35" s="555"/>
      <c r="V35" s="555"/>
      <c r="W35" s="555"/>
      <c r="X35" s="555">
        <f t="shared" si="17"/>
        <v>0</v>
      </c>
      <c r="Y35" s="555"/>
      <c r="Z35" s="555"/>
      <c r="AA35" s="555"/>
      <c r="AB35" s="555"/>
      <c r="AC35" s="555"/>
      <c r="AD35" s="555"/>
      <c r="AE35" s="555"/>
      <c r="AF35" s="555"/>
      <c r="AG35" s="555"/>
      <c r="AH35" s="555"/>
      <c r="AI35" s="555"/>
      <c r="AJ35" s="555"/>
    </row>
    <row r="36" spans="2:36">
      <c r="B36" s="1353"/>
      <c r="C36" s="561">
        <f t="shared" si="12"/>
        <v>2</v>
      </c>
      <c r="D36" s="562" t="str">
        <f>+'BT 4HO'!C46</f>
        <v>Daesung Fruit Industry</v>
      </c>
      <c r="E36" s="562">
        <f>+'BT 4HO'!D46</f>
        <v>315</v>
      </c>
      <c r="F36" s="563">
        <v>500000000</v>
      </c>
      <c r="G36" s="563">
        <f t="shared" si="13"/>
        <v>173250000</v>
      </c>
      <c r="H36" s="564">
        <f t="shared" si="14"/>
        <v>0</v>
      </c>
      <c r="I36" s="563">
        <f t="shared" si="15"/>
        <v>0</v>
      </c>
      <c r="J36" s="563"/>
      <c r="K36" s="563">
        <f t="shared" si="16"/>
        <v>0</v>
      </c>
      <c r="L36" s="563"/>
      <c r="M36" s="563"/>
      <c r="N36" s="563"/>
      <c r="O36" s="563"/>
      <c r="P36" s="563"/>
      <c r="Q36" s="563"/>
      <c r="R36" s="563"/>
      <c r="S36" s="563"/>
      <c r="T36" s="563">
        <f>+'BT 4HO'!R47+'BT 4HO'!R48</f>
        <v>0</v>
      </c>
      <c r="U36" s="563"/>
      <c r="V36" s="563"/>
      <c r="W36" s="563"/>
      <c r="X36" s="563">
        <f t="shared" si="17"/>
        <v>0</v>
      </c>
      <c r="Y36" s="563"/>
      <c r="Z36" s="563"/>
      <c r="AA36" s="563"/>
      <c r="AB36" s="563"/>
      <c r="AC36" s="563"/>
      <c r="AD36" s="563"/>
      <c r="AE36" s="563"/>
      <c r="AF36" s="563"/>
      <c r="AG36" s="563"/>
      <c r="AH36" s="563"/>
      <c r="AI36" s="563"/>
      <c r="AJ36" s="563"/>
    </row>
    <row r="37" spans="2:36">
      <c r="B37" s="1351" t="s">
        <v>193</v>
      </c>
      <c r="C37" s="566">
        <v>1</v>
      </c>
      <c r="D37" s="567" t="str">
        <f>+'BT 6HO'!C11</f>
        <v>Esun</v>
      </c>
      <c r="E37" s="567">
        <f>+'BT 6HO'!D11</f>
        <v>150</v>
      </c>
      <c r="F37" s="568">
        <v>500000000</v>
      </c>
      <c r="G37" s="568">
        <f t="shared" si="13"/>
        <v>82500000</v>
      </c>
      <c r="H37" s="569">
        <f t="shared" si="14"/>
        <v>0.2</v>
      </c>
      <c r="I37" s="568">
        <f t="shared" si="15"/>
        <v>16500000</v>
      </c>
      <c r="J37" s="568">
        <f>+'BT 6HO'!R12+'BT 6HO'!R13</f>
        <v>16500000</v>
      </c>
      <c r="K37" s="568">
        <f t="shared" si="16"/>
        <v>0</v>
      </c>
      <c r="L37" s="568"/>
      <c r="M37" s="568"/>
      <c r="N37" s="568"/>
      <c r="O37" s="568"/>
      <c r="P37" s="568"/>
      <c r="Q37" s="568"/>
      <c r="R37" s="568"/>
      <c r="S37" s="568"/>
      <c r="T37" s="568"/>
      <c r="U37" s="568"/>
      <c r="V37" s="568"/>
      <c r="W37" s="568"/>
      <c r="X37" s="568">
        <f t="shared" si="17"/>
        <v>0</v>
      </c>
      <c r="Y37" s="568"/>
      <c r="Z37" s="568"/>
      <c r="AA37" s="568"/>
      <c r="AB37" s="568"/>
      <c r="AC37" s="568"/>
      <c r="AD37" s="568"/>
      <c r="AE37" s="568"/>
      <c r="AF37" s="568"/>
      <c r="AG37" s="568"/>
      <c r="AH37" s="568"/>
      <c r="AI37" s="568"/>
      <c r="AJ37" s="568"/>
    </row>
    <row r="38" spans="2:36">
      <c r="B38" s="1352"/>
      <c r="C38" s="557">
        <f t="shared" si="12"/>
        <v>2</v>
      </c>
      <c r="D38" s="571" t="str">
        <f>+'BT 6HO'!C16</f>
        <v>Sejin SMC</v>
      </c>
      <c r="E38" s="558">
        <f>+'BT 6HO'!D16</f>
        <v>144.15</v>
      </c>
      <c r="F38" s="559">
        <v>500000000</v>
      </c>
      <c r="G38" s="559">
        <f t="shared" si="13"/>
        <v>79282500</v>
      </c>
      <c r="H38" s="560">
        <f t="shared" si="14"/>
        <v>0.2</v>
      </c>
      <c r="I38" s="559">
        <f t="shared" si="15"/>
        <v>15856500</v>
      </c>
      <c r="J38" s="559">
        <f>+'BT 6HO'!R17+'BT 6HO'!R18</f>
        <v>15856500</v>
      </c>
      <c r="K38" s="559">
        <f t="shared" si="16"/>
        <v>0</v>
      </c>
      <c r="L38" s="559"/>
      <c r="M38" s="559"/>
      <c r="N38" s="559"/>
      <c r="O38" s="559"/>
      <c r="P38" s="559"/>
      <c r="Q38" s="559"/>
      <c r="R38" s="559"/>
      <c r="S38" s="559"/>
      <c r="T38" s="559"/>
      <c r="U38" s="559"/>
      <c r="V38" s="559"/>
      <c r="W38" s="559"/>
      <c r="X38" s="559">
        <f t="shared" si="17"/>
        <v>0</v>
      </c>
      <c r="Y38" s="559"/>
      <c r="Z38" s="559"/>
      <c r="AA38" s="559"/>
      <c r="AB38" s="559"/>
      <c r="AC38" s="559"/>
      <c r="AD38" s="559"/>
      <c r="AE38" s="559"/>
      <c r="AF38" s="559"/>
      <c r="AG38" s="559"/>
      <c r="AH38" s="559"/>
      <c r="AI38" s="559"/>
      <c r="AJ38" s="559"/>
    </row>
    <row r="39" spans="2:36">
      <c r="B39" s="1353"/>
      <c r="C39" s="561">
        <f t="shared" si="12"/>
        <v>3</v>
      </c>
      <c r="D39" s="570" t="str">
        <f>+'BT 6HO'!C21</f>
        <v>Seoyong</v>
      </c>
      <c r="E39" s="562">
        <f>+'BT 6HO'!D21</f>
        <v>138.43</v>
      </c>
      <c r="F39" s="563">
        <v>500000000</v>
      </c>
      <c r="G39" s="563">
        <f t="shared" si="13"/>
        <v>76136500</v>
      </c>
      <c r="H39" s="564">
        <f t="shared" si="14"/>
        <v>0.2</v>
      </c>
      <c r="I39" s="563">
        <f t="shared" si="15"/>
        <v>15227300</v>
      </c>
      <c r="J39" s="563">
        <f>+'BT 6HO'!R22+'BT 6HO'!R23</f>
        <v>15227300</v>
      </c>
      <c r="K39" s="563">
        <f t="shared" si="16"/>
        <v>0</v>
      </c>
      <c r="L39" s="563"/>
      <c r="M39" s="563"/>
      <c r="N39" s="563"/>
      <c r="O39" s="563"/>
      <c r="P39" s="563"/>
      <c r="Q39" s="563"/>
      <c r="R39" s="563"/>
      <c r="S39" s="563"/>
      <c r="T39" s="563"/>
      <c r="U39" s="563"/>
      <c r="V39" s="563"/>
      <c r="W39" s="563"/>
      <c r="X39" s="563">
        <f t="shared" si="17"/>
        <v>0</v>
      </c>
      <c r="Y39" s="563"/>
      <c r="Z39" s="563"/>
      <c r="AA39" s="563"/>
      <c r="AB39" s="563"/>
      <c r="AC39" s="563"/>
      <c r="AD39" s="563"/>
      <c r="AE39" s="563"/>
      <c r="AF39" s="563"/>
      <c r="AG39" s="563"/>
      <c r="AH39" s="563"/>
      <c r="AI39" s="563"/>
      <c r="AJ39" s="563"/>
    </row>
    <row r="40" spans="2:36">
      <c r="B40" s="1351" t="s">
        <v>194</v>
      </c>
      <c r="C40" s="566">
        <v>1</v>
      </c>
      <c r="D40" s="567" t="str">
        <f>+'BT 7HO'!C11</f>
        <v>Eco Inshutech</v>
      </c>
      <c r="E40" s="567">
        <f>+'BT 7HO'!D11</f>
        <v>225.78</v>
      </c>
      <c r="F40" s="568">
        <v>500000000</v>
      </c>
      <c r="G40" s="568">
        <f t="shared" si="13"/>
        <v>124179000.00000001</v>
      </c>
      <c r="H40" s="569">
        <f t="shared" si="14"/>
        <v>1.2723890512888651</v>
      </c>
      <c r="I40" s="568">
        <f t="shared" si="15"/>
        <v>158004000</v>
      </c>
      <c r="J40" s="568">
        <f>+'BT 7HO'!R12+'BT 7HO'!R13</f>
        <v>35112000</v>
      </c>
      <c r="K40" s="568">
        <f t="shared" si="16"/>
        <v>122892000</v>
      </c>
      <c r="L40" s="568"/>
      <c r="M40" s="568"/>
      <c r="N40" s="568">
        <f>+'BT 7HO'!Y12+'BT 7HO'!Y13</f>
        <v>35112000</v>
      </c>
      <c r="O40" s="568"/>
      <c r="P40" s="568">
        <f>+'BT 7HO'!AF12+'BT 7HO'!AF13</f>
        <v>87780000</v>
      </c>
      <c r="Q40" s="568"/>
      <c r="R40" s="568"/>
      <c r="S40" s="568"/>
      <c r="T40" s="568"/>
      <c r="U40" s="568"/>
      <c r="V40" s="568"/>
      <c r="W40" s="568"/>
      <c r="X40" s="568">
        <f t="shared" si="17"/>
        <v>0</v>
      </c>
      <c r="Y40" s="568"/>
      <c r="Z40" s="568"/>
      <c r="AA40" s="568"/>
      <c r="AB40" s="568"/>
      <c r="AC40" s="568"/>
      <c r="AD40" s="568"/>
      <c r="AE40" s="568"/>
      <c r="AF40" s="568"/>
      <c r="AG40" s="568"/>
      <c r="AH40" s="568"/>
      <c r="AI40" s="568"/>
      <c r="AJ40" s="568"/>
    </row>
    <row r="41" spans="2:36">
      <c r="B41" s="1352"/>
      <c r="C41" s="557">
        <f t="shared" si="12"/>
        <v>2</v>
      </c>
      <c r="D41" s="558" t="str">
        <f>+'BT 7HO'!C16</f>
        <v>Younggwang Industry</v>
      </c>
      <c r="E41" s="558">
        <f>+'BT 7HO'!D16</f>
        <v>545.46</v>
      </c>
      <c r="F41" s="559">
        <v>500000000</v>
      </c>
      <c r="G41" s="559">
        <f t="shared" si="13"/>
        <v>300003000.00000012</v>
      </c>
      <c r="H41" s="560">
        <f t="shared" si="14"/>
        <v>0.39999999999999986</v>
      </c>
      <c r="I41" s="559">
        <f t="shared" si="15"/>
        <v>120001200</v>
      </c>
      <c r="J41" s="559"/>
      <c r="K41" s="559">
        <f t="shared" si="16"/>
        <v>120001200</v>
      </c>
      <c r="L41" s="559">
        <f>+'BT 7HO'!R17+'BT 7HO'!R18</f>
        <v>60000600</v>
      </c>
      <c r="M41" s="559"/>
      <c r="N41" s="559"/>
      <c r="O41" s="559"/>
      <c r="P41" s="559">
        <f>+'BT 7HO'!Y17+'BT 7HO'!Y18</f>
        <v>60000600</v>
      </c>
      <c r="Q41" s="559"/>
      <c r="R41" s="559"/>
      <c r="S41" s="559"/>
      <c r="T41" s="559"/>
      <c r="U41" s="559"/>
      <c r="V41" s="559"/>
      <c r="W41" s="559"/>
      <c r="X41" s="559">
        <f t="shared" si="17"/>
        <v>0</v>
      </c>
      <c r="Y41" s="559"/>
      <c r="Z41" s="559"/>
      <c r="AA41" s="559"/>
      <c r="AB41" s="559"/>
      <c r="AC41" s="559"/>
      <c r="AD41" s="559"/>
      <c r="AE41" s="559"/>
      <c r="AF41" s="559"/>
      <c r="AG41" s="559"/>
      <c r="AH41" s="559"/>
      <c r="AI41" s="559"/>
      <c r="AJ41" s="559"/>
    </row>
    <row r="42" spans="2:36">
      <c r="B42" s="1352"/>
      <c r="C42" s="557">
        <f t="shared" si="12"/>
        <v>3</v>
      </c>
      <c r="D42" s="558" t="str">
        <f>+'BT 7HO'!C21</f>
        <v>BNB Composite(Drop)</v>
      </c>
      <c r="E42" s="558">
        <f>+'BT 7HO'!D21</f>
        <v>207.36</v>
      </c>
      <c r="F42" s="559">
        <v>500000000</v>
      </c>
      <c r="G42" s="559">
        <f t="shared" si="13"/>
        <v>114048000.00000001</v>
      </c>
      <c r="H42" s="560">
        <f t="shared" si="14"/>
        <v>0.89999999999999991</v>
      </c>
      <c r="I42" s="559">
        <f t="shared" si="15"/>
        <v>102643200</v>
      </c>
      <c r="J42" s="559"/>
      <c r="K42" s="559">
        <f t="shared" si="16"/>
        <v>102643200</v>
      </c>
      <c r="L42" s="559"/>
      <c r="M42" s="559"/>
      <c r="N42" s="559"/>
      <c r="O42" s="559"/>
      <c r="P42" s="559">
        <f>+'BT 7HO'!R22+'BT 7HO'!R23</f>
        <v>26822400</v>
      </c>
      <c r="Q42" s="559"/>
      <c r="R42" s="559">
        <f>+'BT 7HO'!Y22+'BT 7HO'!Y23</f>
        <v>26822400</v>
      </c>
      <c r="S42" s="559"/>
      <c r="T42" s="559">
        <f>+'BT 7HO'!AF22+'BT 7HO'!AF23</f>
        <v>48998400</v>
      </c>
      <c r="U42" s="559"/>
      <c r="V42" s="559"/>
      <c r="W42" s="559"/>
      <c r="X42" s="559">
        <f t="shared" si="17"/>
        <v>0</v>
      </c>
      <c r="Y42" s="559"/>
      <c r="Z42" s="559"/>
      <c r="AA42" s="559"/>
      <c r="AB42" s="559"/>
      <c r="AC42" s="559"/>
      <c r="AD42" s="559"/>
      <c r="AE42" s="559"/>
      <c r="AF42" s="559"/>
      <c r="AG42" s="559"/>
      <c r="AH42" s="559"/>
      <c r="AI42" s="559"/>
      <c r="AJ42" s="559"/>
    </row>
    <row r="43" spans="2:36">
      <c r="B43" s="1352"/>
      <c r="C43" s="557">
        <f t="shared" si="12"/>
        <v>4</v>
      </c>
      <c r="D43" s="558" t="str">
        <f>+'BT 7HO'!C26</f>
        <v>MPM Trade</v>
      </c>
      <c r="E43" s="558">
        <f>+'BT 7HO'!D26</f>
        <v>210.82</v>
      </c>
      <c r="F43" s="559">
        <v>500000000</v>
      </c>
      <c r="G43" s="559">
        <f t="shared" si="13"/>
        <v>115951000.00000001</v>
      </c>
      <c r="H43" s="560">
        <f t="shared" si="14"/>
        <v>0.89999999999999991</v>
      </c>
      <c r="I43" s="559">
        <f t="shared" si="15"/>
        <v>104355900</v>
      </c>
      <c r="J43" s="559"/>
      <c r="K43" s="559">
        <f t="shared" si="16"/>
        <v>104355900</v>
      </c>
      <c r="L43" s="559"/>
      <c r="M43" s="559"/>
      <c r="N43" s="559">
        <f>+'BT 7HO'!R27+'BT 7HO'!R28</f>
        <v>23190200</v>
      </c>
      <c r="O43" s="559"/>
      <c r="P43" s="559"/>
      <c r="Q43" s="559">
        <f>+'BT 7HO'!Y27+'BT 7HO'!Y28</f>
        <v>23190200</v>
      </c>
      <c r="R43" s="559"/>
      <c r="S43" s="559">
        <f>+'BT 7HO'!AF27+'BT 7HO'!AF28</f>
        <v>57975500</v>
      </c>
      <c r="T43" s="559"/>
      <c r="U43" s="559"/>
      <c r="V43" s="559"/>
      <c r="W43" s="559"/>
      <c r="X43" s="559">
        <f t="shared" si="17"/>
        <v>0</v>
      </c>
      <c r="Y43" s="559"/>
      <c r="Z43" s="559"/>
      <c r="AA43" s="559"/>
      <c r="AB43" s="559"/>
      <c r="AC43" s="559"/>
      <c r="AD43" s="559"/>
      <c r="AE43" s="559"/>
      <c r="AF43" s="559"/>
      <c r="AG43" s="559"/>
      <c r="AH43" s="559"/>
      <c r="AI43" s="559"/>
      <c r="AJ43" s="559"/>
    </row>
    <row r="44" spans="2:36">
      <c r="B44" s="1352"/>
      <c r="C44" s="557">
        <f t="shared" si="12"/>
        <v>5</v>
      </c>
      <c r="D44" s="558" t="str">
        <f>+'BT 7HO'!C31</f>
        <v>Ajin P&amp;S</v>
      </c>
      <c r="E44" s="558">
        <f>+'BT 7HO'!D31</f>
        <v>151.13</v>
      </c>
      <c r="F44" s="559">
        <v>500000000</v>
      </c>
      <c r="G44" s="559">
        <f t="shared" si="13"/>
        <v>83121500</v>
      </c>
      <c r="H44" s="560">
        <f t="shared" si="14"/>
        <v>0.9</v>
      </c>
      <c r="I44" s="559">
        <f t="shared" ref="I44:I46" si="18">+J44+K44+X44</f>
        <v>74809350</v>
      </c>
      <c r="J44" s="559"/>
      <c r="K44" s="559">
        <f t="shared" ref="K44:K46" si="19">+SUM(L44:W44)</f>
        <v>74809350</v>
      </c>
      <c r="L44" s="559">
        <f>+'BT 7HO'!R32+'BT 7HO'!R33</f>
        <v>16624300</v>
      </c>
      <c r="M44" s="559"/>
      <c r="N44" s="559"/>
      <c r="O44" s="559"/>
      <c r="P44" s="559">
        <f>+'BT 7HO'!Y32+'BT 7HO'!Y33</f>
        <v>16624300</v>
      </c>
      <c r="Q44" s="559">
        <f>+'BT 7HO'!AF32+'BT 7HO'!AF33</f>
        <v>41560750</v>
      </c>
      <c r="R44" s="559"/>
      <c r="S44" s="559"/>
      <c r="T44" s="559"/>
      <c r="U44" s="559"/>
      <c r="V44" s="559"/>
      <c r="W44" s="559"/>
      <c r="X44" s="559">
        <f t="shared" ref="X44:X46" si="20">+SUM(Y44:AJ44)</f>
        <v>0</v>
      </c>
      <c r="Y44" s="559"/>
      <c r="Z44" s="559"/>
      <c r="AA44" s="559"/>
      <c r="AB44" s="559"/>
      <c r="AC44" s="559"/>
      <c r="AD44" s="559"/>
      <c r="AE44" s="559"/>
      <c r="AF44" s="559"/>
      <c r="AG44" s="559"/>
      <c r="AH44" s="559"/>
      <c r="AI44" s="559"/>
      <c r="AJ44" s="559"/>
    </row>
    <row r="45" spans="2:36">
      <c r="B45" s="1352"/>
      <c r="C45" s="557">
        <f t="shared" si="12"/>
        <v>6</v>
      </c>
      <c r="D45" s="558" t="str">
        <f>+'BT 7HO'!C36</f>
        <v>Myunghyun Tech 1</v>
      </c>
      <c r="E45" s="558">
        <f>+'BT 7HO'!D36</f>
        <v>71.680000000000007</v>
      </c>
      <c r="F45" s="559">
        <v>500000000</v>
      </c>
      <c r="G45" s="559">
        <f t="shared" si="13"/>
        <v>39424000</v>
      </c>
      <c r="H45" s="560">
        <f t="shared" si="14"/>
        <v>0.40200892857142861</v>
      </c>
      <c r="I45" s="559">
        <f t="shared" si="18"/>
        <v>15848800.000000002</v>
      </c>
      <c r="J45" s="559"/>
      <c r="K45" s="559">
        <f t="shared" si="19"/>
        <v>15848800.000000002</v>
      </c>
      <c r="L45" s="559"/>
      <c r="M45" s="559">
        <f>+'BT 7HO'!R37+'BT 7HO'!R38</f>
        <v>7884800.0000000019</v>
      </c>
      <c r="N45" s="559"/>
      <c r="O45" s="559"/>
      <c r="P45" s="559"/>
      <c r="Q45" s="559">
        <f>+'BT 7HO'!Y37+'BT 7HO'!Y38</f>
        <v>7964000</v>
      </c>
      <c r="R45" s="559"/>
      <c r="S45" s="559"/>
      <c r="T45" s="559"/>
      <c r="U45" s="559"/>
      <c r="V45" s="559"/>
      <c r="W45" s="559"/>
      <c r="X45" s="559">
        <f t="shared" si="20"/>
        <v>0</v>
      </c>
      <c r="Y45" s="559"/>
      <c r="Z45" s="559"/>
      <c r="AA45" s="559"/>
      <c r="AB45" s="559"/>
      <c r="AC45" s="559"/>
      <c r="AD45" s="559"/>
      <c r="AE45" s="559"/>
      <c r="AF45" s="559"/>
      <c r="AG45" s="559"/>
      <c r="AH45" s="559"/>
      <c r="AI45" s="559"/>
      <c r="AJ45" s="559"/>
    </row>
    <row r="46" spans="2:36">
      <c r="B46" s="1352"/>
      <c r="C46" s="557">
        <f t="shared" si="12"/>
        <v>7</v>
      </c>
      <c r="D46" s="558" t="str">
        <f>+'BT 7HO'!C41</f>
        <v>Myunghyun Tech 2</v>
      </c>
      <c r="E46" s="558">
        <f>+'BT 7HO'!D41</f>
        <v>38.4</v>
      </c>
      <c r="F46" s="559">
        <v>500000000</v>
      </c>
      <c r="G46" s="559">
        <f t="shared" si="13"/>
        <v>21120000</v>
      </c>
      <c r="H46" s="560">
        <f t="shared" si="14"/>
        <v>0.4</v>
      </c>
      <c r="I46" s="559">
        <f t="shared" si="18"/>
        <v>8448000</v>
      </c>
      <c r="J46" s="559"/>
      <c r="K46" s="559">
        <f t="shared" si="19"/>
        <v>8448000</v>
      </c>
      <c r="L46" s="559"/>
      <c r="M46" s="559">
        <f>+'BT 7HO'!R42+'BT 7HO'!R43</f>
        <v>4224000</v>
      </c>
      <c r="N46" s="559"/>
      <c r="O46" s="559"/>
      <c r="P46" s="559"/>
      <c r="Q46" s="559">
        <f>+'BT 7HO'!Y42+'BT 7HO'!Y43</f>
        <v>4224000</v>
      </c>
      <c r="R46" s="559"/>
      <c r="S46" s="559"/>
      <c r="T46" s="559"/>
      <c r="U46" s="559"/>
      <c r="V46" s="559"/>
      <c r="W46" s="559"/>
      <c r="X46" s="559">
        <f t="shared" si="20"/>
        <v>0</v>
      </c>
      <c r="Y46" s="559"/>
      <c r="Z46" s="559"/>
      <c r="AA46" s="559"/>
      <c r="AB46" s="559"/>
      <c r="AC46" s="559"/>
      <c r="AD46" s="559"/>
      <c r="AE46" s="559"/>
      <c r="AF46" s="559"/>
      <c r="AG46" s="559"/>
      <c r="AH46" s="559"/>
      <c r="AI46" s="559"/>
      <c r="AJ46" s="559"/>
    </row>
    <row r="47" spans="2:36">
      <c r="B47" s="1353"/>
      <c r="C47" s="561">
        <f t="shared" si="12"/>
        <v>8</v>
      </c>
      <c r="D47" s="562" t="str">
        <f>+'BT 7HO'!C46</f>
        <v>Sehyun Chemical</v>
      </c>
      <c r="E47" s="562">
        <f>+'BT 7HO'!D46</f>
        <v>158.75</v>
      </c>
      <c r="F47" s="563">
        <v>500000000</v>
      </c>
      <c r="G47" s="563">
        <f t="shared" si="11"/>
        <v>87312500</v>
      </c>
      <c r="H47" s="564">
        <f t="shared" si="7"/>
        <v>0.9</v>
      </c>
      <c r="I47" s="563">
        <f>+J47+K47+X47</f>
        <v>78581250</v>
      </c>
      <c r="J47" s="563"/>
      <c r="K47" s="563">
        <f>+SUM(L47:W47)</f>
        <v>78581250</v>
      </c>
      <c r="L47" s="563"/>
      <c r="M47" s="563">
        <f>+'BT 7HO'!R47+'BT 7HO'!R48</f>
        <v>17462500</v>
      </c>
      <c r="N47" s="563"/>
      <c r="O47" s="563"/>
      <c r="P47" s="563"/>
      <c r="Q47" s="563">
        <f>+'BT 7HO'!Y47+'BT 7HO'!Y48</f>
        <v>17462500</v>
      </c>
      <c r="R47" s="563"/>
      <c r="S47" s="563"/>
      <c r="T47" s="563">
        <f>+'BT 7HO'!AF47+'BT 7HO'!AF48</f>
        <v>43656250</v>
      </c>
      <c r="U47" s="563"/>
      <c r="V47" s="563"/>
      <c r="W47" s="563"/>
      <c r="X47" s="563">
        <f>+SUM(Y47:AJ47)</f>
        <v>0</v>
      </c>
      <c r="Y47" s="563"/>
      <c r="Z47" s="563"/>
      <c r="AA47" s="563"/>
      <c r="AB47" s="563"/>
      <c r="AC47" s="563"/>
      <c r="AD47" s="563"/>
      <c r="AE47" s="563"/>
      <c r="AF47" s="563"/>
      <c r="AG47" s="563"/>
      <c r="AH47" s="563"/>
      <c r="AI47" s="563"/>
      <c r="AJ47" s="563"/>
    </row>
  </sheetData>
  <mergeCells count="40">
    <mergeCell ref="B26:B34"/>
    <mergeCell ref="B35:B36"/>
    <mergeCell ref="B37:B39"/>
    <mergeCell ref="B40:B47"/>
    <mergeCell ref="AF4:AF5"/>
    <mergeCell ref="Y4:Y5"/>
    <mergeCell ref="N4:N5"/>
    <mergeCell ref="O4:O5"/>
    <mergeCell ref="P4:P5"/>
    <mergeCell ref="Q4:Q5"/>
    <mergeCell ref="R4:R5"/>
    <mergeCell ref="S4:S5"/>
    <mergeCell ref="H4:H5"/>
    <mergeCell ref="I4:I5"/>
    <mergeCell ref="J4:J5"/>
    <mergeCell ref="K4:K5"/>
    <mergeCell ref="AG4:AG5"/>
    <mergeCell ref="AH4:AH5"/>
    <mergeCell ref="AI4:AI5"/>
    <mergeCell ref="AJ4:AJ5"/>
    <mergeCell ref="B12:B25"/>
    <mergeCell ref="Z4:Z5"/>
    <mergeCell ref="AA4:AA5"/>
    <mergeCell ref="AB4:AB5"/>
    <mergeCell ref="AC4:AC5"/>
    <mergeCell ref="AD4:AD5"/>
    <mergeCell ref="AE4:AE5"/>
    <mergeCell ref="T4:T5"/>
    <mergeCell ref="U4:U5"/>
    <mergeCell ref="V4:V5"/>
    <mergeCell ref="W4:W5"/>
    <mergeCell ref="X4:X5"/>
    <mergeCell ref="L4:L5"/>
    <mergeCell ref="M4:M5"/>
    <mergeCell ref="B4:B5"/>
    <mergeCell ref="C4:C5"/>
    <mergeCell ref="D4:D5"/>
    <mergeCell ref="E4:E5"/>
    <mergeCell ref="F4:F5"/>
    <mergeCell ref="G4:G5"/>
  </mergeCells>
  <phoneticPr fontId="9"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DD99C-F90D-43F4-B525-273163C07F9C}">
  <dimension ref="A1:Y419"/>
  <sheetViews>
    <sheetView zoomScaleNormal="100" workbookViewId="0">
      <pane xSplit="2" ySplit="6" topLeftCell="D50" activePane="bottomRight" state="frozen"/>
      <selection activeCell="C36" sqref="B22:C54"/>
      <selection pane="topRight" activeCell="C36" sqref="B22:C54"/>
      <selection pane="bottomLeft" activeCell="C36" sqref="B22:C54"/>
      <selection pane="bottomRight" activeCell="C36" sqref="B22:C54"/>
    </sheetView>
  </sheetViews>
  <sheetFormatPr defaultColWidth="10.42578125" defaultRowHeight="12.75" outlineLevelRow="2"/>
  <cols>
    <col min="1" max="1" width="3.42578125" style="716" customWidth="1"/>
    <col min="2" max="2" width="30.7109375" style="716" bestFit="1" customWidth="1"/>
    <col min="3" max="3" width="62.5703125" style="740" customWidth="1"/>
    <col min="4" max="4" width="33.5703125" style="716" customWidth="1"/>
    <col min="5" max="25" width="18" style="716" customWidth="1"/>
    <col min="26" max="16384" width="10.42578125" style="716"/>
  </cols>
  <sheetData>
    <row r="1" spans="1:25" s="707" customFormat="1" ht="15">
      <c r="A1" s="706" t="s">
        <v>446</v>
      </c>
      <c r="C1" s="708"/>
      <c r="E1" s="1354"/>
      <c r="F1" s="1354"/>
      <c r="G1" s="1354"/>
      <c r="H1" s="1354"/>
      <c r="I1" s="1354"/>
      <c r="J1" s="1354"/>
      <c r="K1" s="1354"/>
      <c r="L1" s="1354"/>
      <c r="M1" s="1354"/>
      <c r="N1" s="1354"/>
      <c r="O1" s="1354"/>
      <c r="P1" s="1354"/>
      <c r="Q1" s="1354"/>
    </row>
    <row r="2" spans="1:25" s="707" customFormat="1" ht="37.5" customHeight="1">
      <c r="B2" s="709"/>
      <c r="C2" s="710"/>
      <c r="D2" s="711"/>
      <c r="E2" s="712" t="s">
        <v>447</v>
      </c>
      <c r="F2" s="712" t="s">
        <v>448</v>
      </c>
      <c r="G2" s="712" t="s">
        <v>449</v>
      </c>
      <c r="H2" s="712" t="s">
        <v>450</v>
      </c>
      <c r="I2" s="712" t="s">
        <v>451</v>
      </c>
      <c r="J2" s="712" t="s">
        <v>452</v>
      </c>
      <c r="K2" s="712" t="s">
        <v>453</v>
      </c>
      <c r="L2" s="712" t="s">
        <v>454</v>
      </c>
      <c r="M2" s="712" t="s">
        <v>455</v>
      </c>
      <c r="N2" s="712" t="s">
        <v>456</v>
      </c>
      <c r="O2" s="712" t="s">
        <v>457</v>
      </c>
      <c r="P2" s="712" t="s">
        <v>458</v>
      </c>
      <c r="Q2" s="712" t="s">
        <v>459</v>
      </c>
      <c r="T2" s="943" t="s">
        <v>447</v>
      </c>
      <c r="U2" s="943" t="s">
        <v>448</v>
      </c>
      <c r="V2" s="943" t="s">
        <v>449</v>
      </c>
      <c r="W2" s="943" t="s">
        <v>450</v>
      </c>
      <c r="X2" s="943" t="s">
        <v>451</v>
      </c>
      <c r="Y2" s="943" t="s">
        <v>452</v>
      </c>
    </row>
    <row r="3" spans="1:25" s="707" customFormat="1" ht="27.75" customHeight="1">
      <c r="B3" s="713" t="s">
        <v>460</v>
      </c>
      <c r="C3" s="714"/>
      <c r="D3" s="713"/>
      <c r="E3" s="715"/>
      <c r="F3" s="715"/>
      <c r="G3" s="715"/>
      <c r="H3" s="715"/>
      <c r="I3" s="715"/>
      <c r="J3" s="715"/>
      <c r="K3" s="715"/>
      <c r="L3" s="715"/>
      <c r="M3" s="715"/>
      <c r="N3" s="715"/>
      <c r="O3" s="715"/>
      <c r="P3" s="715"/>
      <c r="Q3" s="715"/>
      <c r="T3" s="944"/>
      <c r="U3" s="944"/>
      <c r="V3" s="944"/>
      <c r="W3" s="944"/>
      <c r="X3" s="944"/>
      <c r="Y3" s="944"/>
    </row>
    <row r="4" spans="1:25" s="707" customFormat="1" ht="15" outlineLevel="1">
      <c r="B4" s="709"/>
      <c r="C4" s="710"/>
      <c r="D4" s="711"/>
      <c r="E4" s="717"/>
      <c r="F4" s="717"/>
      <c r="G4" s="717"/>
      <c r="H4" s="717"/>
      <c r="I4" s="717"/>
      <c r="J4" s="717"/>
      <c r="K4" s="717"/>
      <c r="L4" s="717"/>
      <c r="N4" s="717"/>
      <c r="O4" s="717"/>
      <c r="P4" s="717"/>
      <c r="Q4" s="718" t="s">
        <v>461</v>
      </c>
      <c r="T4" s="945"/>
      <c r="U4" s="945"/>
      <c r="V4" s="945"/>
      <c r="W4" s="945"/>
      <c r="X4" s="945"/>
      <c r="Y4" s="945"/>
    </row>
    <row r="5" spans="1:25" ht="24" customHeight="1" outlineLevel="1">
      <c r="B5" s="719" t="s">
        <v>462</v>
      </c>
      <c r="C5" s="720" t="s">
        <v>463</v>
      </c>
      <c r="D5" s="721"/>
      <c r="E5" s="799" t="str">
        <f>+'BT 2HO'!C11</f>
        <v>Jinyoung Metal Factory_1</v>
      </c>
      <c r="F5" s="799" t="str">
        <f>+'BT 2HO'!C16</f>
        <v>Jinyoung Metal Factory_2</v>
      </c>
      <c r="G5" s="799" t="str">
        <f>+'BT 2HO'!C21</f>
        <v>Kairos</v>
      </c>
      <c r="H5" s="799" t="str">
        <f>+'BT 2HO'!C26</f>
        <v>Doori Industry</v>
      </c>
      <c r="I5" s="799" t="str">
        <f>+'BT 2HO'!C31</f>
        <v>Geumjeong Techno</v>
      </c>
      <c r="J5" s="799" t="str">
        <f>+'BT 2HO'!C41</f>
        <v>Joongang Special Paper</v>
      </c>
      <c r="K5" s="799" t="str">
        <f>+'BT 2HO'!C46</f>
        <v>Sambo Green Filter</v>
      </c>
      <c r="L5" s="799" t="str">
        <f>+'BT 2HO'!C51</f>
        <v>Fusei Menix 1 &amp; 2</v>
      </c>
      <c r="M5" s="799" t="str">
        <f>+'BT 2HO'!C56</f>
        <v>Shincheon Food</v>
      </c>
      <c r="N5" s="799" t="str">
        <f>+'BT 2HO'!C61</f>
        <v>Giga steel</v>
      </c>
      <c r="O5" s="799" t="str">
        <f>+'BT 2HO'!C66</f>
        <v>Mijin Precision</v>
      </c>
      <c r="P5" s="799" t="str">
        <f>+'BT 2HO'!C71</f>
        <v>Wolchool Metal</v>
      </c>
      <c r="Q5" s="799" t="str">
        <f>+'BT 2HO'!C76</f>
        <v>Unitech Korea</v>
      </c>
      <c r="T5" s="799">
        <f>+'BT 2HO'!R11</f>
        <v>0</v>
      </c>
      <c r="U5" s="799">
        <f>+'BT 2HO'!R16</f>
        <v>0</v>
      </c>
      <c r="V5" s="799">
        <f>+'BT 2HO'!R21</f>
        <v>0</v>
      </c>
      <c r="W5" s="799">
        <f>+'BT 2HO'!R26</f>
        <v>0</v>
      </c>
      <c r="X5" s="799">
        <f>+'BT 2HO'!R31</f>
        <v>0</v>
      </c>
      <c r="Y5" s="799">
        <f>+'BT 2HO'!R41</f>
        <v>0</v>
      </c>
    </row>
    <row r="6" spans="1:25" ht="24" customHeight="1" outlineLevel="1">
      <c r="B6" s="719" t="s">
        <v>464</v>
      </c>
      <c r="C6" s="720" t="s">
        <v>463</v>
      </c>
      <c r="D6" s="721"/>
      <c r="E6" s="799" t="str">
        <f>+E5</f>
        <v>Jinyoung Metal Factory_1</v>
      </c>
      <c r="F6" s="799" t="str">
        <f>+F5</f>
        <v>Jinyoung Metal Factory_2</v>
      </c>
      <c r="G6" s="799" t="str">
        <f t="shared" ref="G6:Q6" si="0">+G5</f>
        <v>Kairos</v>
      </c>
      <c r="H6" s="799" t="str">
        <f t="shared" si="0"/>
        <v>Doori Industry</v>
      </c>
      <c r="I6" s="799" t="str">
        <f t="shared" si="0"/>
        <v>Geumjeong Techno</v>
      </c>
      <c r="J6" s="799" t="str">
        <f t="shared" si="0"/>
        <v>Joongang Special Paper</v>
      </c>
      <c r="K6" s="799" t="str">
        <f t="shared" si="0"/>
        <v>Sambo Green Filter</v>
      </c>
      <c r="L6" s="799" t="str">
        <f t="shared" si="0"/>
        <v>Fusei Menix 1 &amp; 2</v>
      </c>
      <c r="M6" s="799" t="str">
        <f t="shared" si="0"/>
        <v>Shincheon Food</v>
      </c>
      <c r="N6" s="799" t="str">
        <f t="shared" si="0"/>
        <v>Giga steel</v>
      </c>
      <c r="O6" s="799" t="str">
        <f t="shared" si="0"/>
        <v>Mijin Precision</v>
      </c>
      <c r="P6" s="799" t="str">
        <f t="shared" si="0"/>
        <v>Wolchool Metal</v>
      </c>
      <c r="Q6" s="799" t="str">
        <f t="shared" si="0"/>
        <v>Unitech Korea</v>
      </c>
      <c r="T6" s="799">
        <f t="shared" ref="T6:Y6" si="1">+T5</f>
        <v>0</v>
      </c>
      <c r="U6" s="799">
        <f t="shared" si="1"/>
        <v>0</v>
      </c>
      <c r="V6" s="799">
        <f t="shared" si="1"/>
        <v>0</v>
      </c>
      <c r="W6" s="799">
        <f t="shared" si="1"/>
        <v>0</v>
      </c>
      <c r="X6" s="799">
        <f t="shared" si="1"/>
        <v>0</v>
      </c>
      <c r="Y6" s="799">
        <f t="shared" si="1"/>
        <v>0</v>
      </c>
    </row>
    <row r="7" spans="1:25" ht="14.25" outlineLevel="1">
      <c r="B7" s="719" t="s">
        <v>465</v>
      </c>
      <c r="C7" s="724" t="s">
        <v>466</v>
      </c>
      <c r="D7" s="725"/>
      <c r="E7" s="799" t="s">
        <v>467</v>
      </c>
      <c r="F7" s="799" t="s">
        <v>467</v>
      </c>
      <c r="G7" s="799" t="s">
        <v>467</v>
      </c>
      <c r="H7" s="799" t="s">
        <v>467</v>
      </c>
      <c r="I7" s="799" t="s">
        <v>467</v>
      </c>
      <c r="J7" s="799" t="s">
        <v>467</v>
      </c>
      <c r="K7" s="799" t="s">
        <v>467</v>
      </c>
      <c r="L7" s="799" t="s">
        <v>467</v>
      </c>
      <c r="M7" s="799" t="s">
        <v>467</v>
      </c>
      <c r="N7" s="799" t="s">
        <v>467</v>
      </c>
      <c r="O7" s="799" t="s">
        <v>467</v>
      </c>
      <c r="P7" s="799" t="s">
        <v>467</v>
      </c>
      <c r="Q7" s="799" t="s">
        <v>467</v>
      </c>
      <c r="T7" s="799" t="s">
        <v>467</v>
      </c>
      <c r="U7" s="799" t="s">
        <v>467</v>
      </c>
      <c r="V7" s="799" t="s">
        <v>467</v>
      </c>
      <c r="W7" s="799" t="s">
        <v>467</v>
      </c>
      <c r="X7" s="799" t="s">
        <v>467</v>
      </c>
      <c r="Y7" s="799" t="s">
        <v>467</v>
      </c>
    </row>
    <row r="8" spans="1:25" s="793" customFormat="1" ht="25.5" outlineLevel="2">
      <c r="B8" s="794" t="s">
        <v>468</v>
      </c>
      <c r="C8" s="795" t="s">
        <v>469</v>
      </c>
      <c r="D8" s="796"/>
      <c r="E8" s="800" t="s">
        <v>470</v>
      </c>
      <c r="F8" s="800" t="s">
        <v>470</v>
      </c>
      <c r="G8" s="800" t="s">
        <v>471</v>
      </c>
      <c r="H8" s="800" t="s">
        <v>472</v>
      </c>
      <c r="I8" s="800" t="s">
        <v>472</v>
      </c>
      <c r="J8" s="800" t="s">
        <v>472</v>
      </c>
      <c r="K8" s="800" t="s">
        <v>473</v>
      </c>
      <c r="L8" s="800" t="s">
        <v>472</v>
      </c>
      <c r="M8" s="800" t="s">
        <v>472</v>
      </c>
      <c r="N8" s="800" t="s">
        <v>474</v>
      </c>
      <c r="O8" s="800" t="s">
        <v>472</v>
      </c>
      <c r="P8" s="800" t="s">
        <v>472</v>
      </c>
      <c r="Q8" s="800" t="s">
        <v>470</v>
      </c>
      <c r="T8" s="800" t="s">
        <v>470</v>
      </c>
      <c r="U8" s="800" t="s">
        <v>470</v>
      </c>
      <c r="V8" s="800" t="s">
        <v>471</v>
      </c>
      <c r="W8" s="800" t="s">
        <v>472</v>
      </c>
      <c r="X8" s="800" t="s">
        <v>472</v>
      </c>
      <c r="Y8" s="800" t="s">
        <v>472</v>
      </c>
    </row>
    <row r="9" spans="1:25" ht="14.25" outlineLevel="2">
      <c r="B9" s="719" t="s">
        <v>475</v>
      </c>
      <c r="C9" s="724" t="s">
        <v>476</v>
      </c>
      <c r="D9" s="725"/>
      <c r="E9" s="801" t="s">
        <v>477</v>
      </c>
      <c r="F9" s="801" t="s">
        <v>477</v>
      </c>
      <c r="G9" s="801" t="s">
        <v>477</v>
      </c>
      <c r="H9" s="801" t="s">
        <v>477</v>
      </c>
      <c r="I9" s="801" t="s">
        <v>477</v>
      </c>
      <c r="J9" s="801" t="s">
        <v>477</v>
      </c>
      <c r="K9" s="801" t="s">
        <v>477</v>
      </c>
      <c r="L9" s="801" t="s">
        <v>477</v>
      </c>
      <c r="M9" s="801" t="s">
        <v>477</v>
      </c>
      <c r="N9" s="801" t="s">
        <v>477</v>
      </c>
      <c r="O9" s="801" t="s">
        <v>477</v>
      </c>
      <c r="P9" s="801" t="s">
        <v>477</v>
      </c>
      <c r="Q9" s="801" t="s">
        <v>477</v>
      </c>
      <c r="T9" s="801" t="s">
        <v>477</v>
      </c>
      <c r="U9" s="801" t="s">
        <v>477</v>
      </c>
      <c r="V9" s="801" t="s">
        <v>477</v>
      </c>
      <c r="W9" s="801" t="s">
        <v>477</v>
      </c>
      <c r="X9" s="801" t="s">
        <v>477</v>
      </c>
      <c r="Y9" s="801" t="s">
        <v>477</v>
      </c>
    </row>
    <row r="10" spans="1:25" s="793" customFormat="1" ht="14.25" outlineLevel="2">
      <c r="B10" s="794" t="s">
        <v>478</v>
      </c>
      <c r="C10" s="795" t="s">
        <v>476</v>
      </c>
      <c r="D10" s="797"/>
      <c r="E10" s="801" t="s">
        <v>479</v>
      </c>
      <c r="F10" s="801" t="s">
        <v>479</v>
      </c>
      <c r="G10" s="801" t="s">
        <v>479</v>
      </c>
      <c r="H10" s="801" t="s">
        <v>479</v>
      </c>
      <c r="I10" s="801" t="s">
        <v>479</v>
      </c>
      <c r="J10" s="801" t="s">
        <v>264</v>
      </c>
      <c r="K10" s="801" t="s">
        <v>479</v>
      </c>
      <c r="L10" s="801" t="s">
        <v>264</v>
      </c>
      <c r="M10" s="801" t="s">
        <v>479</v>
      </c>
      <c r="N10" s="801" t="s">
        <v>479</v>
      </c>
      <c r="O10" s="801" t="s">
        <v>480</v>
      </c>
      <c r="P10" s="801" t="s">
        <v>480</v>
      </c>
      <c r="Q10" s="801" t="s">
        <v>264</v>
      </c>
      <c r="T10" s="801" t="s">
        <v>479</v>
      </c>
      <c r="U10" s="801" t="s">
        <v>479</v>
      </c>
      <c r="V10" s="801" t="s">
        <v>479</v>
      </c>
      <c r="W10" s="801" t="s">
        <v>479</v>
      </c>
      <c r="X10" s="801" t="s">
        <v>479</v>
      </c>
      <c r="Y10" s="801" t="s">
        <v>264</v>
      </c>
    </row>
    <row r="11" spans="1:25" ht="29.25" customHeight="1" outlineLevel="1">
      <c r="B11" s="719" t="s">
        <v>481</v>
      </c>
      <c r="C11" s="1357" t="s">
        <v>482</v>
      </c>
      <c r="D11" s="1357"/>
      <c r="E11" s="799" t="s">
        <v>483</v>
      </c>
      <c r="F11" s="799" t="s">
        <v>483</v>
      </c>
      <c r="G11" s="799" t="s">
        <v>483</v>
      </c>
      <c r="H11" s="799" t="s">
        <v>483</v>
      </c>
      <c r="I11" s="799" t="s">
        <v>483</v>
      </c>
      <c r="J11" s="799" t="s">
        <v>483</v>
      </c>
      <c r="K11" s="799" t="s">
        <v>483</v>
      </c>
      <c r="L11" s="799" t="s">
        <v>483</v>
      </c>
      <c r="M11" s="799" t="s">
        <v>483</v>
      </c>
      <c r="N11" s="799" t="s">
        <v>483</v>
      </c>
      <c r="O11" s="799" t="s">
        <v>483</v>
      </c>
      <c r="P11" s="799" t="s">
        <v>483</v>
      </c>
      <c r="Q11" s="799" t="s">
        <v>483</v>
      </c>
      <c r="T11" s="799" t="s">
        <v>483</v>
      </c>
      <c r="U11" s="799" t="s">
        <v>483</v>
      </c>
      <c r="V11" s="799" t="s">
        <v>483</v>
      </c>
      <c r="W11" s="799" t="s">
        <v>483</v>
      </c>
      <c r="X11" s="799" t="s">
        <v>483</v>
      </c>
      <c r="Y11" s="799" t="s">
        <v>483</v>
      </c>
    </row>
    <row r="12" spans="1:25" ht="22.5" customHeight="1" outlineLevel="2">
      <c r="B12" s="719" t="s">
        <v>484</v>
      </c>
      <c r="C12" s="1357" t="s">
        <v>485</v>
      </c>
      <c r="D12" s="1357"/>
      <c r="E12" s="799" t="s">
        <v>486</v>
      </c>
      <c r="F12" s="799" t="s">
        <v>486</v>
      </c>
      <c r="G12" s="799" t="s">
        <v>486</v>
      </c>
      <c r="H12" s="799" t="s">
        <v>486</v>
      </c>
      <c r="I12" s="799" t="s">
        <v>486</v>
      </c>
      <c r="J12" s="799" t="s">
        <v>486</v>
      </c>
      <c r="K12" s="799" t="s">
        <v>486</v>
      </c>
      <c r="L12" s="799" t="s">
        <v>486</v>
      </c>
      <c r="M12" s="799" t="s">
        <v>486</v>
      </c>
      <c r="N12" s="799" t="s">
        <v>486</v>
      </c>
      <c r="O12" s="799" t="s">
        <v>486</v>
      </c>
      <c r="P12" s="799" t="s">
        <v>486</v>
      </c>
      <c r="Q12" s="799" t="s">
        <v>486</v>
      </c>
      <c r="T12" s="799" t="s">
        <v>486</v>
      </c>
      <c r="U12" s="799" t="s">
        <v>486</v>
      </c>
      <c r="V12" s="799" t="s">
        <v>486</v>
      </c>
      <c r="W12" s="799" t="s">
        <v>486</v>
      </c>
      <c r="X12" s="799" t="s">
        <v>486</v>
      </c>
      <c r="Y12" s="799" t="s">
        <v>486</v>
      </c>
    </row>
    <row r="13" spans="1:25" ht="14.25" outlineLevel="2">
      <c r="B13" s="719"/>
      <c r="C13" s="724"/>
      <c r="D13" s="725"/>
      <c r="E13" s="727"/>
      <c r="F13" s="727"/>
      <c r="G13" s="727"/>
      <c r="H13" s="727"/>
      <c r="I13" s="727"/>
      <c r="J13" s="727"/>
      <c r="K13" s="727"/>
      <c r="L13" s="727"/>
      <c r="M13" s="727"/>
      <c r="N13" s="727"/>
      <c r="O13" s="727"/>
      <c r="P13" s="727"/>
      <c r="Q13" s="727"/>
      <c r="T13" s="807"/>
      <c r="U13" s="807"/>
      <c r="V13" s="807"/>
      <c r="W13" s="807"/>
      <c r="X13" s="807"/>
      <c r="Y13" s="807"/>
    </row>
    <row r="14" spans="1:25" ht="14.25" outlineLevel="2">
      <c r="B14" s="719" t="s">
        <v>487</v>
      </c>
      <c r="C14" s="724" t="s">
        <v>488</v>
      </c>
      <c r="D14" s="725"/>
      <c r="E14" s="799" t="s">
        <v>35</v>
      </c>
      <c r="F14" s="799" t="s">
        <v>489</v>
      </c>
      <c r="G14" s="799" t="s">
        <v>489</v>
      </c>
      <c r="H14" s="799" t="s">
        <v>489</v>
      </c>
      <c r="I14" s="799" t="s">
        <v>489</v>
      </c>
      <c r="J14" s="799" t="s">
        <v>489</v>
      </c>
      <c r="K14" s="799" t="s">
        <v>489</v>
      </c>
      <c r="L14" s="799" t="s">
        <v>489</v>
      </c>
      <c r="M14" s="799" t="s">
        <v>489</v>
      </c>
      <c r="N14" s="799" t="s">
        <v>489</v>
      </c>
      <c r="O14" s="799" t="s">
        <v>489</v>
      </c>
      <c r="P14" s="799" t="s">
        <v>489</v>
      </c>
      <c r="Q14" s="799" t="s">
        <v>489</v>
      </c>
      <c r="T14" s="799" t="s">
        <v>35</v>
      </c>
      <c r="U14" s="799" t="s">
        <v>489</v>
      </c>
      <c r="V14" s="799" t="s">
        <v>489</v>
      </c>
      <c r="W14" s="799" t="s">
        <v>489</v>
      </c>
      <c r="X14" s="799" t="s">
        <v>489</v>
      </c>
      <c r="Y14" s="799" t="s">
        <v>489</v>
      </c>
    </row>
    <row r="15" spans="1:25" s="707" customFormat="1" ht="15" outlineLevel="1">
      <c r="C15" s="708"/>
      <c r="E15" s="783"/>
      <c r="F15" s="783"/>
      <c r="G15" s="783"/>
      <c r="H15" s="783"/>
      <c r="I15" s="783"/>
      <c r="J15" s="783"/>
      <c r="K15" s="783"/>
      <c r="L15" s="783"/>
      <c r="M15" s="783"/>
      <c r="N15" s="783"/>
      <c r="O15" s="783"/>
      <c r="P15" s="783"/>
      <c r="Q15" s="783"/>
      <c r="T15" s="783"/>
      <c r="U15" s="783"/>
      <c r="V15" s="783"/>
      <c r="W15" s="783"/>
      <c r="X15" s="783"/>
      <c r="Y15" s="783"/>
    </row>
    <row r="16" spans="1:25" s="793" customFormat="1" ht="14.25" outlineLevel="2">
      <c r="B16" s="794" t="s">
        <v>490</v>
      </c>
      <c r="C16" s="798" t="s">
        <v>491</v>
      </c>
      <c r="D16" s="797"/>
      <c r="E16" s="799">
        <v>45962</v>
      </c>
      <c r="F16" s="799">
        <v>45962</v>
      </c>
      <c r="G16" s="799">
        <v>45962</v>
      </c>
      <c r="H16" s="799">
        <v>45962</v>
      </c>
      <c r="I16" s="799">
        <v>45962</v>
      </c>
      <c r="J16" s="799">
        <v>46022</v>
      </c>
      <c r="K16" s="799">
        <v>45962</v>
      </c>
      <c r="L16" s="799">
        <v>46022</v>
      </c>
      <c r="M16" s="799">
        <v>45962</v>
      </c>
      <c r="N16" s="799">
        <v>45962</v>
      </c>
      <c r="O16" s="799">
        <v>46022</v>
      </c>
      <c r="P16" s="799">
        <v>46022</v>
      </c>
      <c r="Q16" s="799">
        <v>46022</v>
      </c>
      <c r="T16" s="799">
        <v>45962</v>
      </c>
      <c r="U16" s="799">
        <v>45962</v>
      </c>
      <c r="V16" s="799">
        <v>45962</v>
      </c>
      <c r="W16" s="799">
        <v>45962</v>
      </c>
      <c r="X16" s="799">
        <v>45962</v>
      </c>
      <c r="Y16" s="799">
        <v>46022</v>
      </c>
    </row>
    <row r="17" spans="2:25" ht="14.25" outlineLevel="2">
      <c r="B17" s="719" t="s">
        <v>492</v>
      </c>
      <c r="C17" s="720" t="s">
        <v>493</v>
      </c>
      <c r="D17" s="721"/>
      <c r="E17" s="802">
        <v>5</v>
      </c>
      <c r="F17" s="802">
        <v>5</v>
      </c>
      <c r="G17" s="802">
        <v>5</v>
      </c>
      <c r="H17" s="802">
        <v>5</v>
      </c>
      <c r="I17" s="802">
        <v>5</v>
      </c>
      <c r="J17" s="802">
        <v>5</v>
      </c>
      <c r="K17" s="802">
        <v>5</v>
      </c>
      <c r="L17" s="802">
        <v>5</v>
      </c>
      <c r="M17" s="802">
        <v>5</v>
      </c>
      <c r="N17" s="802">
        <v>5</v>
      </c>
      <c r="O17" s="802">
        <v>5</v>
      </c>
      <c r="P17" s="802">
        <v>5</v>
      </c>
      <c r="Q17" s="802">
        <v>5</v>
      </c>
      <c r="T17" s="802">
        <v>5</v>
      </c>
      <c r="U17" s="802">
        <v>5</v>
      </c>
      <c r="V17" s="802">
        <v>5</v>
      </c>
      <c r="W17" s="802">
        <v>5</v>
      </c>
      <c r="X17" s="802">
        <v>5</v>
      </c>
      <c r="Y17" s="802">
        <v>5</v>
      </c>
    </row>
    <row r="18" spans="2:25" ht="14.25" outlineLevel="2">
      <c r="B18" s="719" t="s">
        <v>494</v>
      </c>
      <c r="C18" s="720"/>
      <c r="D18" s="721"/>
      <c r="E18" s="799">
        <v>46053</v>
      </c>
      <c r="F18" s="799">
        <v>46022</v>
      </c>
      <c r="G18" s="799">
        <v>46022</v>
      </c>
      <c r="H18" s="799">
        <v>46022</v>
      </c>
      <c r="I18" s="799">
        <v>46022</v>
      </c>
      <c r="J18" s="799">
        <v>46053</v>
      </c>
      <c r="K18" s="799">
        <v>46022</v>
      </c>
      <c r="L18" s="799">
        <v>46053</v>
      </c>
      <c r="M18" s="799">
        <v>46022</v>
      </c>
      <c r="N18" s="799">
        <v>46022</v>
      </c>
      <c r="O18" s="799">
        <v>46053</v>
      </c>
      <c r="P18" s="799">
        <v>46053</v>
      </c>
      <c r="Q18" s="799">
        <v>46053</v>
      </c>
      <c r="T18" s="799">
        <v>46053</v>
      </c>
      <c r="U18" s="799">
        <v>46022</v>
      </c>
      <c r="V18" s="799">
        <v>46022</v>
      </c>
      <c r="W18" s="799">
        <v>46022</v>
      </c>
      <c r="X18" s="799">
        <v>46022</v>
      </c>
      <c r="Y18" s="799">
        <v>46053</v>
      </c>
    </row>
    <row r="19" spans="2:25" s="793" customFormat="1" ht="14.25" outlineLevel="2">
      <c r="B19" s="794" t="s">
        <v>495</v>
      </c>
      <c r="C19" s="798" t="s">
        <v>496</v>
      </c>
      <c r="D19" s="797"/>
      <c r="E19" s="799">
        <v>46203</v>
      </c>
      <c r="F19" s="799">
        <v>46173</v>
      </c>
      <c r="G19" s="799">
        <v>46173</v>
      </c>
      <c r="H19" s="799">
        <v>46173</v>
      </c>
      <c r="I19" s="799">
        <v>46173</v>
      </c>
      <c r="J19" s="799">
        <v>46203</v>
      </c>
      <c r="K19" s="799">
        <v>46173</v>
      </c>
      <c r="L19" s="799">
        <v>46203</v>
      </c>
      <c r="M19" s="799">
        <v>46173</v>
      </c>
      <c r="N19" s="799">
        <v>46173</v>
      </c>
      <c r="O19" s="799">
        <v>46203</v>
      </c>
      <c r="P19" s="799">
        <v>46203</v>
      </c>
      <c r="Q19" s="799">
        <v>46203</v>
      </c>
      <c r="T19" s="799">
        <v>46203</v>
      </c>
      <c r="U19" s="799">
        <v>46173</v>
      </c>
      <c r="V19" s="799">
        <v>46173</v>
      </c>
      <c r="W19" s="799">
        <v>46173</v>
      </c>
      <c r="X19" s="799">
        <v>46173</v>
      </c>
      <c r="Y19" s="799">
        <v>46203</v>
      </c>
    </row>
    <row r="20" spans="2:25" ht="14.25" outlineLevel="2">
      <c r="B20" s="719" t="s">
        <v>497</v>
      </c>
      <c r="C20" s="720" t="s">
        <v>304</v>
      </c>
      <c r="D20" s="721" t="s">
        <v>498</v>
      </c>
      <c r="E20" s="802">
        <v>20</v>
      </c>
      <c r="F20" s="802">
        <v>20</v>
      </c>
      <c r="G20" s="802">
        <v>20</v>
      </c>
      <c r="H20" s="802">
        <v>20</v>
      </c>
      <c r="I20" s="802">
        <v>20</v>
      </c>
      <c r="J20" s="802">
        <v>20</v>
      </c>
      <c r="K20" s="802">
        <v>20</v>
      </c>
      <c r="L20" s="802">
        <v>20</v>
      </c>
      <c r="M20" s="802">
        <v>20</v>
      </c>
      <c r="N20" s="802">
        <v>20</v>
      </c>
      <c r="O20" s="802">
        <v>20</v>
      </c>
      <c r="P20" s="802">
        <v>20</v>
      </c>
      <c r="Q20" s="802">
        <v>20</v>
      </c>
      <c r="T20" s="802">
        <v>20</v>
      </c>
      <c r="U20" s="802">
        <v>20</v>
      </c>
      <c r="V20" s="802">
        <v>20</v>
      </c>
      <c r="W20" s="802">
        <v>20</v>
      </c>
      <c r="X20" s="802">
        <v>20</v>
      </c>
      <c r="Y20" s="802">
        <v>20</v>
      </c>
    </row>
    <row r="21" spans="2:25" ht="14.25" outlineLevel="2">
      <c r="B21" s="719"/>
      <c r="C21" s="724"/>
      <c r="D21" s="725"/>
      <c r="E21" s="807"/>
      <c r="F21" s="807"/>
      <c r="G21" s="807"/>
      <c r="H21" s="807"/>
      <c r="I21" s="807"/>
      <c r="J21" s="807"/>
      <c r="K21" s="807"/>
      <c r="L21" s="807"/>
      <c r="M21" s="807"/>
      <c r="N21" s="807"/>
      <c r="O21" s="807"/>
      <c r="P21" s="807"/>
      <c r="Q21" s="807"/>
      <c r="T21" s="807"/>
      <c r="U21" s="807"/>
      <c r="V21" s="807"/>
      <c r="W21" s="807"/>
      <c r="X21" s="807"/>
      <c r="Y21" s="807"/>
    </row>
    <row r="22" spans="2:25" ht="14.25" outlineLevel="1">
      <c r="B22" s="719" t="s">
        <v>499</v>
      </c>
      <c r="C22" s="720" t="s">
        <v>500</v>
      </c>
      <c r="D22" s="721"/>
      <c r="E22" s="803" t="s">
        <v>501</v>
      </c>
      <c r="F22" s="803" t="s">
        <v>501</v>
      </c>
      <c r="G22" s="803" t="s">
        <v>501</v>
      </c>
      <c r="H22" s="803" t="s">
        <v>501</v>
      </c>
      <c r="I22" s="803" t="s">
        <v>501</v>
      </c>
      <c r="J22" s="803" t="s">
        <v>501</v>
      </c>
      <c r="K22" s="803" t="s">
        <v>501</v>
      </c>
      <c r="L22" s="803" t="s">
        <v>501</v>
      </c>
      <c r="M22" s="803" t="s">
        <v>501</v>
      </c>
      <c r="N22" s="803" t="s">
        <v>501</v>
      </c>
      <c r="O22" s="803" t="s">
        <v>501</v>
      </c>
      <c r="P22" s="803" t="s">
        <v>501</v>
      </c>
      <c r="Q22" s="803" t="s">
        <v>501</v>
      </c>
      <c r="T22" s="803" t="s">
        <v>501</v>
      </c>
      <c r="U22" s="803" t="s">
        <v>501</v>
      </c>
      <c r="V22" s="803" t="s">
        <v>501</v>
      </c>
      <c r="W22" s="803" t="s">
        <v>501</v>
      </c>
      <c r="X22" s="803" t="s">
        <v>501</v>
      </c>
      <c r="Y22" s="803" t="s">
        <v>501</v>
      </c>
    </row>
    <row r="23" spans="2:25" ht="14.25" outlineLevel="1">
      <c r="B23" s="719" t="s">
        <v>502</v>
      </c>
      <c r="C23" s="720" t="s">
        <v>500</v>
      </c>
      <c r="D23" s="721"/>
      <c r="E23" s="803" t="s">
        <v>501</v>
      </c>
      <c r="F23" s="803" t="s">
        <v>501</v>
      </c>
      <c r="G23" s="803" t="s">
        <v>501</v>
      </c>
      <c r="H23" s="803" t="s">
        <v>501</v>
      </c>
      <c r="I23" s="803" t="s">
        <v>501</v>
      </c>
      <c r="J23" s="803" t="s">
        <v>501</v>
      </c>
      <c r="K23" s="803" t="s">
        <v>501</v>
      </c>
      <c r="L23" s="803" t="s">
        <v>501</v>
      </c>
      <c r="M23" s="803" t="s">
        <v>501</v>
      </c>
      <c r="N23" s="803" t="s">
        <v>501</v>
      </c>
      <c r="O23" s="803" t="s">
        <v>501</v>
      </c>
      <c r="P23" s="803" t="s">
        <v>501</v>
      </c>
      <c r="Q23" s="803" t="s">
        <v>501</v>
      </c>
      <c r="T23" s="803" t="s">
        <v>501</v>
      </c>
      <c r="U23" s="803" t="s">
        <v>501</v>
      </c>
      <c r="V23" s="803" t="s">
        <v>501</v>
      </c>
      <c r="W23" s="803" t="s">
        <v>501</v>
      </c>
      <c r="X23" s="803" t="s">
        <v>501</v>
      </c>
      <c r="Y23" s="803" t="s">
        <v>501</v>
      </c>
    </row>
    <row r="24" spans="2:25" ht="14.25" outlineLevel="1">
      <c r="B24" s="719" t="s">
        <v>503</v>
      </c>
      <c r="C24" s="720" t="s">
        <v>504</v>
      </c>
      <c r="D24" s="721"/>
      <c r="E24" s="804">
        <f>+'CAPEX_Input_3,7HO(수정용)'!E40</f>
        <v>0.81720999999999999</v>
      </c>
      <c r="F24" s="804">
        <f>+'CAPEX_Input_3,7HO(수정용)'!E33</f>
        <v>0.24068999999999999</v>
      </c>
      <c r="G24" s="804">
        <f>+'CAPEX_Input_3,7HO(수정용)'!E34</f>
        <v>0.38624000000000003</v>
      </c>
      <c r="H24" s="804">
        <f>+'CAPEX_Input_3,7HO(수정용)'!E35</f>
        <v>0.21</v>
      </c>
      <c r="I24" s="804">
        <f>+'CAPEX_Input_3,7HO(수정용)'!E37</f>
        <v>0.122</v>
      </c>
      <c r="J24" s="804">
        <f>+'CAPEX_Input_3,7HO(수정용)'!E41</f>
        <v>0.438</v>
      </c>
      <c r="K24" s="804">
        <f>+'CAPEX_Input_3,7HO(수정용)'!E36</f>
        <v>0.17100000000000001</v>
      </c>
      <c r="L24" s="804">
        <f>+'CAPEX_Input_3,7HO(수정용)'!E42</f>
        <v>0.52700000000000002</v>
      </c>
      <c r="M24" s="804">
        <f>+'CAPEX_Input_3,7HO(수정용)'!E38</f>
        <v>0.23400000000000001</v>
      </c>
      <c r="N24" s="804">
        <f>+'CAPEX_Input_3,7HO(수정용)'!E39</f>
        <v>0.5</v>
      </c>
      <c r="O24" s="804">
        <f>+'CAPEX_Input_3,7HO(수정용)'!E43</f>
        <v>0.127</v>
      </c>
      <c r="P24" s="804">
        <f>+'CAPEX_Input_3,7HO(수정용)'!E45</f>
        <v>0.161</v>
      </c>
      <c r="Q24" s="804">
        <f>+'CAPEX_Input_3,7HO(수정용)'!E44</f>
        <v>0.26900000000000002</v>
      </c>
      <c r="R24" s="765" t="b">
        <f>+SUM(E24:Q24)='CAPEX_Input_3,7HO(수정용)'!E49</f>
        <v>1</v>
      </c>
      <c r="T24" s="804">
        <f>+'CAPEX_Input_3,7HO(수정용)'!T40</f>
        <v>8.4744677000000004E-2</v>
      </c>
      <c r="U24" s="804">
        <f>+'CAPEX_Input_3,7HO(수정용)'!T33</f>
        <v>2.4285621E-2</v>
      </c>
      <c r="V24" s="804">
        <f>+'CAPEX_Input_3,7HO(수정용)'!T34</f>
        <v>3.6847296000000002E-2</v>
      </c>
      <c r="W24" s="804">
        <f>+'CAPEX_Input_3,7HO(수정용)'!T35</f>
        <v>1.9635E-2</v>
      </c>
      <c r="X24" s="804">
        <f>+'CAPEX_Input_3,7HO(수정용)'!T37</f>
        <v>1.1211799999999999E-2</v>
      </c>
      <c r="Y24" s="804">
        <f>+'CAPEX_Input_3,7HO(수정용)'!T41</f>
        <v>4.2398399999999996E-2</v>
      </c>
    </row>
    <row r="25" spans="2:25" ht="14.25" outlineLevel="1">
      <c r="B25" s="719" t="s">
        <v>505</v>
      </c>
      <c r="C25" s="720" t="s">
        <v>506</v>
      </c>
      <c r="D25" s="721"/>
      <c r="E25" s="805"/>
      <c r="F25" s="805"/>
      <c r="G25" s="805"/>
      <c r="H25" s="805"/>
      <c r="I25" s="805"/>
      <c r="J25" s="805"/>
      <c r="K25" s="805"/>
      <c r="L25" s="805"/>
      <c r="M25" s="805"/>
      <c r="N25" s="805"/>
      <c r="O25" s="805"/>
      <c r="P25" s="805"/>
      <c r="Q25" s="805"/>
      <c r="T25" s="805"/>
      <c r="U25" s="805"/>
      <c r="V25" s="805"/>
      <c r="W25" s="805"/>
      <c r="X25" s="805"/>
      <c r="Y25" s="805"/>
    </row>
    <row r="26" spans="2:25" ht="14.25" outlineLevel="1">
      <c r="B26" s="719" t="s">
        <v>507</v>
      </c>
      <c r="C26" s="720" t="s">
        <v>508</v>
      </c>
      <c r="D26" s="721"/>
      <c r="E26" s="806" t="e">
        <f>+E24/E25</f>
        <v>#DIV/0!</v>
      </c>
      <c r="F26" s="806" t="e">
        <f t="shared" ref="F26:M26" si="2">+F24/F25</f>
        <v>#DIV/0!</v>
      </c>
      <c r="G26" s="806" t="e">
        <f t="shared" si="2"/>
        <v>#DIV/0!</v>
      </c>
      <c r="H26" s="806" t="e">
        <f t="shared" si="2"/>
        <v>#DIV/0!</v>
      </c>
      <c r="I26" s="806" t="e">
        <f t="shared" si="2"/>
        <v>#DIV/0!</v>
      </c>
      <c r="J26" s="806" t="e">
        <f t="shared" si="2"/>
        <v>#DIV/0!</v>
      </c>
      <c r="K26" s="806" t="e">
        <f t="shared" si="2"/>
        <v>#DIV/0!</v>
      </c>
      <c r="L26" s="806" t="e">
        <f t="shared" si="2"/>
        <v>#DIV/0!</v>
      </c>
      <c r="M26" s="806" t="e">
        <f t="shared" si="2"/>
        <v>#DIV/0!</v>
      </c>
      <c r="N26" s="806" t="e">
        <f>+N24/N25</f>
        <v>#DIV/0!</v>
      </c>
      <c r="O26" s="806" t="e">
        <f>+O24/O25</f>
        <v>#DIV/0!</v>
      </c>
      <c r="P26" s="806" t="e">
        <f>+P24/P25</f>
        <v>#DIV/0!</v>
      </c>
      <c r="Q26" s="806" t="e">
        <f>+Q24/Q25</f>
        <v>#DIV/0!</v>
      </c>
      <c r="T26" s="806" t="e">
        <f t="shared" ref="T26:Y26" si="3">+T24/T25</f>
        <v>#DIV/0!</v>
      </c>
      <c r="U26" s="806" t="e">
        <f t="shared" si="3"/>
        <v>#DIV/0!</v>
      </c>
      <c r="V26" s="806" t="e">
        <f t="shared" si="3"/>
        <v>#DIV/0!</v>
      </c>
      <c r="W26" s="806" t="e">
        <f t="shared" si="3"/>
        <v>#DIV/0!</v>
      </c>
      <c r="X26" s="806" t="e">
        <f t="shared" si="3"/>
        <v>#DIV/0!</v>
      </c>
      <c r="Y26" s="806" t="e">
        <f t="shared" si="3"/>
        <v>#DIV/0!</v>
      </c>
    </row>
    <row r="27" spans="2:25" s="707" customFormat="1" ht="15">
      <c r="B27" s="709"/>
      <c r="C27" s="710"/>
      <c r="D27" s="711"/>
      <c r="E27" s="717"/>
      <c r="F27" s="717"/>
      <c r="G27" s="717"/>
      <c r="H27" s="717"/>
      <c r="I27" s="717"/>
      <c r="J27" s="717"/>
      <c r="K27" s="717"/>
      <c r="L27" s="717"/>
      <c r="M27" s="717"/>
      <c r="N27" s="717"/>
      <c r="O27" s="717"/>
      <c r="P27" s="717"/>
      <c r="Q27" s="778"/>
      <c r="T27" s="945"/>
      <c r="U27" s="945"/>
      <c r="V27" s="945"/>
      <c r="W27" s="945"/>
      <c r="X27" s="945"/>
      <c r="Y27" s="945"/>
    </row>
    <row r="28" spans="2:25" s="707" customFormat="1" ht="27.75" customHeight="1">
      <c r="B28" s="713" t="s">
        <v>509</v>
      </c>
      <c r="C28" s="714"/>
      <c r="D28" s="713"/>
      <c r="E28" s="715"/>
      <c r="F28" s="715"/>
      <c r="G28" s="715"/>
      <c r="H28" s="715"/>
      <c r="I28" s="715"/>
      <c r="J28" s="715"/>
      <c r="K28" s="715"/>
      <c r="L28" s="715"/>
      <c r="M28" s="715"/>
      <c r="N28" s="715"/>
      <c r="O28" s="715"/>
      <c r="P28" s="715"/>
      <c r="Q28" s="715"/>
      <c r="T28" s="944"/>
      <c r="U28" s="944"/>
      <c r="V28" s="944"/>
      <c r="W28" s="944"/>
      <c r="X28" s="944"/>
      <c r="Y28" s="944"/>
    </row>
    <row r="29" spans="2:25" s="707" customFormat="1" ht="15" outlineLevel="1">
      <c r="B29" s="709"/>
      <c r="C29" s="710"/>
      <c r="D29" s="711"/>
      <c r="E29" s="729"/>
      <c r="F29" s="729"/>
      <c r="G29" s="729"/>
      <c r="H29" s="729"/>
      <c r="I29" s="729"/>
      <c r="J29" s="729"/>
      <c r="K29" s="729"/>
      <c r="L29" s="729"/>
      <c r="M29" s="729"/>
      <c r="N29" s="729"/>
      <c r="O29" s="729"/>
      <c r="P29" s="729"/>
      <c r="Q29" s="729"/>
      <c r="T29" s="946"/>
      <c r="U29" s="946"/>
      <c r="V29" s="946"/>
      <c r="W29" s="946"/>
      <c r="X29" s="946"/>
      <c r="Y29" s="946"/>
    </row>
    <row r="30" spans="2:25" ht="14.25" outlineLevel="1">
      <c r="B30" s="730" t="s">
        <v>510</v>
      </c>
      <c r="C30" s="731"/>
      <c r="D30" s="732"/>
      <c r="E30" s="733"/>
      <c r="F30" s="733"/>
      <c r="G30" s="733"/>
      <c r="H30" s="733"/>
      <c r="I30" s="733"/>
      <c r="J30" s="733"/>
      <c r="K30" s="733"/>
      <c r="L30" s="733"/>
      <c r="M30" s="733"/>
      <c r="N30" s="733"/>
      <c r="O30" s="733"/>
      <c r="P30" s="733"/>
      <c r="Q30" s="733"/>
      <c r="T30" s="947"/>
      <c r="U30" s="947"/>
      <c r="V30" s="947"/>
      <c r="W30" s="947"/>
      <c r="X30" s="947"/>
      <c r="Y30" s="947"/>
    </row>
    <row r="31" spans="2:25" outlineLevel="1">
      <c r="B31" s="734" t="s">
        <v>511</v>
      </c>
      <c r="C31" s="720" t="s">
        <v>309</v>
      </c>
      <c r="D31" s="721"/>
      <c r="E31" s="808"/>
      <c r="F31" s="808"/>
      <c r="G31" s="808"/>
      <c r="H31" s="808"/>
      <c r="I31" s="808"/>
      <c r="J31" s="808"/>
      <c r="K31" s="808"/>
      <c r="L31" s="808"/>
      <c r="M31" s="808"/>
      <c r="N31" s="808"/>
      <c r="O31" s="808"/>
      <c r="P31" s="808"/>
      <c r="Q31" s="808"/>
      <c r="T31" s="808"/>
      <c r="U31" s="808"/>
      <c r="V31" s="808"/>
      <c r="W31" s="808"/>
      <c r="X31" s="808"/>
      <c r="Y31" s="808"/>
    </row>
    <row r="32" spans="2:25" outlineLevel="1">
      <c r="B32" s="734" t="s">
        <v>512</v>
      </c>
      <c r="C32" s="720" t="s">
        <v>309</v>
      </c>
      <c r="D32" s="721"/>
      <c r="E32" s="803"/>
      <c r="F32" s="803"/>
      <c r="G32" s="803"/>
      <c r="H32" s="803"/>
      <c r="I32" s="803"/>
      <c r="J32" s="803"/>
      <c r="K32" s="803"/>
      <c r="L32" s="803"/>
      <c r="M32" s="803"/>
      <c r="N32" s="803"/>
      <c r="O32" s="803"/>
      <c r="P32" s="803"/>
      <c r="Q32" s="803"/>
      <c r="T32" s="803"/>
      <c r="U32" s="803"/>
      <c r="V32" s="803"/>
      <c r="W32" s="803"/>
      <c r="X32" s="803"/>
      <c r="Y32" s="803"/>
    </row>
    <row r="33" spans="2:25" outlineLevel="1">
      <c r="B33" s="734" t="s">
        <v>513</v>
      </c>
      <c r="C33" s="720" t="s">
        <v>309</v>
      </c>
      <c r="D33" s="721"/>
      <c r="E33" s="803"/>
      <c r="F33" s="803"/>
      <c r="G33" s="803"/>
      <c r="H33" s="803"/>
      <c r="I33" s="803"/>
      <c r="J33" s="803"/>
      <c r="K33" s="803"/>
      <c r="L33" s="803"/>
      <c r="M33" s="803"/>
      <c r="N33" s="803"/>
      <c r="O33" s="803"/>
      <c r="P33" s="803"/>
      <c r="Q33" s="803"/>
      <c r="T33" s="803"/>
      <c r="U33" s="803"/>
      <c r="V33" s="803"/>
      <c r="W33" s="803"/>
      <c r="X33" s="803"/>
      <c r="Y33" s="803"/>
    </row>
    <row r="34" spans="2:25" outlineLevel="1">
      <c r="B34" s="735"/>
      <c r="C34" s="724"/>
      <c r="D34" s="725"/>
      <c r="E34" s="727"/>
      <c r="F34" s="727"/>
      <c r="G34" s="727"/>
      <c r="H34" s="727"/>
      <c r="I34" s="727"/>
      <c r="J34" s="727"/>
      <c r="K34" s="727"/>
      <c r="L34" s="727"/>
      <c r="M34" s="727"/>
      <c r="N34" s="727"/>
      <c r="O34" s="727"/>
      <c r="P34" s="727"/>
      <c r="Q34" s="727"/>
      <c r="T34" s="807"/>
      <c r="U34" s="807"/>
      <c r="V34" s="807"/>
      <c r="W34" s="807"/>
      <c r="X34" s="807"/>
      <c r="Y34" s="807"/>
    </row>
    <row r="35" spans="2:25" ht="14.25" outlineLevel="1">
      <c r="B35" s="730" t="s">
        <v>514</v>
      </c>
      <c r="C35" s="731"/>
      <c r="D35" s="732"/>
      <c r="E35" s="733"/>
      <c r="F35" s="733"/>
      <c r="G35" s="733"/>
      <c r="H35" s="733"/>
      <c r="I35" s="733"/>
      <c r="J35" s="733"/>
      <c r="K35" s="733"/>
      <c r="L35" s="733"/>
      <c r="M35" s="733"/>
      <c r="N35" s="733"/>
      <c r="O35" s="733"/>
      <c r="P35" s="733"/>
      <c r="Q35" s="733"/>
      <c r="T35" s="947"/>
      <c r="U35" s="947"/>
      <c r="V35" s="947"/>
      <c r="W35" s="947"/>
      <c r="X35" s="947"/>
      <c r="Y35" s="947"/>
    </row>
    <row r="36" spans="2:25" outlineLevel="1">
      <c r="B36" s="735" t="s">
        <v>511</v>
      </c>
      <c r="C36" s="720" t="s">
        <v>515</v>
      </c>
      <c r="D36" s="721"/>
      <c r="E36" s="809">
        <f>+'CAPEX_Input_3,7HO(수정용)'!G40/365</f>
        <v>3.9095890410958902</v>
      </c>
      <c r="F36" s="809">
        <f>+'CAPEX_Input_3,7HO(수정용)'!G33/365</f>
        <v>3.8438356164383563</v>
      </c>
      <c r="G36" s="809">
        <f>+'CAPEX_Input_3,7HO(수정용)'!G34/365</f>
        <v>3.7013698630136984</v>
      </c>
      <c r="H36" s="809">
        <f>+'CAPEX_Input_3,7HO(수정용)'!G35/365</f>
        <v>3.8328767123287673</v>
      </c>
      <c r="I36" s="809">
        <f>+'CAPEX_Input_3,7HO(수정용)'!G37/365</f>
        <v>3.7890410958904108</v>
      </c>
      <c r="J36" s="809">
        <f>+'CAPEX_Input_3,7HO(수정용)'!G41/365</f>
        <v>3.9178082191780823</v>
      </c>
      <c r="K36" s="809">
        <f>+'CAPEX_Input_3,7HO(수정용)'!G36/365</f>
        <v>3.882191780821918</v>
      </c>
      <c r="L36" s="809">
        <f>+'CAPEX_Input_3,7HO(수정용)'!G42/365</f>
        <v>3.8301369863013699</v>
      </c>
      <c r="M36" s="809">
        <f>+'CAPEX_Input_3,7HO(수정용)'!G38/365</f>
        <v>3.8410958904109589</v>
      </c>
      <c r="N36" s="809">
        <f>+'CAPEX_Input_3,7HO(수정용)'!G39/365</f>
        <v>3.8356164383561642</v>
      </c>
      <c r="O36" s="809">
        <f>+'CAPEX_Input_3,7HO(수정용)'!G43/365</f>
        <v>3.7808219178082192</v>
      </c>
      <c r="P36" s="809">
        <f>+'CAPEX_Input_3,7HO(수정용)'!G45/365</f>
        <v>3.9369863013698629</v>
      </c>
      <c r="Q36" s="809">
        <f>+'CAPEX_Input_3,7HO(수정용)'!G44/365</f>
        <v>3.8630136986301369</v>
      </c>
      <c r="T36" s="809">
        <f>+'CAPEX_Input_3,7HO(수정용)'!V40/365</f>
        <v>0</v>
      </c>
      <c r="U36" s="809">
        <f>+'CAPEX_Input_3,7HO(수정용)'!V33/365</f>
        <v>0</v>
      </c>
      <c r="V36" s="809">
        <f>+'CAPEX_Input_3,7HO(수정용)'!V34/365</f>
        <v>0</v>
      </c>
      <c r="W36" s="809">
        <f>+'CAPEX_Input_3,7HO(수정용)'!V35/365</f>
        <v>0</v>
      </c>
      <c r="X36" s="809">
        <f>+'CAPEX_Input_3,7HO(수정용)'!V37/365</f>
        <v>0</v>
      </c>
      <c r="Y36" s="809">
        <f>+'CAPEX_Input_3,7HO(수정용)'!V41/365</f>
        <v>0</v>
      </c>
    </row>
    <row r="37" spans="2:25" outlineLevel="1">
      <c r="B37" s="735" t="s">
        <v>512</v>
      </c>
      <c r="C37" s="720" t="s">
        <v>515</v>
      </c>
      <c r="D37" s="721"/>
      <c r="E37" s="803"/>
      <c r="F37" s="803"/>
      <c r="G37" s="803"/>
      <c r="H37" s="803"/>
      <c r="I37" s="803"/>
      <c r="J37" s="803"/>
      <c r="K37" s="803"/>
      <c r="L37" s="803"/>
      <c r="M37" s="803"/>
      <c r="N37" s="803"/>
      <c r="O37" s="803"/>
      <c r="P37" s="803"/>
      <c r="Q37" s="803"/>
      <c r="T37" s="803"/>
      <c r="U37" s="803"/>
      <c r="V37" s="803"/>
      <c r="W37" s="803"/>
      <c r="X37" s="803"/>
      <c r="Y37" s="803"/>
    </row>
    <row r="38" spans="2:25" outlineLevel="1">
      <c r="B38" s="735" t="s">
        <v>513</v>
      </c>
      <c r="C38" s="720" t="s">
        <v>515</v>
      </c>
      <c r="D38" s="721"/>
      <c r="E38" s="803"/>
      <c r="F38" s="803"/>
      <c r="G38" s="803"/>
      <c r="H38" s="803"/>
      <c r="I38" s="803"/>
      <c r="J38" s="803"/>
      <c r="K38" s="803"/>
      <c r="L38" s="803"/>
      <c r="M38" s="803"/>
      <c r="N38" s="803"/>
      <c r="O38" s="803"/>
      <c r="P38" s="803"/>
      <c r="Q38" s="803"/>
      <c r="T38" s="803"/>
      <c r="U38" s="803"/>
      <c r="V38" s="803"/>
      <c r="W38" s="803"/>
      <c r="X38" s="803"/>
      <c r="Y38" s="803"/>
    </row>
    <row r="39" spans="2:25" outlineLevel="1">
      <c r="B39" s="735"/>
      <c r="C39" s="724"/>
      <c r="D39" s="725"/>
      <c r="E39" s="727"/>
      <c r="F39" s="727"/>
      <c r="G39" s="727"/>
      <c r="H39" s="727"/>
      <c r="I39" s="727"/>
      <c r="J39" s="727"/>
      <c r="K39" s="727"/>
      <c r="L39" s="727"/>
      <c r="M39" s="727"/>
      <c r="N39" s="727"/>
      <c r="O39" s="727"/>
      <c r="P39" s="727"/>
      <c r="Q39" s="727"/>
      <c r="T39" s="807"/>
      <c r="U39" s="807"/>
      <c r="V39" s="807"/>
      <c r="W39" s="807"/>
      <c r="X39" s="807"/>
      <c r="Y39" s="807"/>
    </row>
    <row r="40" spans="2:25" ht="14.25" outlineLevel="1">
      <c r="B40" s="730" t="s">
        <v>509</v>
      </c>
      <c r="C40" s="731"/>
      <c r="D40" s="732"/>
      <c r="E40" s="736"/>
      <c r="F40" s="736"/>
      <c r="G40" s="736"/>
      <c r="H40" s="736"/>
      <c r="I40" s="736"/>
      <c r="J40" s="736"/>
      <c r="K40" s="736"/>
      <c r="L40" s="736"/>
      <c r="M40" s="736"/>
      <c r="N40" s="736"/>
      <c r="O40" s="736"/>
      <c r="P40" s="736"/>
      <c r="Q40" s="736"/>
      <c r="T40" s="948"/>
      <c r="U40" s="948"/>
      <c r="V40" s="948"/>
      <c r="W40" s="948"/>
      <c r="X40" s="948"/>
      <c r="Y40" s="948"/>
    </row>
    <row r="41" spans="2:25" outlineLevel="1">
      <c r="B41" s="735" t="s">
        <v>511</v>
      </c>
      <c r="C41" s="720" t="s">
        <v>516</v>
      </c>
      <c r="D41" s="721"/>
      <c r="E41" s="809">
        <f>+E24*E36*365</f>
        <v>1166.1586699999998</v>
      </c>
      <c r="F41" s="809">
        <f t="shared" ref="F41:M41" si="4">+F24*F36*365</f>
        <v>337.68806999999998</v>
      </c>
      <c r="G41" s="809">
        <f t="shared" si="4"/>
        <v>521.81024000000002</v>
      </c>
      <c r="H41" s="809">
        <f t="shared" si="4"/>
        <v>293.79000000000002</v>
      </c>
      <c r="I41" s="809">
        <f t="shared" si="4"/>
        <v>168.726</v>
      </c>
      <c r="J41" s="809">
        <f t="shared" si="4"/>
        <v>626.34</v>
      </c>
      <c r="K41" s="809">
        <f t="shared" si="4"/>
        <v>242.30700000000004</v>
      </c>
      <c r="L41" s="809">
        <f t="shared" si="4"/>
        <v>736.74599999999998</v>
      </c>
      <c r="M41" s="809">
        <f t="shared" si="4"/>
        <v>328.06800000000004</v>
      </c>
      <c r="N41" s="809">
        <f>+N24*N36*365</f>
        <v>700</v>
      </c>
      <c r="O41" s="809">
        <f>+O24*O36*365</f>
        <v>175.26000000000002</v>
      </c>
      <c r="P41" s="809">
        <f>+P24*P36*365</f>
        <v>231.357</v>
      </c>
      <c r="Q41" s="809">
        <f>+Q24*Q36*365</f>
        <v>379.29</v>
      </c>
      <c r="T41" s="809">
        <f t="shared" ref="T41:Y41" si="5">+T24*T36*365</f>
        <v>0</v>
      </c>
      <c r="U41" s="809">
        <f t="shared" si="5"/>
        <v>0</v>
      </c>
      <c r="V41" s="809">
        <f t="shared" si="5"/>
        <v>0</v>
      </c>
      <c r="W41" s="809">
        <f t="shared" si="5"/>
        <v>0</v>
      </c>
      <c r="X41" s="809">
        <f t="shared" si="5"/>
        <v>0</v>
      </c>
      <c r="Y41" s="809">
        <f t="shared" si="5"/>
        <v>0</v>
      </c>
    </row>
    <row r="42" spans="2:25" outlineLevel="1">
      <c r="B42" s="735" t="s">
        <v>512</v>
      </c>
      <c r="C42" s="720" t="s">
        <v>516</v>
      </c>
      <c r="D42" s="721"/>
      <c r="E42" s="803"/>
      <c r="F42" s="803"/>
      <c r="G42" s="803"/>
      <c r="H42" s="803"/>
      <c r="I42" s="803"/>
      <c r="J42" s="803"/>
      <c r="K42" s="803"/>
      <c r="L42" s="803"/>
      <c r="M42" s="803"/>
      <c r="N42" s="803"/>
      <c r="O42" s="803"/>
      <c r="P42" s="803"/>
      <c r="Q42" s="803"/>
      <c r="T42" s="803"/>
      <c r="U42" s="803"/>
      <c r="V42" s="803"/>
      <c r="W42" s="803"/>
      <c r="X42" s="803"/>
      <c r="Y42" s="803"/>
    </row>
    <row r="43" spans="2:25" ht="14.25" outlineLevel="1">
      <c r="B43" s="737" t="s">
        <v>517</v>
      </c>
      <c r="C43" s="720" t="s">
        <v>518</v>
      </c>
      <c r="D43" s="721"/>
      <c r="E43" s="802"/>
      <c r="F43" s="802"/>
      <c r="G43" s="802"/>
      <c r="H43" s="802"/>
      <c r="I43" s="802"/>
      <c r="J43" s="802"/>
      <c r="K43" s="802"/>
      <c r="L43" s="802"/>
      <c r="M43" s="802"/>
      <c r="N43" s="802"/>
      <c r="O43" s="802"/>
      <c r="P43" s="802"/>
      <c r="Q43" s="802"/>
      <c r="T43" s="802"/>
      <c r="U43" s="802"/>
      <c r="V43" s="802"/>
      <c r="W43" s="802"/>
      <c r="X43" s="802"/>
      <c r="Y43" s="802"/>
    </row>
    <row r="44" spans="2:25" outlineLevel="1">
      <c r="B44" s="735"/>
      <c r="C44" s="724"/>
      <c r="D44" s="725"/>
      <c r="E44" s="738"/>
      <c r="F44" s="738"/>
      <c r="G44" s="738"/>
      <c r="H44" s="738"/>
      <c r="I44" s="738"/>
      <c r="J44" s="738"/>
      <c r="K44" s="738"/>
      <c r="L44" s="738"/>
      <c r="M44" s="738"/>
      <c r="N44" s="738"/>
      <c r="O44" s="738"/>
      <c r="P44" s="738"/>
      <c r="Q44" s="738"/>
      <c r="T44" s="949"/>
      <c r="U44" s="949"/>
      <c r="V44" s="949"/>
      <c r="W44" s="949"/>
      <c r="X44" s="949"/>
      <c r="Y44" s="949"/>
    </row>
    <row r="45" spans="2:25" outlineLevel="1">
      <c r="B45" s="735" t="s">
        <v>519</v>
      </c>
      <c r="C45" s="720" t="s">
        <v>309</v>
      </c>
      <c r="D45" s="721"/>
      <c r="E45" s="810"/>
      <c r="F45" s="810"/>
      <c r="G45" s="810"/>
      <c r="H45" s="810"/>
      <c r="I45" s="810"/>
      <c r="J45" s="810"/>
      <c r="K45" s="810"/>
      <c r="L45" s="810"/>
      <c r="M45" s="810"/>
      <c r="N45" s="810"/>
      <c r="O45" s="810"/>
      <c r="P45" s="810"/>
      <c r="Q45" s="810"/>
      <c r="T45" s="810"/>
      <c r="U45" s="810"/>
      <c r="V45" s="810"/>
      <c r="W45" s="810"/>
      <c r="X45" s="810"/>
      <c r="Y45" s="810"/>
    </row>
    <row r="46" spans="2:25" outlineLevel="1">
      <c r="B46" s="735"/>
      <c r="C46" s="724"/>
      <c r="D46" s="725"/>
      <c r="E46" s="738"/>
      <c r="F46" s="738"/>
      <c r="G46" s="738"/>
      <c r="H46" s="738"/>
      <c r="I46" s="738"/>
      <c r="J46" s="738"/>
      <c r="K46" s="738"/>
      <c r="L46" s="738"/>
      <c r="M46" s="738"/>
      <c r="N46" s="738"/>
      <c r="O46" s="738"/>
      <c r="P46" s="738"/>
      <c r="Q46" s="738"/>
      <c r="T46" s="949"/>
      <c r="U46" s="949"/>
      <c r="V46" s="949"/>
      <c r="W46" s="949"/>
      <c r="X46" s="949"/>
      <c r="Y46" s="949"/>
    </row>
    <row r="47" spans="2:25" outlineLevel="1">
      <c r="B47" s="735" t="s">
        <v>520</v>
      </c>
      <c r="C47" s="720" t="s">
        <v>309</v>
      </c>
      <c r="D47" s="721"/>
      <c r="E47" s="803"/>
      <c r="F47" s="803"/>
      <c r="G47" s="803"/>
      <c r="H47" s="803"/>
      <c r="I47" s="803"/>
      <c r="J47" s="803"/>
      <c r="K47" s="803"/>
      <c r="L47" s="803"/>
      <c r="M47" s="803"/>
      <c r="N47" s="803"/>
      <c r="O47" s="803"/>
      <c r="P47" s="803"/>
      <c r="Q47" s="803"/>
      <c r="T47" s="803"/>
      <c r="U47" s="803"/>
      <c r="V47" s="803"/>
      <c r="W47" s="803"/>
      <c r="X47" s="803"/>
      <c r="Y47" s="803"/>
    </row>
    <row r="48" spans="2:25" outlineLevel="1">
      <c r="B48" s="735" t="s">
        <v>521</v>
      </c>
      <c r="C48" s="720" t="s">
        <v>309</v>
      </c>
      <c r="D48" s="721"/>
      <c r="E48" s="803"/>
      <c r="F48" s="803"/>
      <c r="G48" s="803"/>
      <c r="H48" s="803"/>
      <c r="I48" s="803"/>
      <c r="J48" s="803"/>
      <c r="K48" s="803"/>
      <c r="L48" s="803"/>
      <c r="M48" s="803"/>
      <c r="N48" s="803"/>
      <c r="O48" s="803"/>
      <c r="P48" s="803"/>
      <c r="Q48" s="803"/>
      <c r="T48" s="803"/>
      <c r="U48" s="803"/>
      <c r="V48" s="803"/>
      <c r="W48" s="803"/>
      <c r="X48" s="803"/>
      <c r="Y48" s="803"/>
    </row>
    <row r="49" spans="2:25" outlineLevel="1">
      <c r="B49" s="735" t="s">
        <v>522</v>
      </c>
      <c r="C49" s="720" t="s">
        <v>309</v>
      </c>
      <c r="D49" s="721" t="s">
        <v>498</v>
      </c>
      <c r="E49" s="811">
        <v>2E-3</v>
      </c>
      <c r="F49" s="811">
        <v>2E-3</v>
      </c>
      <c r="G49" s="811">
        <v>2E-3</v>
      </c>
      <c r="H49" s="811">
        <v>2E-3</v>
      </c>
      <c r="I49" s="811">
        <v>2E-3</v>
      </c>
      <c r="J49" s="811">
        <v>2E-3</v>
      </c>
      <c r="K49" s="811">
        <v>2E-3</v>
      </c>
      <c r="L49" s="811">
        <v>2E-3</v>
      </c>
      <c r="M49" s="811">
        <v>2E-3</v>
      </c>
      <c r="N49" s="811">
        <v>2E-3</v>
      </c>
      <c r="O49" s="811">
        <v>2E-3</v>
      </c>
      <c r="P49" s="811">
        <v>2E-3</v>
      </c>
      <c r="Q49" s="811">
        <v>2E-3</v>
      </c>
      <c r="T49" s="811">
        <v>2E-3</v>
      </c>
      <c r="U49" s="811">
        <v>2E-3</v>
      </c>
      <c r="V49" s="811">
        <v>2E-3</v>
      </c>
      <c r="W49" s="811">
        <v>2E-3</v>
      </c>
      <c r="X49" s="811">
        <v>2E-3</v>
      </c>
      <c r="Y49" s="811">
        <v>2E-3</v>
      </c>
    </row>
    <row r="50" spans="2:25" outlineLevel="1">
      <c r="B50" s="735"/>
      <c r="C50" s="724"/>
      <c r="D50" s="725"/>
      <c r="E50" s="739"/>
      <c r="F50" s="739"/>
      <c r="G50" s="739"/>
      <c r="H50" s="739"/>
      <c r="I50" s="739"/>
      <c r="J50" s="739"/>
      <c r="K50" s="739"/>
      <c r="L50" s="739"/>
      <c r="M50" s="739"/>
      <c r="N50" s="739"/>
      <c r="O50" s="739"/>
      <c r="P50" s="739"/>
      <c r="Q50" s="739"/>
      <c r="T50" s="950"/>
      <c r="U50" s="950"/>
      <c r="V50" s="950"/>
      <c r="W50" s="950"/>
      <c r="X50" s="950"/>
      <c r="Y50" s="950"/>
    </row>
    <row r="51" spans="2:25" outlineLevel="1">
      <c r="B51" s="735" t="s">
        <v>523</v>
      </c>
      <c r="C51" s="720" t="s">
        <v>309</v>
      </c>
      <c r="D51" s="721"/>
      <c r="E51" s="812">
        <v>0.02</v>
      </c>
      <c r="F51" s="812">
        <v>0.02</v>
      </c>
      <c r="G51" s="812">
        <v>0.02</v>
      </c>
      <c r="H51" s="812">
        <v>0.02</v>
      </c>
      <c r="I51" s="812">
        <v>0.02</v>
      </c>
      <c r="J51" s="812">
        <v>0.02</v>
      </c>
      <c r="K51" s="812">
        <v>0.02</v>
      </c>
      <c r="L51" s="812">
        <v>0.02</v>
      </c>
      <c r="M51" s="812">
        <v>0.02</v>
      </c>
      <c r="N51" s="812">
        <v>0.02</v>
      </c>
      <c r="O51" s="812">
        <v>0.02</v>
      </c>
      <c r="P51" s="812">
        <v>0.02</v>
      </c>
      <c r="Q51" s="812">
        <v>0.02</v>
      </c>
      <c r="T51" s="812">
        <v>0.02</v>
      </c>
      <c r="U51" s="812">
        <v>0.02</v>
      </c>
      <c r="V51" s="812">
        <v>0.02</v>
      </c>
      <c r="W51" s="812">
        <v>0.02</v>
      </c>
      <c r="X51" s="812">
        <v>0.02</v>
      </c>
      <c r="Y51" s="812">
        <v>0.02</v>
      </c>
    </row>
    <row r="52" spans="2:25" outlineLevel="1">
      <c r="B52" s="735"/>
      <c r="C52" s="724"/>
      <c r="D52" s="725"/>
      <c r="E52" s="727"/>
      <c r="F52" s="727"/>
      <c r="G52" s="727"/>
      <c r="H52" s="727"/>
      <c r="I52" s="727"/>
      <c r="J52" s="727"/>
      <c r="K52" s="727"/>
      <c r="L52" s="727"/>
      <c r="M52" s="727"/>
      <c r="N52" s="727"/>
      <c r="O52" s="727"/>
      <c r="P52" s="727"/>
      <c r="Q52" s="727"/>
      <c r="T52" s="807"/>
      <c r="U52" s="807"/>
      <c r="V52" s="807"/>
      <c r="W52" s="807"/>
      <c r="X52" s="807"/>
      <c r="Y52" s="807"/>
    </row>
    <row r="53" spans="2:25" outlineLevel="1">
      <c r="B53" s="735" t="s">
        <v>524</v>
      </c>
      <c r="C53" s="720" t="s">
        <v>309</v>
      </c>
      <c r="D53" s="721"/>
      <c r="E53" s="803"/>
      <c r="F53" s="803"/>
      <c r="G53" s="803"/>
      <c r="H53" s="803"/>
      <c r="I53" s="803"/>
      <c r="J53" s="803"/>
      <c r="K53" s="803"/>
      <c r="L53" s="803"/>
      <c r="M53" s="803"/>
      <c r="N53" s="803"/>
      <c r="O53" s="803"/>
      <c r="P53" s="803"/>
      <c r="Q53" s="803"/>
      <c r="T53" s="803"/>
      <c r="U53" s="803"/>
      <c r="V53" s="803"/>
      <c r="W53" s="803"/>
      <c r="X53" s="803"/>
      <c r="Y53" s="803"/>
    </row>
    <row r="54" spans="2:25" outlineLevel="1">
      <c r="B54" s="735"/>
      <c r="C54" s="724"/>
      <c r="D54" s="725"/>
      <c r="E54" s="727"/>
      <c r="F54" s="727"/>
      <c r="G54" s="727"/>
      <c r="H54" s="727"/>
      <c r="I54" s="727"/>
      <c r="J54" s="727"/>
      <c r="K54" s="727"/>
      <c r="L54" s="727"/>
      <c r="M54" s="727"/>
      <c r="N54" s="727"/>
      <c r="O54" s="727"/>
      <c r="P54" s="727"/>
      <c r="Q54" s="727"/>
      <c r="T54" s="807"/>
      <c r="U54" s="807"/>
      <c r="V54" s="807"/>
      <c r="W54" s="807"/>
      <c r="X54" s="807"/>
      <c r="Y54" s="807"/>
    </row>
    <row r="55" spans="2:25" outlineLevel="1">
      <c r="B55" s="735" t="s">
        <v>525</v>
      </c>
      <c r="C55" s="720" t="s">
        <v>309</v>
      </c>
      <c r="D55" s="721"/>
      <c r="E55" s="803"/>
      <c r="F55" s="803"/>
      <c r="G55" s="803"/>
      <c r="H55" s="803"/>
      <c r="I55" s="803"/>
      <c r="J55" s="803"/>
      <c r="K55" s="803"/>
      <c r="L55" s="803"/>
      <c r="M55" s="803"/>
      <c r="N55" s="803"/>
      <c r="O55" s="803"/>
      <c r="P55" s="803"/>
      <c r="Q55" s="803"/>
      <c r="T55" s="803"/>
      <c r="U55" s="803"/>
      <c r="V55" s="803"/>
      <c r="W55" s="803"/>
      <c r="X55" s="803"/>
      <c r="Y55" s="803"/>
    </row>
    <row r="56" spans="2:25" s="707" customFormat="1" ht="15">
      <c r="B56" s="709"/>
      <c r="C56" s="710"/>
      <c r="D56" s="711"/>
      <c r="E56" s="717"/>
      <c r="F56" s="717"/>
      <c r="G56" s="717"/>
      <c r="H56" s="717"/>
      <c r="I56" s="717"/>
      <c r="J56" s="717"/>
      <c r="K56" s="717"/>
      <c r="L56" s="717"/>
      <c r="M56" s="717"/>
      <c r="N56" s="717"/>
      <c r="O56" s="717"/>
      <c r="P56" s="717"/>
      <c r="Q56" s="717"/>
      <c r="T56" s="945"/>
      <c r="U56" s="945"/>
      <c r="V56" s="945"/>
      <c r="W56" s="945"/>
      <c r="X56" s="945"/>
      <c r="Y56" s="945"/>
    </row>
    <row r="57" spans="2:25" s="707" customFormat="1" ht="27.75" customHeight="1">
      <c r="B57" s="713" t="s">
        <v>526</v>
      </c>
      <c r="C57" s="714"/>
      <c r="D57" s="714" t="s">
        <v>527</v>
      </c>
      <c r="E57" s="715" t="s">
        <v>528</v>
      </c>
      <c r="F57" s="715" t="s">
        <v>528</v>
      </c>
      <c r="G57" s="715" t="s">
        <v>528</v>
      </c>
      <c r="H57" s="715" t="s">
        <v>528</v>
      </c>
      <c r="I57" s="715" t="s">
        <v>528</v>
      </c>
      <c r="J57" s="715" t="s">
        <v>528</v>
      </c>
      <c r="K57" s="715" t="s">
        <v>528</v>
      </c>
      <c r="L57" s="715" t="s">
        <v>528</v>
      </c>
      <c r="M57" s="715" t="s">
        <v>528</v>
      </c>
      <c r="N57" s="715" t="s">
        <v>528</v>
      </c>
      <c r="O57" s="715" t="s">
        <v>528</v>
      </c>
      <c r="P57" s="715" t="s">
        <v>528</v>
      </c>
      <c r="Q57" s="715" t="s">
        <v>528</v>
      </c>
      <c r="T57" s="944" t="s">
        <v>528</v>
      </c>
      <c r="U57" s="944" t="s">
        <v>528</v>
      </c>
      <c r="V57" s="944" t="s">
        <v>528</v>
      </c>
      <c r="W57" s="944" t="s">
        <v>528</v>
      </c>
      <c r="X57" s="944" t="s">
        <v>528</v>
      </c>
      <c r="Y57" s="944" t="s">
        <v>528</v>
      </c>
    </row>
    <row r="58" spans="2:25" outlineLevel="1">
      <c r="B58" s="735"/>
      <c r="E58" s="741">
        <f>+'[6]O&amp;M'!E14</f>
        <v>8640000</v>
      </c>
      <c r="F58" s="741"/>
      <c r="G58" s="741"/>
      <c r="H58" s="741"/>
      <c r="I58" s="741"/>
      <c r="J58" s="741">
        <f t="shared" ref="J58:M58" si="6">+J61+J106+IFERROR(J125,0)</f>
        <v>25623000</v>
      </c>
      <c r="K58" s="741">
        <f t="shared" si="6"/>
        <v>10003500</v>
      </c>
      <c r="L58" s="741">
        <f t="shared" si="6"/>
        <v>30829500</v>
      </c>
      <c r="M58" s="741">
        <f t="shared" si="6"/>
        <v>13689000</v>
      </c>
      <c r="N58" s="741" t="e">
        <f>+'[6]O&amp;M'!N14</f>
        <v>#REF!</v>
      </c>
      <c r="O58" s="741" t="e">
        <f>+'[6]O&amp;M'!O14</f>
        <v>#REF!</v>
      </c>
      <c r="P58" s="741" t="e">
        <f>+'[6]O&amp;M'!P14</f>
        <v>#REF!</v>
      </c>
      <c r="Q58" s="741" t="e">
        <f>+'[6]O&amp;M'!Q14</f>
        <v>#REF!</v>
      </c>
      <c r="T58" s="951" t="e">
        <f>+'[6]O&amp;M'!T14</f>
        <v>#REF!</v>
      </c>
      <c r="U58" s="951"/>
      <c r="V58" s="951"/>
      <c r="W58" s="951"/>
      <c r="X58" s="951"/>
      <c r="Y58" s="951">
        <f>+Y61+Y106+IFERROR(Y125,0)</f>
        <v>0</v>
      </c>
    </row>
    <row r="59" spans="2:25" ht="16.5" customHeight="1" outlineLevel="1">
      <c r="B59" s="730" t="s">
        <v>529</v>
      </c>
      <c r="C59" s="742"/>
      <c r="D59" s="743"/>
      <c r="E59" s="775" t="b">
        <f>+E61+E70+E88+E106+E115+E125+E134+E143+E152='Input 기초'!F70</f>
        <v>1</v>
      </c>
      <c r="F59" s="775" t="b">
        <f>+F61+F70+F88+F106+F115+F125+F134+F143+F152='Input 기초'!G70</f>
        <v>1</v>
      </c>
      <c r="G59" s="775" t="b">
        <f>+G61+G70+G88+G106+G115+G125+G134+G143+G152='Input 기초'!H70</f>
        <v>1</v>
      </c>
      <c r="H59" s="775" t="b">
        <f>+H61+H70+H88+H106+H115+H125+H134+H143+H152='Input 기초'!I70</f>
        <v>1</v>
      </c>
      <c r="I59" s="775" t="b">
        <f>+I61+I70+I88+I106+I115+I125+I134+I143+I152='Input 기초'!J70</f>
        <v>1</v>
      </c>
      <c r="J59" s="775" t="b">
        <f>+J61+J70+J88+J106+J115+J125+J134+J143+J152='Input 기초'!K70</f>
        <v>1</v>
      </c>
      <c r="K59" s="775" t="b">
        <f>+K61+K70+K88+K106+K115+K125+K134+K143+K152='Input 기초'!L70</f>
        <v>1</v>
      </c>
      <c r="L59" s="775" t="b">
        <f>+L61+L70+L88+L106+L115+L125+L134+L143+L152='Input 기초'!M70</f>
        <v>1</v>
      </c>
      <c r="M59" s="775" t="b">
        <f>+M61+M70+M88+M106+M115+M125+M134+M143+M152='Input 기초'!N70</f>
        <v>1</v>
      </c>
      <c r="N59" s="775" t="b">
        <f>+N61+N70+N88+N106+N115+N125+N134+N143+N152='Input 기초'!O70</f>
        <v>1</v>
      </c>
      <c r="O59" s="775" t="b">
        <f>+O61+O70+O88+O106+O115+O125+O134+O143+O152='Input 기초'!P70</f>
        <v>1</v>
      </c>
      <c r="P59" s="775" t="b">
        <f>+P61+P70+P88+P106+P115+P125+P134+P143+P152='Input 기초'!Q70</f>
        <v>1</v>
      </c>
      <c r="Q59" s="775" t="b">
        <f>+Q61+Q70+Q88+Q106+Q115+Q125+Q134+Q143+Q152='Input 기초'!R70</f>
        <v>1</v>
      </c>
      <c r="T59" s="952" t="b">
        <f>+T61+T70+T88+T106+T115+T125+T134+T143+T152='Input 기초'!U70</f>
        <v>1</v>
      </c>
      <c r="U59" s="952" t="b">
        <f>+U61+U70+U88+U106+U115+U125+U134+U143+U152='Input 기초'!V70</f>
        <v>1</v>
      </c>
      <c r="V59" s="952" t="b">
        <f>+V61+V70+V88+V106+V115+V125+V134+V143+V152='Input 기초'!W70</f>
        <v>1</v>
      </c>
      <c r="W59" s="952" t="b">
        <f>+W61+W70+W88+W106+W115+W125+W134+W143+W152='Input 기초'!X70</f>
        <v>1</v>
      </c>
      <c r="X59" s="952" t="b">
        <f>+X61+X70+X88+X106+X115+X125+X134+X143+X152='Input 기초'!Y70</f>
        <v>1</v>
      </c>
      <c r="Y59" s="952" t="b">
        <f>+Y61+Y70+Y88+Y106+Y115+Y125+Y134+Y143+Y152='Input 기초'!Z70</f>
        <v>1</v>
      </c>
    </row>
    <row r="60" spans="2:25" ht="16.5" customHeight="1" outlineLevel="1">
      <c r="B60" s="735" t="s">
        <v>487</v>
      </c>
      <c r="E60" s="801"/>
      <c r="F60" s="801"/>
      <c r="G60" s="801"/>
      <c r="H60" s="801"/>
      <c r="I60" s="801"/>
      <c r="J60" s="801"/>
      <c r="K60" s="801"/>
      <c r="L60" s="801"/>
      <c r="M60" s="801"/>
      <c r="N60" s="801"/>
      <c r="O60" s="801"/>
      <c r="P60" s="801"/>
      <c r="Q60" s="801"/>
      <c r="T60" s="801"/>
      <c r="U60" s="801"/>
      <c r="V60" s="801"/>
      <c r="W60" s="801"/>
      <c r="X60" s="801"/>
      <c r="Y60" s="801"/>
    </row>
    <row r="61" spans="2:25" ht="16.5" customHeight="1" outlineLevel="1">
      <c r="B61" s="735" t="s">
        <v>528</v>
      </c>
      <c r="C61" s="724" t="s">
        <v>530</v>
      </c>
      <c r="D61" s="813" t="s">
        <v>531</v>
      </c>
      <c r="E61" s="814">
        <f>+'Input 기초'!F71</f>
        <v>10215125</v>
      </c>
      <c r="F61" s="814">
        <f>+'Input 기초'!G71</f>
        <v>3008625</v>
      </c>
      <c r="G61" s="814">
        <f>+'Input 기초'!H71</f>
        <v>4828000</v>
      </c>
      <c r="H61" s="814">
        <f>+'Input 기초'!I71</f>
        <v>2625000</v>
      </c>
      <c r="I61" s="814">
        <f>+'Input 기초'!J71</f>
        <v>1525000</v>
      </c>
      <c r="J61" s="814">
        <f>+'Input 기초'!K71</f>
        <v>5475000</v>
      </c>
      <c r="K61" s="814">
        <f>+'Input 기초'!L71</f>
        <v>2137500</v>
      </c>
      <c r="L61" s="814">
        <f>+'Input 기초'!M71</f>
        <v>6587500</v>
      </c>
      <c r="M61" s="814">
        <f>+'Input 기초'!N71</f>
        <v>2925000</v>
      </c>
      <c r="N61" s="814">
        <f>+'Input 기초'!O71</f>
        <v>6250000</v>
      </c>
      <c r="O61" s="814">
        <f>+'Input 기초'!P71</f>
        <v>1587500</v>
      </c>
      <c r="P61" s="814">
        <f>+'Input 기초'!Q71</f>
        <v>2012500</v>
      </c>
      <c r="Q61" s="814">
        <f>+'Input 기초'!R71</f>
        <v>3362500</v>
      </c>
      <c r="R61" s="745"/>
      <c r="T61" s="814">
        <f>+'Input 기초'!U71</f>
        <v>0</v>
      </c>
      <c r="U61" s="814">
        <f>+'Input 기초'!V71</f>
        <v>0</v>
      </c>
      <c r="V61" s="814">
        <f>+'Input 기초'!W71</f>
        <v>0</v>
      </c>
      <c r="W61" s="814">
        <f>+'Input 기초'!X71</f>
        <v>0</v>
      </c>
      <c r="X61" s="814">
        <f>+'Input 기초'!Y71</f>
        <v>0</v>
      </c>
      <c r="Y61" s="814">
        <f>+'Input 기초'!Z71</f>
        <v>0</v>
      </c>
    </row>
    <row r="62" spans="2:25" ht="16.5" customHeight="1" outlineLevel="1">
      <c r="B62" s="746" t="s">
        <v>532</v>
      </c>
      <c r="C62" s="720" t="s">
        <v>533</v>
      </c>
      <c r="D62" s="721"/>
      <c r="E62" s="815" t="s">
        <v>67</v>
      </c>
      <c r="F62" s="815" t="s">
        <v>67</v>
      </c>
      <c r="G62" s="815" t="s">
        <v>67</v>
      </c>
      <c r="H62" s="815" t="s">
        <v>67</v>
      </c>
      <c r="I62" s="815" t="s">
        <v>67</v>
      </c>
      <c r="J62" s="815" t="s">
        <v>67</v>
      </c>
      <c r="K62" s="815" t="s">
        <v>67</v>
      </c>
      <c r="L62" s="815" t="s">
        <v>67</v>
      </c>
      <c r="M62" s="815" t="s">
        <v>67</v>
      </c>
      <c r="N62" s="815" t="s">
        <v>67</v>
      </c>
      <c r="O62" s="815" t="s">
        <v>67</v>
      </c>
      <c r="P62" s="815" t="s">
        <v>67</v>
      </c>
      <c r="Q62" s="815" t="s">
        <v>67</v>
      </c>
      <c r="R62" s="748"/>
      <c r="T62" s="815" t="s">
        <v>67</v>
      </c>
      <c r="U62" s="815" t="s">
        <v>67</v>
      </c>
      <c r="V62" s="815" t="s">
        <v>67</v>
      </c>
      <c r="W62" s="815" t="s">
        <v>67</v>
      </c>
      <c r="X62" s="815" t="s">
        <v>67</v>
      </c>
      <c r="Y62" s="815" t="s">
        <v>67</v>
      </c>
    </row>
    <row r="63" spans="2:25" ht="16.5" customHeight="1" outlineLevel="1">
      <c r="B63" s="746" t="s">
        <v>534</v>
      </c>
      <c r="C63" s="720" t="s">
        <v>301</v>
      </c>
      <c r="D63" s="721" t="s">
        <v>535</v>
      </c>
      <c r="E63" s="799">
        <f>+E18</f>
        <v>46053</v>
      </c>
      <c r="F63" s="799">
        <v>46112</v>
      </c>
      <c r="G63" s="799">
        <v>46112</v>
      </c>
      <c r="H63" s="799">
        <v>46112</v>
      </c>
      <c r="I63" s="799">
        <v>46112</v>
      </c>
      <c r="J63" s="799">
        <v>46112</v>
      </c>
      <c r="K63" s="799">
        <v>46112</v>
      </c>
      <c r="L63" s="799">
        <v>46112</v>
      </c>
      <c r="M63" s="799">
        <v>46112</v>
      </c>
      <c r="N63" s="799">
        <v>46112</v>
      </c>
      <c r="O63" s="799">
        <v>46112</v>
      </c>
      <c r="P63" s="799">
        <v>46112</v>
      </c>
      <c r="Q63" s="799">
        <v>46112</v>
      </c>
      <c r="T63" s="799">
        <v>46112</v>
      </c>
      <c r="U63" s="799">
        <v>46112</v>
      </c>
      <c r="V63" s="799">
        <v>46112</v>
      </c>
      <c r="W63" s="799">
        <v>46112</v>
      </c>
      <c r="X63" s="799">
        <v>46112</v>
      </c>
      <c r="Y63" s="799">
        <v>46112</v>
      </c>
    </row>
    <row r="64" spans="2:25" ht="16.5" customHeight="1" outlineLevel="1">
      <c r="B64" s="735" t="s">
        <v>536</v>
      </c>
      <c r="C64" s="720" t="s">
        <v>309</v>
      </c>
      <c r="D64" s="721" t="s">
        <v>537</v>
      </c>
      <c r="E64" s="799" t="s">
        <v>538</v>
      </c>
      <c r="F64" s="799" t="s">
        <v>538</v>
      </c>
      <c r="G64" s="799" t="s">
        <v>538</v>
      </c>
      <c r="H64" s="799" t="s">
        <v>538</v>
      </c>
      <c r="I64" s="799" t="s">
        <v>538</v>
      </c>
      <c r="J64" s="799" t="s">
        <v>538</v>
      </c>
      <c r="K64" s="799" t="s">
        <v>538</v>
      </c>
      <c r="L64" s="799" t="s">
        <v>538</v>
      </c>
      <c r="M64" s="799" t="s">
        <v>538</v>
      </c>
      <c r="N64" s="799" t="s">
        <v>538</v>
      </c>
      <c r="O64" s="799" t="s">
        <v>538</v>
      </c>
      <c r="P64" s="799" t="s">
        <v>538</v>
      </c>
      <c r="Q64" s="799" t="s">
        <v>538</v>
      </c>
      <c r="T64" s="799" t="s">
        <v>538</v>
      </c>
      <c r="U64" s="799" t="s">
        <v>538</v>
      </c>
      <c r="V64" s="799" t="s">
        <v>538</v>
      </c>
      <c r="W64" s="799" t="s">
        <v>538</v>
      </c>
      <c r="X64" s="799" t="s">
        <v>538</v>
      </c>
      <c r="Y64" s="799" t="s">
        <v>538</v>
      </c>
    </row>
    <row r="65" spans="2:25" ht="16.5" customHeight="1" outlineLevel="1">
      <c r="B65" s="735" t="s">
        <v>539</v>
      </c>
      <c r="C65" s="720" t="s">
        <v>301</v>
      </c>
      <c r="D65" s="721"/>
      <c r="E65" s="799">
        <f t="shared" ref="E65:Q65" si="7">E19</f>
        <v>46203</v>
      </c>
      <c r="F65" s="799">
        <f t="shared" si="7"/>
        <v>46173</v>
      </c>
      <c r="G65" s="799">
        <f t="shared" si="7"/>
        <v>46173</v>
      </c>
      <c r="H65" s="799">
        <f t="shared" si="7"/>
        <v>46173</v>
      </c>
      <c r="I65" s="799">
        <f t="shared" si="7"/>
        <v>46173</v>
      </c>
      <c r="J65" s="799">
        <f t="shared" si="7"/>
        <v>46203</v>
      </c>
      <c r="K65" s="799">
        <f t="shared" si="7"/>
        <v>46173</v>
      </c>
      <c r="L65" s="799">
        <f t="shared" si="7"/>
        <v>46203</v>
      </c>
      <c r="M65" s="799">
        <f t="shared" si="7"/>
        <v>46173</v>
      </c>
      <c r="N65" s="799">
        <f t="shared" si="7"/>
        <v>46173</v>
      </c>
      <c r="O65" s="799">
        <f t="shared" si="7"/>
        <v>46203</v>
      </c>
      <c r="P65" s="799">
        <f t="shared" si="7"/>
        <v>46203</v>
      </c>
      <c r="Q65" s="799">
        <f t="shared" si="7"/>
        <v>46203</v>
      </c>
      <c r="T65" s="799">
        <f t="shared" ref="T65:Y65" si="8">T19</f>
        <v>46203</v>
      </c>
      <c r="U65" s="799">
        <f t="shared" si="8"/>
        <v>46173</v>
      </c>
      <c r="V65" s="799">
        <f t="shared" si="8"/>
        <v>46173</v>
      </c>
      <c r="W65" s="799">
        <f t="shared" si="8"/>
        <v>46173</v>
      </c>
      <c r="X65" s="799">
        <f t="shared" si="8"/>
        <v>46173</v>
      </c>
      <c r="Y65" s="799">
        <f t="shared" si="8"/>
        <v>46203</v>
      </c>
    </row>
    <row r="66" spans="2:25" ht="18.600000000000001" customHeight="1" outlineLevel="1">
      <c r="B66" s="735" t="s">
        <v>540</v>
      </c>
      <c r="C66" s="1358" t="s">
        <v>541</v>
      </c>
      <c r="D66" s="1358"/>
      <c r="E66" s="803"/>
      <c r="F66" s="803"/>
      <c r="G66" s="803"/>
      <c r="H66" s="803"/>
      <c r="I66" s="803"/>
      <c r="J66" s="803"/>
      <c r="K66" s="803"/>
      <c r="L66" s="803"/>
      <c r="M66" s="803"/>
      <c r="N66" s="803"/>
      <c r="O66" s="803"/>
      <c r="P66" s="803"/>
      <c r="Q66" s="803"/>
      <c r="T66" s="803"/>
      <c r="U66" s="803"/>
      <c r="V66" s="803"/>
      <c r="W66" s="803"/>
      <c r="X66" s="803"/>
      <c r="Y66" s="803"/>
    </row>
    <row r="67" spans="2:25" ht="18.600000000000001" customHeight="1" outlineLevel="1">
      <c r="B67" s="735"/>
      <c r="C67" s="1358"/>
      <c r="D67" s="1358"/>
      <c r="T67" s="777"/>
      <c r="U67" s="777"/>
      <c r="V67" s="777"/>
      <c r="W67" s="777"/>
      <c r="X67" s="777"/>
      <c r="Y67" s="777"/>
    </row>
    <row r="68" spans="2:25" ht="16.5" customHeight="1" outlineLevel="1">
      <c r="B68" s="730" t="s">
        <v>424</v>
      </c>
      <c r="C68" s="742"/>
      <c r="D68" s="749"/>
      <c r="E68" s="750"/>
      <c r="F68" s="750"/>
      <c r="G68" s="750"/>
      <c r="H68" s="750"/>
      <c r="I68" s="750"/>
      <c r="J68" s="750"/>
      <c r="K68" s="750"/>
      <c r="L68" s="750"/>
      <c r="M68" s="750"/>
      <c r="N68" s="750"/>
      <c r="O68" s="750"/>
      <c r="P68" s="750"/>
      <c r="Q68" s="750"/>
      <c r="T68" s="953"/>
      <c r="U68" s="953"/>
      <c r="V68" s="953"/>
      <c r="W68" s="953"/>
      <c r="X68" s="953"/>
      <c r="Y68" s="953"/>
    </row>
    <row r="69" spans="2:25" ht="16.5" customHeight="1" outlineLevel="1">
      <c r="B69" s="735" t="s">
        <v>487</v>
      </c>
      <c r="E69" s="801"/>
      <c r="F69" s="801"/>
      <c r="G69" s="801"/>
      <c r="H69" s="801"/>
      <c r="I69" s="801"/>
      <c r="J69" s="801"/>
      <c r="K69" s="801"/>
      <c r="L69" s="801"/>
      <c r="M69" s="801"/>
      <c r="N69" s="801"/>
      <c r="O69" s="801"/>
      <c r="P69" s="801"/>
      <c r="Q69" s="801"/>
      <c r="T69" s="801"/>
      <c r="U69" s="801"/>
      <c r="V69" s="801"/>
      <c r="W69" s="801"/>
      <c r="X69" s="801"/>
      <c r="Y69" s="801"/>
    </row>
    <row r="70" spans="2:25" ht="16.5" customHeight="1" outlineLevel="1">
      <c r="B70" s="735" t="s">
        <v>528</v>
      </c>
      <c r="C70" s="724" t="s">
        <v>530</v>
      </c>
      <c r="D70" s="813" t="s">
        <v>531</v>
      </c>
      <c r="E70" s="814">
        <f>+'Input 기초'!F72</f>
        <v>0</v>
      </c>
      <c r="F70" s="814">
        <f>+'Input 기초'!G72</f>
        <v>0</v>
      </c>
      <c r="G70" s="814">
        <f>+'Input 기초'!H72</f>
        <v>0</v>
      </c>
      <c r="H70" s="814">
        <f>+'Input 기초'!I72</f>
        <v>0</v>
      </c>
      <c r="I70" s="814">
        <f>+'Input 기초'!J72</f>
        <v>0</v>
      </c>
      <c r="J70" s="814">
        <f>+'Input 기초'!K72</f>
        <v>0</v>
      </c>
      <c r="K70" s="814">
        <f>+'Input 기초'!L72</f>
        <v>0</v>
      </c>
      <c r="L70" s="814">
        <f>+'Input 기초'!M72</f>
        <v>0</v>
      </c>
      <c r="M70" s="814">
        <f>+'Input 기초'!N72</f>
        <v>0</v>
      </c>
      <c r="N70" s="814">
        <f>+'Input 기초'!O72</f>
        <v>0</v>
      </c>
      <c r="O70" s="814">
        <f>+'Input 기초'!P72</f>
        <v>0</v>
      </c>
      <c r="P70" s="814">
        <f>+'Input 기초'!Q72</f>
        <v>0</v>
      </c>
      <c r="Q70" s="814">
        <f>+'Input 기초'!R72</f>
        <v>0</v>
      </c>
      <c r="T70" s="814">
        <f>+'Input 기초'!U72</f>
        <v>0</v>
      </c>
      <c r="U70" s="814">
        <f>+'Input 기초'!V72</f>
        <v>0</v>
      </c>
      <c r="V70" s="814">
        <f>+'Input 기초'!W72</f>
        <v>0</v>
      </c>
      <c r="W70" s="814">
        <f>+'Input 기초'!X72</f>
        <v>0</v>
      </c>
      <c r="X70" s="814">
        <f>+'Input 기초'!Y72</f>
        <v>0</v>
      </c>
      <c r="Y70" s="814">
        <f>+'Input 기초'!Z72</f>
        <v>0</v>
      </c>
    </row>
    <row r="71" spans="2:25" ht="16.5" customHeight="1" outlineLevel="1">
      <c r="B71" s="735" t="s">
        <v>542</v>
      </c>
      <c r="C71" s="720" t="s">
        <v>533</v>
      </c>
      <c r="D71" s="721"/>
      <c r="E71" s="815">
        <v>1</v>
      </c>
      <c r="F71" s="815">
        <v>1</v>
      </c>
      <c r="G71" s="815">
        <v>1</v>
      </c>
      <c r="H71" s="815">
        <v>1</v>
      </c>
      <c r="I71" s="815">
        <v>1</v>
      </c>
      <c r="J71" s="815">
        <v>1</v>
      </c>
      <c r="K71" s="815">
        <v>1</v>
      </c>
      <c r="L71" s="815">
        <v>1</v>
      </c>
      <c r="M71" s="815">
        <v>1</v>
      </c>
      <c r="N71" s="815">
        <v>1</v>
      </c>
      <c r="O71" s="815">
        <v>1</v>
      </c>
      <c r="P71" s="815">
        <v>1</v>
      </c>
      <c r="Q71" s="815">
        <v>1</v>
      </c>
      <c r="T71" s="815">
        <v>1</v>
      </c>
      <c r="U71" s="815">
        <v>1</v>
      </c>
      <c r="V71" s="815">
        <v>1</v>
      </c>
      <c r="W71" s="815">
        <v>1</v>
      </c>
      <c r="X71" s="815">
        <v>1</v>
      </c>
      <c r="Y71" s="815">
        <v>1</v>
      </c>
    </row>
    <row r="72" spans="2:25" ht="15.75" customHeight="1" outlineLevel="1">
      <c r="B72" s="735" t="s">
        <v>543</v>
      </c>
      <c r="C72" s="720" t="s">
        <v>301</v>
      </c>
      <c r="D72" s="721" t="s">
        <v>535</v>
      </c>
      <c r="E72" s="799">
        <f>+EDATE(E16,-25)</f>
        <v>45200</v>
      </c>
      <c r="F72" s="799">
        <f t="shared" ref="F72:M72" si="9">+EDATE(F16,-25)</f>
        <v>45200</v>
      </c>
      <c r="G72" s="799">
        <f t="shared" si="9"/>
        <v>45200</v>
      </c>
      <c r="H72" s="799">
        <f t="shared" si="9"/>
        <v>45200</v>
      </c>
      <c r="I72" s="799">
        <f t="shared" si="9"/>
        <v>45200</v>
      </c>
      <c r="J72" s="799">
        <f t="shared" si="9"/>
        <v>45260</v>
      </c>
      <c r="K72" s="799">
        <f t="shared" si="9"/>
        <v>45200</v>
      </c>
      <c r="L72" s="799">
        <f t="shared" si="9"/>
        <v>45260</v>
      </c>
      <c r="M72" s="799">
        <f t="shared" si="9"/>
        <v>45200</v>
      </c>
      <c r="N72" s="799">
        <f>+EDATE(N16,-25)</f>
        <v>45200</v>
      </c>
      <c r="O72" s="799">
        <f>+EDATE(O16,-25)</f>
        <v>45260</v>
      </c>
      <c r="P72" s="799">
        <f>+EDATE(P16,-25)</f>
        <v>45260</v>
      </c>
      <c r="Q72" s="799">
        <f>+EDATE(Q16,-25)</f>
        <v>45260</v>
      </c>
      <c r="T72" s="799">
        <f t="shared" ref="T72:Y72" si="10">+EDATE(T16,-25)</f>
        <v>45200</v>
      </c>
      <c r="U72" s="799">
        <f t="shared" si="10"/>
        <v>45200</v>
      </c>
      <c r="V72" s="799">
        <f t="shared" si="10"/>
        <v>45200</v>
      </c>
      <c r="W72" s="799">
        <f t="shared" si="10"/>
        <v>45200</v>
      </c>
      <c r="X72" s="799">
        <f t="shared" si="10"/>
        <v>45200</v>
      </c>
      <c r="Y72" s="799">
        <f t="shared" si="10"/>
        <v>45260</v>
      </c>
    </row>
    <row r="73" spans="2:25" ht="16.5" customHeight="1" outlineLevel="1">
      <c r="B73" s="735" t="s">
        <v>536</v>
      </c>
      <c r="C73" s="720" t="s">
        <v>309</v>
      </c>
      <c r="D73" s="721" t="s">
        <v>537</v>
      </c>
      <c r="E73" s="799" t="str">
        <f>+'[6]입력 시트(0124)'!E72</f>
        <v>CPI</v>
      </c>
      <c r="F73" s="799" t="str">
        <f>+'[6]입력 시트(0124)'!F72</f>
        <v>CPI</v>
      </c>
      <c r="G73" s="799" t="str">
        <f>+'[6]입력 시트(0124)'!G72</f>
        <v>CPI</v>
      </c>
      <c r="H73" s="799" t="str">
        <f>+'[6]입력 시트(0124)'!H72</f>
        <v>CPI</v>
      </c>
      <c r="I73" s="799" t="str">
        <f>+'[6]입력 시트(0124)'!I72</f>
        <v>CPI</v>
      </c>
      <c r="J73" s="799" t="s">
        <v>538</v>
      </c>
      <c r="K73" s="799" t="s">
        <v>538</v>
      </c>
      <c r="L73" s="799" t="s">
        <v>538</v>
      </c>
      <c r="M73" s="799" t="s">
        <v>538</v>
      </c>
      <c r="N73" s="799" t="s">
        <v>538</v>
      </c>
      <c r="O73" s="799" t="s">
        <v>538</v>
      </c>
      <c r="P73" s="799" t="s">
        <v>538</v>
      </c>
      <c r="Q73" s="799" t="s">
        <v>538</v>
      </c>
      <c r="T73" s="799" t="e">
        <f>+'[6]입력 시트(0124)'!T72</f>
        <v>#REF!</v>
      </c>
      <c r="U73" s="799" t="e">
        <f>+'[6]입력 시트(0124)'!U72</f>
        <v>#REF!</v>
      </c>
      <c r="V73" s="799" t="e">
        <f>+'[6]입력 시트(0124)'!V72</f>
        <v>#REF!</v>
      </c>
      <c r="W73" s="799" t="e">
        <f>+'[6]입력 시트(0124)'!W72</f>
        <v>#REF!</v>
      </c>
      <c r="X73" s="799" t="e">
        <f>+'[6]입력 시트(0124)'!X72</f>
        <v>#REF!</v>
      </c>
      <c r="Y73" s="799" t="s">
        <v>538</v>
      </c>
    </row>
    <row r="74" spans="2:25" ht="16.5" customHeight="1" outlineLevel="1">
      <c r="B74" s="735" t="s">
        <v>539</v>
      </c>
      <c r="C74" s="720" t="s">
        <v>301</v>
      </c>
      <c r="D74" s="721"/>
      <c r="E74" s="799">
        <f t="shared" ref="E74:Q74" si="11">E19</f>
        <v>46203</v>
      </c>
      <c r="F74" s="799">
        <f t="shared" si="11"/>
        <v>46173</v>
      </c>
      <c r="G74" s="799">
        <f t="shared" si="11"/>
        <v>46173</v>
      </c>
      <c r="H74" s="799">
        <f t="shared" si="11"/>
        <v>46173</v>
      </c>
      <c r="I74" s="799">
        <f t="shared" si="11"/>
        <v>46173</v>
      </c>
      <c r="J74" s="799">
        <f t="shared" si="11"/>
        <v>46203</v>
      </c>
      <c r="K74" s="799">
        <f t="shared" si="11"/>
        <v>46173</v>
      </c>
      <c r="L74" s="799">
        <f t="shared" si="11"/>
        <v>46203</v>
      </c>
      <c r="M74" s="799">
        <f t="shared" si="11"/>
        <v>46173</v>
      </c>
      <c r="N74" s="799">
        <f t="shared" si="11"/>
        <v>46173</v>
      </c>
      <c r="O74" s="799">
        <f t="shared" si="11"/>
        <v>46203</v>
      </c>
      <c r="P74" s="799">
        <f t="shared" si="11"/>
        <v>46203</v>
      </c>
      <c r="Q74" s="799">
        <f t="shared" si="11"/>
        <v>46203</v>
      </c>
      <c r="T74" s="799">
        <f t="shared" ref="T74:Y74" si="12">T19</f>
        <v>46203</v>
      </c>
      <c r="U74" s="799">
        <f t="shared" si="12"/>
        <v>46173</v>
      </c>
      <c r="V74" s="799">
        <f t="shared" si="12"/>
        <v>46173</v>
      </c>
      <c r="W74" s="799">
        <f t="shared" si="12"/>
        <v>46173</v>
      </c>
      <c r="X74" s="799">
        <f t="shared" si="12"/>
        <v>46173</v>
      </c>
      <c r="Y74" s="799">
        <f t="shared" si="12"/>
        <v>46203</v>
      </c>
    </row>
    <row r="75" spans="2:25" ht="16.5" customHeight="1" outlineLevel="1">
      <c r="B75" s="735" t="s">
        <v>540</v>
      </c>
      <c r="C75" s="1355"/>
      <c r="D75" s="1356"/>
      <c r="E75" s="803"/>
      <c r="F75" s="803"/>
      <c r="G75" s="803"/>
      <c r="H75" s="803"/>
      <c r="I75" s="803"/>
      <c r="J75" s="803"/>
      <c r="K75" s="803"/>
      <c r="L75" s="803"/>
      <c r="M75" s="803"/>
      <c r="N75" s="803"/>
      <c r="O75" s="803"/>
      <c r="P75" s="803"/>
      <c r="Q75" s="803"/>
      <c r="T75" s="803"/>
      <c r="U75" s="803"/>
      <c r="V75" s="803"/>
      <c r="W75" s="803"/>
      <c r="X75" s="803"/>
      <c r="Y75" s="803"/>
    </row>
    <row r="76" spans="2:25" ht="16.5" hidden="1" customHeight="1" outlineLevel="1">
      <c r="B76" s="735"/>
      <c r="C76" s="751"/>
      <c r="T76" s="777"/>
      <c r="U76" s="777"/>
      <c r="V76" s="777"/>
      <c r="W76" s="777"/>
      <c r="X76" s="777"/>
      <c r="Y76" s="777"/>
    </row>
    <row r="77" spans="2:25" ht="16.5" hidden="1" customHeight="1" outlineLevel="1">
      <c r="B77" s="730" t="s">
        <v>544</v>
      </c>
      <c r="C77" s="742"/>
      <c r="D77" s="749"/>
      <c r="E77" s="750"/>
      <c r="F77" s="750"/>
      <c r="G77" s="750"/>
      <c r="H77" s="750"/>
      <c r="I77" s="750"/>
      <c r="J77" s="750"/>
      <c r="K77" s="750"/>
      <c r="L77" s="750"/>
      <c r="M77" s="750"/>
      <c r="N77" s="750"/>
      <c r="O77" s="750"/>
      <c r="P77" s="750"/>
      <c r="Q77" s="750"/>
      <c r="T77" s="953"/>
      <c r="U77" s="953"/>
      <c r="V77" s="953"/>
      <c r="W77" s="953"/>
      <c r="X77" s="953"/>
      <c r="Y77" s="953"/>
    </row>
    <row r="78" spans="2:25" ht="16.5" hidden="1" customHeight="1" outlineLevel="1">
      <c r="B78" s="735" t="s">
        <v>487</v>
      </c>
      <c r="E78" s="726" t="s">
        <v>545</v>
      </c>
      <c r="F78" s="726" t="s">
        <v>545</v>
      </c>
      <c r="G78" s="726" t="s">
        <v>545</v>
      </c>
      <c r="H78" s="726" t="s">
        <v>545</v>
      </c>
      <c r="I78" s="726" t="s">
        <v>545</v>
      </c>
      <c r="J78" s="726" t="s">
        <v>545</v>
      </c>
      <c r="K78" s="726" t="s">
        <v>545</v>
      </c>
      <c r="L78" s="726" t="s">
        <v>545</v>
      </c>
      <c r="M78" s="726" t="s">
        <v>545</v>
      </c>
      <c r="N78" s="726" t="s">
        <v>545</v>
      </c>
      <c r="O78" s="726" t="s">
        <v>545</v>
      </c>
      <c r="P78" s="726" t="s">
        <v>545</v>
      </c>
      <c r="Q78" s="726" t="s">
        <v>545</v>
      </c>
      <c r="T78" s="726" t="s">
        <v>545</v>
      </c>
      <c r="U78" s="726" t="s">
        <v>545</v>
      </c>
      <c r="V78" s="726" t="s">
        <v>545</v>
      </c>
      <c r="W78" s="726" t="s">
        <v>545</v>
      </c>
      <c r="X78" s="726" t="s">
        <v>545</v>
      </c>
      <c r="Y78" s="726" t="s">
        <v>545</v>
      </c>
    </row>
    <row r="79" spans="2:25" ht="16.5" hidden="1" customHeight="1" outlineLevel="1">
      <c r="B79" s="735" t="s">
        <v>528</v>
      </c>
      <c r="C79" s="724" t="s">
        <v>530</v>
      </c>
      <c r="D79" s="744" t="s">
        <v>531</v>
      </c>
      <c r="E79" s="752"/>
      <c r="F79" s="752"/>
      <c r="G79" s="752"/>
      <c r="H79" s="752"/>
      <c r="I79" s="752"/>
      <c r="J79" s="752"/>
      <c r="K79" s="752"/>
      <c r="L79" s="752"/>
      <c r="M79" s="752"/>
      <c r="N79" s="752"/>
      <c r="O79" s="752"/>
      <c r="P79" s="752"/>
      <c r="Q79" s="752"/>
      <c r="T79" s="752"/>
      <c r="U79" s="752"/>
      <c r="V79" s="752"/>
      <c r="W79" s="752"/>
      <c r="X79" s="752"/>
      <c r="Y79" s="752"/>
    </row>
    <row r="80" spans="2:25" ht="16.5" hidden="1" customHeight="1" outlineLevel="1">
      <c r="B80" s="735" t="s">
        <v>542</v>
      </c>
      <c r="C80" s="720" t="s">
        <v>533</v>
      </c>
      <c r="D80" s="721"/>
      <c r="E80" s="747">
        <v>1</v>
      </c>
      <c r="F80" s="747">
        <v>1</v>
      </c>
      <c r="G80" s="747">
        <v>1</v>
      </c>
      <c r="H80" s="747">
        <v>1</v>
      </c>
      <c r="I80" s="747">
        <v>1</v>
      </c>
      <c r="J80" s="747">
        <v>1</v>
      </c>
      <c r="K80" s="747">
        <v>1</v>
      </c>
      <c r="L80" s="747">
        <v>1</v>
      </c>
      <c r="M80" s="747">
        <v>1</v>
      </c>
      <c r="N80" s="747">
        <v>1</v>
      </c>
      <c r="O80" s="747">
        <v>1</v>
      </c>
      <c r="P80" s="747">
        <v>1</v>
      </c>
      <c r="Q80" s="747">
        <v>1</v>
      </c>
      <c r="T80" s="747">
        <v>1</v>
      </c>
      <c r="U80" s="747">
        <v>1</v>
      </c>
      <c r="V80" s="747">
        <v>1</v>
      </c>
      <c r="W80" s="747">
        <v>1</v>
      </c>
      <c r="X80" s="747">
        <v>1</v>
      </c>
      <c r="Y80" s="747">
        <v>1</v>
      </c>
    </row>
    <row r="81" spans="2:25" ht="16.5" hidden="1" customHeight="1" outlineLevel="1">
      <c r="B81" s="735" t="s">
        <v>534</v>
      </c>
      <c r="C81" s="720" t="s">
        <v>301</v>
      </c>
      <c r="D81" s="721" t="s">
        <v>546</v>
      </c>
      <c r="E81" s="722">
        <f>+'[6]입력 시트(0124)'!E80</f>
        <v>45901</v>
      </c>
      <c r="F81" s="722">
        <f>+'[6]입력 시트(0124)'!F80</f>
        <v>45901</v>
      </c>
      <c r="G81" s="722">
        <f>+'[6]입력 시트(0124)'!G80</f>
        <v>45901</v>
      </c>
      <c r="H81" s="722">
        <f>+'[6]입력 시트(0124)'!H80</f>
        <v>45901</v>
      </c>
      <c r="I81" s="722">
        <f>+'[6]입력 시트(0124)'!I80</f>
        <v>45931</v>
      </c>
      <c r="J81" s="722">
        <f>+'[6]입력 시트(0124)'!F80</f>
        <v>45901</v>
      </c>
      <c r="K81" s="722">
        <f>+'[6]입력 시트(0124)'!G80</f>
        <v>45901</v>
      </c>
      <c r="L81" s="722">
        <f>+'[6]입력 시트(0124)'!H80</f>
        <v>45901</v>
      </c>
      <c r="M81" s="722">
        <f>+'[6]입력 시트(0124)'!I80</f>
        <v>45931</v>
      </c>
      <c r="N81" s="722" t="e">
        <f>+'[6]입력 시트(0124)'!N80</f>
        <v>#REF!</v>
      </c>
      <c r="O81" s="722" t="e">
        <f>+'[6]입력 시트(0124)'!O80</f>
        <v>#REF!</v>
      </c>
      <c r="P81" s="722" t="e">
        <f>+'[6]입력 시트(0124)'!P80</f>
        <v>#REF!</v>
      </c>
      <c r="Q81" s="722" t="e">
        <f>+'[6]입력 시트(0124)'!Q80</f>
        <v>#REF!</v>
      </c>
      <c r="T81" s="722" t="e">
        <f>+'[6]입력 시트(0124)'!T80</f>
        <v>#REF!</v>
      </c>
      <c r="U81" s="722" t="e">
        <f>+'[6]입력 시트(0124)'!U80</f>
        <v>#REF!</v>
      </c>
      <c r="V81" s="722" t="e">
        <f>+'[6]입력 시트(0124)'!V80</f>
        <v>#REF!</v>
      </c>
      <c r="W81" s="722" t="e">
        <f>+'[6]입력 시트(0124)'!W80</f>
        <v>#REF!</v>
      </c>
      <c r="X81" s="722" t="e">
        <f>+'[6]입력 시트(0124)'!X80</f>
        <v>#REF!</v>
      </c>
      <c r="Y81" s="722" t="e">
        <f>+'[6]입력 시트(0124)'!U80</f>
        <v>#REF!</v>
      </c>
    </row>
    <row r="82" spans="2:25" ht="16.5" hidden="1" customHeight="1" outlineLevel="1">
      <c r="B82" s="735" t="s">
        <v>536</v>
      </c>
      <c r="C82" s="720" t="s">
        <v>309</v>
      </c>
      <c r="D82" s="721" t="s">
        <v>537</v>
      </c>
      <c r="E82" s="722" t="str">
        <f>+'[6]입력 시트(0124)'!E81</f>
        <v>CPI</v>
      </c>
      <c r="F82" s="722" t="str">
        <f>+'[6]입력 시트(0124)'!F81</f>
        <v>CPI</v>
      </c>
      <c r="G82" s="722" t="str">
        <f>+'[6]입력 시트(0124)'!G81</f>
        <v>CPI</v>
      </c>
      <c r="H82" s="722" t="str">
        <f>+'[6]입력 시트(0124)'!H81</f>
        <v>CPI</v>
      </c>
      <c r="I82" s="722" t="str">
        <f>+'[6]입력 시트(0124)'!I81</f>
        <v>CPI</v>
      </c>
      <c r="J82" s="722" t="str">
        <f>+'[6]입력 시트(0124)'!F81</f>
        <v>CPI</v>
      </c>
      <c r="K82" s="722" t="str">
        <f>+'[6]입력 시트(0124)'!G81</f>
        <v>CPI</v>
      </c>
      <c r="L82" s="722" t="str">
        <f>+'[6]입력 시트(0124)'!H81</f>
        <v>CPI</v>
      </c>
      <c r="M82" s="722" t="str">
        <f>+'[6]입력 시트(0124)'!I81</f>
        <v>CPI</v>
      </c>
      <c r="N82" s="722" t="e">
        <f>+'[6]입력 시트(0124)'!N81</f>
        <v>#REF!</v>
      </c>
      <c r="O82" s="722" t="e">
        <f>+'[6]입력 시트(0124)'!O81</f>
        <v>#REF!</v>
      </c>
      <c r="P82" s="722" t="e">
        <f>+'[6]입력 시트(0124)'!P81</f>
        <v>#REF!</v>
      </c>
      <c r="Q82" s="722" t="e">
        <f>+'[6]입력 시트(0124)'!Q81</f>
        <v>#REF!</v>
      </c>
      <c r="T82" s="722" t="e">
        <f>+'[6]입력 시트(0124)'!T81</f>
        <v>#REF!</v>
      </c>
      <c r="U82" s="722" t="e">
        <f>+'[6]입력 시트(0124)'!U81</f>
        <v>#REF!</v>
      </c>
      <c r="V82" s="722" t="e">
        <f>+'[6]입력 시트(0124)'!V81</f>
        <v>#REF!</v>
      </c>
      <c r="W82" s="722" t="e">
        <f>+'[6]입력 시트(0124)'!W81</f>
        <v>#REF!</v>
      </c>
      <c r="X82" s="722" t="e">
        <f>+'[6]입력 시트(0124)'!X81</f>
        <v>#REF!</v>
      </c>
      <c r="Y82" s="722" t="e">
        <f>+'[6]입력 시트(0124)'!U81</f>
        <v>#REF!</v>
      </c>
    </row>
    <row r="83" spans="2:25" ht="16.5" hidden="1" customHeight="1" outlineLevel="1">
      <c r="B83" s="735" t="s">
        <v>539</v>
      </c>
      <c r="C83" s="720" t="s">
        <v>301</v>
      </c>
      <c r="D83" s="721"/>
      <c r="E83" s="722">
        <f>+'[6]입력 시트(0124)'!E82</f>
        <v>45901</v>
      </c>
      <c r="F83" s="722">
        <f>+'[6]입력 시트(0124)'!F82</f>
        <v>45901</v>
      </c>
      <c r="G83" s="722">
        <f>+'[6]입력 시트(0124)'!G82</f>
        <v>45901</v>
      </c>
      <c r="H83" s="722">
        <f>+'[6]입력 시트(0124)'!H82</f>
        <v>45901</v>
      </c>
      <c r="I83" s="722">
        <f>+'[6]입력 시트(0124)'!I82</f>
        <v>45931</v>
      </c>
      <c r="J83" s="722">
        <f>+'[6]입력 시트(0124)'!F82</f>
        <v>45901</v>
      </c>
      <c r="K83" s="722">
        <f>+'[6]입력 시트(0124)'!G82</f>
        <v>45901</v>
      </c>
      <c r="L83" s="722">
        <f>+'[6]입력 시트(0124)'!H82</f>
        <v>45901</v>
      </c>
      <c r="M83" s="722">
        <f>+'[6]입력 시트(0124)'!I82</f>
        <v>45931</v>
      </c>
      <c r="N83" s="722" t="e">
        <f>+'[6]입력 시트(0124)'!N82</f>
        <v>#REF!</v>
      </c>
      <c r="O83" s="722" t="e">
        <f>+'[6]입력 시트(0124)'!O82</f>
        <v>#REF!</v>
      </c>
      <c r="P83" s="722" t="e">
        <f>+'[6]입력 시트(0124)'!P82</f>
        <v>#REF!</v>
      </c>
      <c r="Q83" s="722" t="e">
        <f>+'[6]입력 시트(0124)'!Q82</f>
        <v>#REF!</v>
      </c>
      <c r="T83" s="722" t="e">
        <f>+'[6]입력 시트(0124)'!T82</f>
        <v>#REF!</v>
      </c>
      <c r="U83" s="722" t="e">
        <f>+'[6]입력 시트(0124)'!U82</f>
        <v>#REF!</v>
      </c>
      <c r="V83" s="722" t="e">
        <f>+'[6]입력 시트(0124)'!V82</f>
        <v>#REF!</v>
      </c>
      <c r="W83" s="722" t="e">
        <f>+'[6]입력 시트(0124)'!W82</f>
        <v>#REF!</v>
      </c>
      <c r="X83" s="722" t="e">
        <f>+'[6]입력 시트(0124)'!X82</f>
        <v>#REF!</v>
      </c>
      <c r="Y83" s="722" t="e">
        <f>+'[6]입력 시트(0124)'!U82</f>
        <v>#REF!</v>
      </c>
    </row>
    <row r="84" spans="2:25" ht="16.5" hidden="1" customHeight="1" outlineLevel="1">
      <c r="B84" s="735" t="s">
        <v>540</v>
      </c>
      <c r="C84" s="1355" t="s">
        <v>547</v>
      </c>
      <c r="D84" s="1356"/>
      <c r="E84" s="728"/>
      <c r="F84" s="728"/>
      <c r="G84" s="728"/>
      <c r="H84" s="728"/>
      <c r="I84" s="728"/>
      <c r="J84" s="728"/>
      <c r="K84" s="728"/>
      <c r="L84" s="728"/>
      <c r="M84" s="728"/>
      <c r="N84" s="728"/>
      <c r="O84" s="728"/>
      <c r="P84" s="728"/>
      <c r="Q84" s="728"/>
      <c r="T84" s="728"/>
      <c r="U84" s="728"/>
      <c r="V84" s="728"/>
      <c r="W84" s="728"/>
      <c r="X84" s="728"/>
      <c r="Y84" s="728"/>
    </row>
    <row r="85" spans="2:25" ht="16.5" customHeight="1" outlineLevel="1">
      <c r="B85" s="735"/>
      <c r="T85" s="777"/>
      <c r="U85" s="777"/>
      <c r="V85" s="777"/>
      <c r="W85" s="777"/>
      <c r="X85" s="777"/>
      <c r="Y85" s="777"/>
    </row>
    <row r="86" spans="2:25" ht="16.5" customHeight="1" outlineLevel="1">
      <c r="B86" s="730" t="s">
        <v>548</v>
      </c>
      <c r="C86" s="742"/>
      <c r="D86" s="749"/>
      <c r="E86" s="750"/>
      <c r="F86" s="750"/>
      <c r="G86" s="750"/>
      <c r="H86" s="750"/>
      <c r="I86" s="750"/>
      <c r="J86" s="750"/>
      <c r="K86" s="750"/>
      <c r="L86" s="750"/>
      <c r="M86" s="750"/>
      <c r="N86" s="750"/>
      <c r="O86" s="750"/>
      <c r="P86" s="750"/>
      <c r="Q86" s="750"/>
      <c r="T86" s="953"/>
      <c r="U86" s="953"/>
      <c r="V86" s="953"/>
      <c r="W86" s="953"/>
      <c r="X86" s="953"/>
      <c r="Y86" s="953"/>
    </row>
    <row r="87" spans="2:25" ht="16.5" customHeight="1" outlineLevel="1">
      <c r="B87" s="735" t="s">
        <v>487</v>
      </c>
      <c r="E87" s="801"/>
      <c r="F87" s="801"/>
      <c r="G87" s="801"/>
      <c r="H87" s="801"/>
      <c r="I87" s="801"/>
      <c r="J87" s="801"/>
      <c r="K87" s="801"/>
      <c r="L87" s="801"/>
      <c r="M87" s="801"/>
      <c r="N87" s="801"/>
      <c r="O87" s="801"/>
      <c r="P87" s="801"/>
      <c r="Q87" s="801"/>
      <c r="T87" s="801"/>
      <c r="U87" s="801"/>
      <c r="V87" s="801"/>
      <c r="W87" s="801"/>
      <c r="X87" s="801"/>
      <c r="Y87" s="801"/>
    </row>
    <row r="88" spans="2:25" ht="16.5" customHeight="1" outlineLevel="1">
      <c r="B88" s="735" t="s">
        <v>528</v>
      </c>
      <c r="C88" s="724" t="s">
        <v>530</v>
      </c>
      <c r="D88" s="813" t="s">
        <v>531</v>
      </c>
      <c r="E88" s="814">
        <f>+'Input 기초'!F73</f>
        <v>2124746</v>
      </c>
      <c r="F88" s="814">
        <f>+'Input 기초'!G73</f>
        <v>625794</v>
      </c>
      <c r="G88" s="814">
        <f>+'Input 기초'!H73</f>
        <v>1004224.0000000001</v>
      </c>
      <c r="H88" s="814">
        <f>+'Input 기초'!I73</f>
        <v>546000</v>
      </c>
      <c r="I88" s="814">
        <f>+'Input 기초'!J73</f>
        <v>317200</v>
      </c>
      <c r="J88" s="814">
        <f>+'Input 기초'!K73</f>
        <v>1138800</v>
      </c>
      <c r="K88" s="814">
        <f>+'Input 기초'!L73</f>
        <v>444600.00000000006</v>
      </c>
      <c r="L88" s="814">
        <f>+'Input 기초'!M73</f>
        <v>1370200</v>
      </c>
      <c r="M88" s="814">
        <f>+'Input 기초'!N73</f>
        <v>608400</v>
      </c>
      <c r="N88" s="814">
        <f>+'Input 기초'!O73</f>
        <v>1300000</v>
      </c>
      <c r="O88" s="814">
        <f>+'Input 기초'!P73</f>
        <v>330200</v>
      </c>
      <c r="P88" s="814">
        <f>+'Input 기초'!Q73</f>
        <v>418600</v>
      </c>
      <c r="Q88" s="814">
        <f>+'Input 기초'!R73</f>
        <v>699400</v>
      </c>
      <c r="T88" s="814">
        <f>+'Input 기초'!U73</f>
        <v>0</v>
      </c>
      <c r="U88" s="814">
        <f>+'Input 기초'!V73</f>
        <v>0</v>
      </c>
      <c r="V88" s="814">
        <f>+'Input 기초'!W73</f>
        <v>0</v>
      </c>
      <c r="W88" s="814">
        <f>+'Input 기초'!X73</f>
        <v>0</v>
      </c>
      <c r="X88" s="814">
        <f>+'Input 기초'!Y73</f>
        <v>0</v>
      </c>
      <c r="Y88" s="814">
        <f>+'Input 기초'!Z73</f>
        <v>0</v>
      </c>
    </row>
    <row r="89" spans="2:25" ht="16.5" customHeight="1" outlineLevel="1">
      <c r="B89" s="735" t="s">
        <v>542</v>
      </c>
      <c r="C89" s="720" t="s">
        <v>533</v>
      </c>
      <c r="D89" s="721"/>
      <c r="E89" s="815">
        <v>1</v>
      </c>
      <c r="F89" s="815">
        <v>1</v>
      </c>
      <c r="G89" s="815">
        <v>1</v>
      </c>
      <c r="H89" s="815">
        <v>1</v>
      </c>
      <c r="I89" s="815">
        <v>1</v>
      </c>
      <c r="J89" s="815">
        <v>1</v>
      </c>
      <c r="K89" s="815">
        <v>1</v>
      </c>
      <c r="L89" s="815">
        <v>1</v>
      </c>
      <c r="M89" s="815">
        <v>1</v>
      </c>
      <c r="N89" s="815">
        <v>1</v>
      </c>
      <c r="O89" s="815">
        <v>1</v>
      </c>
      <c r="P89" s="815">
        <v>1</v>
      </c>
      <c r="Q89" s="815">
        <v>1</v>
      </c>
      <c r="T89" s="815">
        <v>1</v>
      </c>
      <c r="U89" s="815">
        <v>1</v>
      </c>
      <c r="V89" s="815">
        <v>1</v>
      </c>
      <c r="W89" s="815">
        <v>1</v>
      </c>
      <c r="X89" s="815">
        <v>1</v>
      </c>
      <c r="Y89" s="815">
        <v>1</v>
      </c>
    </row>
    <row r="90" spans="2:25" ht="16.5" customHeight="1" outlineLevel="1">
      <c r="B90" s="735" t="s">
        <v>534</v>
      </c>
      <c r="C90" s="720" t="s">
        <v>301</v>
      </c>
      <c r="D90" s="721" t="s">
        <v>535</v>
      </c>
      <c r="E90" s="799">
        <v>46112</v>
      </c>
      <c r="F90" s="799">
        <v>46112</v>
      </c>
      <c r="G90" s="799">
        <v>46112</v>
      </c>
      <c r="H90" s="799">
        <v>46112</v>
      </c>
      <c r="I90" s="799">
        <v>46112</v>
      </c>
      <c r="J90" s="799">
        <v>46112</v>
      </c>
      <c r="K90" s="799">
        <v>46112</v>
      </c>
      <c r="L90" s="799">
        <v>46112</v>
      </c>
      <c r="M90" s="799">
        <v>46112</v>
      </c>
      <c r="N90" s="799">
        <v>46112</v>
      </c>
      <c r="O90" s="799">
        <v>46112</v>
      </c>
      <c r="P90" s="799">
        <v>46112</v>
      </c>
      <c r="Q90" s="799">
        <v>46112</v>
      </c>
      <c r="T90" s="799">
        <v>46112</v>
      </c>
      <c r="U90" s="799">
        <v>46112</v>
      </c>
      <c r="V90" s="799">
        <v>46112</v>
      </c>
      <c r="W90" s="799">
        <v>46112</v>
      </c>
      <c r="X90" s="799">
        <v>46112</v>
      </c>
      <c r="Y90" s="799">
        <v>46112</v>
      </c>
    </row>
    <row r="91" spans="2:25" ht="16.5" customHeight="1" outlineLevel="1">
      <c r="B91" s="735" t="s">
        <v>536</v>
      </c>
      <c r="C91" s="720" t="s">
        <v>309</v>
      </c>
      <c r="D91" s="721" t="s">
        <v>537</v>
      </c>
      <c r="E91" s="799" t="str">
        <f>+'[6]입력 시트(0124)'!E90</f>
        <v>CPI</v>
      </c>
      <c r="F91" s="799" t="s">
        <v>538</v>
      </c>
      <c r="G91" s="799" t="s">
        <v>538</v>
      </c>
      <c r="H91" s="799" t="s">
        <v>538</v>
      </c>
      <c r="I91" s="799" t="s">
        <v>538</v>
      </c>
      <c r="J91" s="799" t="s">
        <v>538</v>
      </c>
      <c r="K91" s="799" t="s">
        <v>538</v>
      </c>
      <c r="L91" s="799" t="s">
        <v>538</v>
      </c>
      <c r="M91" s="799" t="s">
        <v>538</v>
      </c>
      <c r="N91" s="799" t="s">
        <v>538</v>
      </c>
      <c r="O91" s="799" t="s">
        <v>538</v>
      </c>
      <c r="P91" s="799" t="s">
        <v>538</v>
      </c>
      <c r="Q91" s="799" t="s">
        <v>538</v>
      </c>
      <c r="T91" s="799" t="e">
        <f>+'[6]입력 시트(0124)'!T90</f>
        <v>#REF!</v>
      </c>
      <c r="U91" s="799" t="s">
        <v>538</v>
      </c>
      <c r="V91" s="799" t="s">
        <v>538</v>
      </c>
      <c r="W91" s="799" t="s">
        <v>538</v>
      </c>
      <c r="X91" s="799" t="s">
        <v>538</v>
      </c>
      <c r="Y91" s="799" t="s">
        <v>538</v>
      </c>
    </row>
    <row r="92" spans="2:25" ht="16.5" customHeight="1" outlineLevel="1">
      <c r="B92" s="735" t="s">
        <v>539</v>
      </c>
      <c r="C92" s="720" t="s">
        <v>301</v>
      </c>
      <c r="D92" s="721"/>
      <c r="E92" s="799">
        <f t="shared" ref="E92:Q92" si="13">E19</f>
        <v>46203</v>
      </c>
      <c r="F92" s="799">
        <f t="shared" si="13"/>
        <v>46173</v>
      </c>
      <c r="G92" s="799">
        <f t="shared" si="13"/>
        <v>46173</v>
      </c>
      <c r="H92" s="799">
        <f t="shared" si="13"/>
        <v>46173</v>
      </c>
      <c r="I92" s="799">
        <f t="shared" si="13"/>
        <v>46173</v>
      </c>
      <c r="J92" s="799">
        <f t="shared" si="13"/>
        <v>46203</v>
      </c>
      <c r="K92" s="799">
        <f t="shared" si="13"/>
        <v>46173</v>
      </c>
      <c r="L92" s="799">
        <f t="shared" si="13"/>
        <v>46203</v>
      </c>
      <c r="M92" s="799">
        <f t="shared" si="13"/>
        <v>46173</v>
      </c>
      <c r="N92" s="799">
        <f t="shared" si="13"/>
        <v>46173</v>
      </c>
      <c r="O92" s="799">
        <f t="shared" si="13"/>
        <v>46203</v>
      </c>
      <c r="P92" s="799">
        <f t="shared" si="13"/>
        <v>46203</v>
      </c>
      <c r="Q92" s="799">
        <f t="shared" si="13"/>
        <v>46203</v>
      </c>
      <c r="T92" s="799">
        <f t="shared" ref="T92:Y92" si="14">T19</f>
        <v>46203</v>
      </c>
      <c r="U92" s="799">
        <f t="shared" si="14"/>
        <v>46173</v>
      </c>
      <c r="V92" s="799">
        <f t="shared" si="14"/>
        <v>46173</v>
      </c>
      <c r="W92" s="799">
        <f t="shared" si="14"/>
        <v>46173</v>
      </c>
      <c r="X92" s="799">
        <f t="shared" si="14"/>
        <v>46173</v>
      </c>
      <c r="Y92" s="799">
        <f t="shared" si="14"/>
        <v>46203</v>
      </c>
    </row>
    <row r="93" spans="2:25" ht="16.5" customHeight="1" outlineLevel="1">
      <c r="B93" s="735" t="s">
        <v>540</v>
      </c>
      <c r="C93" s="1355" t="s">
        <v>549</v>
      </c>
      <c r="D93" s="1356"/>
      <c r="E93" s="803"/>
      <c r="F93" s="803"/>
      <c r="G93" s="803"/>
      <c r="H93" s="803"/>
      <c r="I93" s="803"/>
      <c r="J93" s="803"/>
      <c r="K93" s="803"/>
      <c r="L93" s="803"/>
      <c r="M93" s="803"/>
      <c r="N93" s="803"/>
      <c r="O93" s="803"/>
      <c r="P93" s="803"/>
      <c r="Q93" s="803"/>
      <c r="T93" s="803"/>
      <c r="U93" s="803"/>
      <c r="V93" s="803"/>
      <c r="W93" s="803"/>
      <c r="X93" s="803"/>
      <c r="Y93" s="803"/>
    </row>
    <row r="94" spans="2:25" ht="16.5" customHeight="1" outlineLevel="1">
      <c r="B94" s="735"/>
      <c r="T94" s="777"/>
      <c r="U94" s="777"/>
      <c r="V94" s="777"/>
      <c r="W94" s="777"/>
      <c r="X94" s="777"/>
      <c r="Y94" s="777"/>
    </row>
    <row r="95" spans="2:25" ht="16.5" hidden="1" customHeight="1" outlineLevel="1">
      <c r="B95" s="730" t="s">
        <v>550</v>
      </c>
      <c r="C95" s="742"/>
      <c r="D95" s="749"/>
      <c r="E95" s="750"/>
      <c r="F95" s="750"/>
      <c r="G95" s="750"/>
      <c r="H95" s="750"/>
      <c r="I95" s="750"/>
      <c r="J95" s="750"/>
      <c r="K95" s="750"/>
      <c r="L95" s="750"/>
      <c r="M95" s="750"/>
      <c r="N95" s="750"/>
      <c r="O95" s="750"/>
      <c r="P95" s="750"/>
      <c r="Q95" s="750"/>
      <c r="T95" s="953"/>
      <c r="U95" s="953"/>
      <c r="V95" s="953"/>
      <c r="W95" s="953"/>
      <c r="X95" s="953"/>
      <c r="Y95" s="953"/>
    </row>
    <row r="96" spans="2:25" ht="16.5" hidden="1" customHeight="1" outlineLevel="1">
      <c r="B96" s="735" t="s">
        <v>487</v>
      </c>
      <c r="E96" s="726"/>
      <c r="F96" s="726"/>
      <c r="G96" s="726"/>
      <c r="H96" s="726"/>
      <c r="I96" s="726"/>
      <c r="J96" s="726"/>
      <c r="K96" s="726"/>
      <c r="L96" s="726"/>
      <c r="M96" s="726"/>
      <c r="N96" s="726"/>
      <c r="O96" s="726"/>
      <c r="P96" s="726"/>
      <c r="Q96" s="726"/>
      <c r="T96" s="726"/>
      <c r="U96" s="726"/>
      <c r="V96" s="726"/>
      <c r="W96" s="726"/>
      <c r="X96" s="726"/>
      <c r="Y96" s="726"/>
    </row>
    <row r="97" spans="2:25" ht="16.5" hidden="1" customHeight="1" outlineLevel="1">
      <c r="B97" s="735" t="s">
        <v>528</v>
      </c>
      <c r="C97" s="724" t="s">
        <v>530</v>
      </c>
      <c r="D97" s="744" t="s">
        <v>551</v>
      </c>
      <c r="E97" s="753" t="s">
        <v>552</v>
      </c>
      <c r="F97" s="753" t="s">
        <v>552</v>
      </c>
      <c r="G97" s="753" t="s">
        <v>552</v>
      </c>
      <c r="H97" s="753" t="s">
        <v>552</v>
      </c>
      <c r="I97" s="753" t="s">
        <v>552</v>
      </c>
      <c r="J97" s="753" t="s">
        <v>552</v>
      </c>
      <c r="K97" s="753" t="s">
        <v>552</v>
      </c>
      <c r="L97" s="753" t="s">
        <v>552</v>
      </c>
      <c r="M97" s="753" t="s">
        <v>552</v>
      </c>
      <c r="N97" s="753" t="s">
        <v>552</v>
      </c>
      <c r="O97" s="753" t="s">
        <v>552</v>
      </c>
      <c r="P97" s="753" t="s">
        <v>552</v>
      </c>
      <c r="Q97" s="753" t="s">
        <v>552</v>
      </c>
      <c r="T97" s="753" t="s">
        <v>552</v>
      </c>
      <c r="U97" s="753" t="s">
        <v>552</v>
      </c>
      <c r="V97" s="753" t="s">
        <v>552</v>
      </c>
      <c r="W97" s="753" t="s">
        <v>552</v>
      </c>
      <c r="X97" s="753" t="s">
        <v>552</v>
      </c>
      <c r="Y97" s="753" t="s">
        <v>552</v>
      </c>
    </row>
    <row r="98" spans="2:25" ht="16.5" hidden="1" customHeight="1" outlineLevel="1">
      <c r="B98" s="735" t="s">
        <v>542</v>
      </c>
      <c r="C98" s="720" t="s">
        <v>533</v>
      </c>
      <c r="D98" s="721"/>
      <c r="E98" s="747" t="s">
        <v>67</v>
      </c>
      <c r="F98" s="747" t="s">
        <v>67</v>
      </c>
      <c r="G98" s="747" t="s">
        <v>67</v>
      </c>
      <c r="H98" s="747" t="s">
        <v>67</v>
      </c>
      <c r="I98" s="747" t="s">
        <v>67</v>
      </c>
      <c r="J98" s="747" t="s">
        <v>67</v>
      </c>
      <c r="K98" s="747" t="s">
        <v>67</v>
      </c>
      <c r="L98" s="747" t="s">
        <v>67</v>
      </c>
      <c r="M98" s="747" t="s">
        <v>67</v>
      </c>
      <c r="N98" s="747" t="s">
        <v>67</v>
      </c>
      <c r="O98" s="747" t="s">
        <v>67</v>
      </c>
      <c r="P98" s="747" t="s">
        <v>67</v>
      </c>
      <c r="Q98" s="747" t="s">
        <v>67</v>
      </c>
      <c r="T98" s="747" t="s">
        <v>67</v>
      </c>
      <c r="U98" s="747" t="s">
        <v>67</v>
      </c>
      <c r="V98" s="747" t="s">
        <v>67</v>
      </c>
      <c r="W98" s="747" t="s">
        <v>67</v>
      </c>
      <c r="X98" s="747" t="s">
        <v>67</v>
      </c>
      <c r="Y98" s="747" t="s">
        <v>67</v>
      </c>
    </row>
    <row r="99" spans="2:25" ht="16.5" hidden="1" customHeight="1" outlineLevel="1">
      <c r="B99" s="735" t="s">
        <v>534</v>
      </c>
      <c r="C99" s="720" t="s">
        <v>301</v>
      </c>
      <c r="D99" s="721" t="s">
        <v>546</v>
      </c>
      <c r="E99" s="722">
        <f>+EDATE(E16,-25)</f>
        <v>45200</v>
      </c>
      <c r="F99" s="722">
        <f t="shared" ref="F99:M99" si="15">+EDATE(F16,-25)</f>
        <v>45200</v>
      </c>
      <c r="G99" s="722">
        <f t="shared" si="15"/>
        <v>45200</v>
      </c>
      <c r="H99" s="722">
        <f t="shared" si="15"/>
        <v>45200</v>
      </c>
      <c r="I99" s="722">
        <f t="shared" si="15"/>
        <v>45200</v>
      </c>
      <c r="J99" s="722">
        <f t="shared" si="15"/>
        <v>45260</v>
      </c>
      <c r="K99" s="722">
        <f t="shared" si="15"/>
        <v>45200</v>
      </c>
      <c r="L99" s="722">
        <f t="shared" si="15"/>
        <v>45260</v>
      </c>
      <c r="M99" s="722">
        <f t="shared" si="15"/>
        <v>45200</v>
      </c>
      <c r="N99" s="722">
        <f>+EDATE(N16,-25)</f>
        <v>45200</v>
      </c>
      <c r="O99" s="722">
        <f>+EDATE(O16,-25)</f>
        <v>45260</v>
      </c>
      <c r="P99" s="722">
        <f>+EDATE(P16,-25)</f>
        <v>45260</v>
      </c>
      <c r="Q99" s="722">
        <f>+EDATE(Q16,-25)</f>
        <v>45260</v>
      </c>
      <c r="T99" s="722">
        <f t="shared" ref="T99:Y99" si="16">+EDATE(T16,-25)</f>
        <v>45200</v>
      </c>
      <c r="U99" s="722">
        <f t="shared" si="16"/>
        <v>45200</v>
      </c>
      <c r="V99" s="722">
        <f t="shared" si="16"/>
        <v>45200</v>
      </c>
      <c r="W99" s="722">
        <f t="shared" si="16"/>
        <v>45200</v>
      </c>
      <c r="X99" s="722">
        <f t="shared" si="16"/>
        <v>45200</v>
      </c>
      <c r="Y99" s="722">
        <f t="shared" si="16"/>
        <v>45260</v>
      </c>
    </row>
    <row r="100" spans="2:25" ht="16.5" hidden="1" customHeight="1" outlineLevel="1">
      <c r="B100" s="735" t="s">
        <v>553</v>
      </c>
      <c r="C100" s="720" t="s">
        <v>309</v>
      </c>
      <c r="D100" s="721" t="s">
        <v>537</v>
      </c>
      <c r="E100" s="722" t="str">
        <f>+'[6]입력 시트(0124)'!E99</f>
        <v>N/A</v>
      </c>
      <c r="F100" s="722" t="str">
        <f>+'[6]입력 시트(0124)'!F99</f>
        <v>N/A</v>
      </c>
      <c r="G100" s="722" t="str">
        <f>+'[6]입력 시트(0124)'!G99</f>
        <v>N/A</v>
      </c>
      <c r="H100" s="722" t="str">
        <f>+'[6]입력 시트(0124)'!H99</f>
        <v>N/A</v>
      </c>
      <c r="I100" s="722" t="str">
        <f>+'[6]입력 시트(0124)'!I99</f>
        <v>N/A</v>
      </c>
      <c r="J100" s="722" t="s">
        <v>554</v>
      </c>
      <c r="K100" s="722" t="s">
        <v>554</v>
      </c>
      <c r="L100" s="722" t="s">
        <v>554</v>
      </c>
      <c r="M100" s="722" t="s">
        <v>554</v>
      </c>
      <c r="N100" s="722" t="e">
        <f>+'[6]입력 시트(0124)'!N99</f>
        <v>#REF!</v>
      </c>
      <c r="O100" s="722" t="e">
        <f>+'[6]입력 시트(0124)'!O99</f>
        <v>#REF!</v>
      </c>
      <c r="P100" s="722" t="e">
        <f>+'[6]입력 시트(0124)'!P99</f>
        <v>#REF!</v>
      </c>
      <c r="Q100" s="722" t="e">
        <f>+'[6]입력 시트(0124)'!Q99</f>
        <v>#REF!</v>
      </c>
      <c r="T100" s="722" t="e">
        <f>+'[6]입력 시트(0124)'!T99</f>
        <v>#REF!</v>
      </c>
      <c r="U100" s="722" t="e">
        <f>+'[6]입력 시트(0124)'!U99</f>
        <v>#REF!</v>
      </c>
      <c r="V100" s="722" t="e">
        <f>+'[6]입력 시트(0124)'!V99</f>
        <v>#REF!</v>
      </c>
      <c r="W100" s="722" t="e">
        <f>+'[6]입력 시트(0124)'!W99</f>
        <v>#REF!</v>
      </c>
      <c r="X100" s="722" t="e">
        <f>+'[6]입력 시트(0124)'!X99</f>
        <v>#REF!</v>
      </c>
      <c r="Y100" s="722" t="s">
        <v>554</v>
      </c>
    </row>
    <row r="101" spans="2:25" ht="16.5" hidden="1" customHeight="1" outlineLevel="1">
      <c r="B101" s="735" t="s">
        <v>539</v>
      </c>
      <c r="C101" s="720" t="s">
        <v>301</v>
      </c>
      <c r="D101" s="721"/>
      <c r="E101" s="722">
        <f>+'[6]입력 시트(0124)'!E100</f>
        <v>45901</v>
      </c>
      <c r="F101" s="722">
        <f>+'[6]입력 시트(0124)'!F100</f>
        <v>45901</v>
      </c>
      <c r="G101" s="722">
        <f>+'[6]입력 시트(0124)'!G100</f>
        <v>45901</v>
      </c>
      <c r="H101" s="722">
        <f>+'[6]입력 시트(0124)'!H100</f>
        <v>45901</v>
      </c>
      <c r="I101" s="722">
        <f>+'[6]입력 시트(0124)'!I100</f>
        <v>45931</v>
      </c>
      <c r="J101" s="722" t="e">
        <f>+'[6]입력 시트(0124)'!J100</f>
        <v>#REF!</v>
      </c>
      <c r="K101" s="722" t="e">
        <f>+'[6]입력 시트(0124)'!K100</f>
        <v>#REF!</v>
      </c>
      <c r="L101" s="722" t="e">
        <f>+'[6]입력 시트(0124)'!L100</f>
        <v>#REF!</v>
      </c>
      <c r="M101" s="722" t="e">
        <f>+'[6]입력 시트(0124)'!M100</f>
        <v>#REF!</v>
      </c>
      <c r="N101" s="722" t="e">
        <f>+'[6]입력 시트(0124)'!N100</f>
        <v>#REF!</v>
      </c>
      <c r="O101" s="722" t="e">
        <f>+'[6]입력 시트(0124)'!O100</f>
        <v>#REF!</v>
      </c>
      <c r="P101" s="722" t="e">
        <f>+'[6]입력 시트(0124)'!P100</f>
        <v>#REF!</v>
      </c>
      <c r="Q101" s="722" t="e">
        <f>+'[6]입력 시트(0124)'!Q100</f>
        <v>#REF!</v>
      </c>
      <c r="T101" s="722" t="e">
        <f>+'[6]입력 시트(0124)'!T100</f>
        <v>#REF!</v>
      </c>
      <c r="U101" s="722" t="e">
        <f>+'[6]입력 시트(0124)'!U100</f>
        <v>#REF!</v>
      </c>
      <c r="V101" s="722" t="e">
        <f>+'[6]입력 시트(0124)'!V100</f>
        <v>#REF!</v>
      </c>
      <c r="W101" s="722" t="e">
        <f>+'[6]입력 시트(0124)'!W100</f>
        <v>#REF!</v>
      </c>
      <c r="X101" s="722" t="e">
        <f>+'[6]입력 시트(0124)'!X100</f>
        <v>#REF!</v>
      </c>
      <c r="Y101" s="722" t="e">
        <f>+'[6]입력 시트(0124)'!Y100</f>
        <v>#REF!</v>
      </c>
    </row>
    <row r="102" spans="2:25" ht="16.5" hidden="1" customHeight="1" outlineLevel="1">
      <c r="B102" s="735" t="s">
        <v>540</v>
      </c>
      <c r="C102" s="1355" t="s">
        <v>547</v>
      </c>
      <c r="D102" s="1356"/>
      <c r="E102" s="728"/>
      <c r="F102" s="728"/>
      <c r="G102" s="728"/>
      <c r="H102" s="728"/>
      <c r="I102" s="728"/>
      <c r="J102" s="728"/>
      <c r="K102" s="728"/>
      <c r="L102" s="728"/>
      <c r="M102" s="728"/>
      <c r="N102" s="728"/>
      <c r="O102" s="728"/>
      <c r="P102" s="728"/>
      <c r="Q102" s="728"/>
      <c r="T102" s="728"/>
      <c r="U102" s="728"/>
      <c r="V102" s="728"/>
      <c r="W102" s="728"/>
      <c r="X102" s="728"/>
      <c r="Y102" s="728"/>
    </row>
    <row r="103" spans="2:25" ht="16.5" hidden="1" customHeight="1" outlineLevel="1">
      <c r="B103" s="735"/>
      <c r="T103" s="777"/>
      <c r="U103" s="777"/>
      <c r="V103" s="777"/>
      <c r="W103" s="777"/>
      <c r="X103" s="777"/>
      <c r="Y103" s="777"/>
    </row>
    <row r="104" spans="2:25" ht="16.5" customHeight="1" outlineLevel="1">
      <c r="B104" s="730" t="s">
        <v>555</v>
      </c>
      <c r="C104" s="742"/>
      <c r="D104" s="749"/>
      <c r="E104" s="750"/>
      <c r="F104" s="750"/>
      <c r="G104" s="750"/>
      <c r="H104" s="750"/>
      <c r="I104" s="750"/>
      <c r="J104" s="750"/>
      <c r="K104" s="750"/>
      <c r="L104" s="750"/>
      <c r="M104" s="750"/>
      <c r="N104" s="750"/>
      <c r="O104" s="750"/>
      <c r="P104" s="750"/>
      <c r="Q104" s="750"/>
      <c r="T104" s="953"/>
      <c r="U104" s="953"/>
      <c r="V104" s="953"/>
      <c r="W104" s="953"/>
      <c r="X104" s="953"/>
      <c r="Y104" s="953"/>
    </row>
    <row r="105" spans="2:25" ht="16.5" customHeight="1" outlineLevel="1">
      <c r="B105" s="735" t="s">
        <v>487</v>
      </c>
      <c r="E105" s="801"/>
      <c r="F105" s="801"/>
      <c r="G105" s="801"/>
      <c r="H105" s="801"/>
      <c r="I105" s="801"/>
      <c r="J105" s="801"/>
      <c r="K105" s="801"/>
      <c r="L105" s="801"/>
      <c r="M105" s="801"/>
      <c r="N105" s="801"/>
      <c r="O105" s="801"/>
      <c r="P105" s="801"/>
      <c r="Q105" s="801"/>
      <c r="T105" s="801"/>
      <c r="U105" s="801"/>
      <c r="V105" s="801"/>
      <c r="W105" s="801"/>
      <c r="X105" s="801"/>
      <c r="Y105" s="801"/>
    </row>
    <row r="106" spans="2:25" ht="16.5" customHeight="1" outlineLevel="1">
      <c r="B106" s="735" t="s">
        <v>528</v>
      </c>
      <c r="C106" s="724" t="s">
        <v>530</v>
      </c>
      <c r="D106" s="813" t="s">
        <v>531</v>
      </c>
      <c r="E106" s="816">
        <f>+'Input 기초'!F74</f>
        <v>4903260</v>
      </c>
      <c r="F106" s="816">
        <f>+'Input 기초'!G74</f>
        <v>1444140</v>
      </c>
      <c r="G106" s="816">
        <f>+'Input 기초'!H74</f>
        <v>2317440</v>
      </c>
      <c r="H106" s="816">
        <f>+'Input 기초'!I74</f>
        <v>1260000</v>
      </c>
      <c r="I106" s="816">
        <f>+'Input 기초'!J74</f>
        <v>732000</v>
      </c>
      <c r="J106" s="816">
        <f>+'Input 기초'!K74</f>
        <v>2628000</v>
      </c>
      <c r="K106" s="816">
        <f>+'Input 기초'!L74</f>
        <v>1026000.0000000001</v>
      </c>
      <c r="L106" s="816">
        <f>+'Input 기초'!M74</f>
        <v>3162000</v>
      </c>
      <c r="M106" s="816">
        <f>+'Input 기초'!N74</f>
        <v>1404000</v>
      </c>
      <c r="N106" s="816">
        <f>+'Input 기초'!O74</f>
        <v>3000000</v>
      </c>
      <c r="O106" s="816">
        <f>+'Input 기초'!P74</f>
        <v>762000</v>
      </c>
      <c r="P106" s="816">
        <f>+'Input 기초'!Q74</f>
        <v>966000</v>
      </c>
      <c r="Q106" s="816">
        <f>+'Input 기초'!R74</f>
        <v>1614000</v>
      </c>
      <c r="T106" s="816">
        <f>+'Input 기초'!U74</f>
        <v>0</v>
      </c>
      <c r="U106" s="816">
        <f>+'Input 기초'!V74</f>
        <v>0</v>
      </c>
      <c r="V106" s="816">
        <f>+'Input 기초'!W74</f>
        <v>0</v>
      </c>
      <c r="W106" s="816">
        <f>+'Input 기초'!X74</f>
        <v>0</v>
      </c>
      <c r="X106" s="816">
        <f>+'Input 기초'!Y74</f>
        <v>0</v>
      </c>
      <c r="Y106" s="816">
        <f>+'Input 기초'!Z74</f>
        <v>0</v>
      </c>
    </row>
    <row r="107" spans="2:25" ht="16.5" customHeight="1" outlineLevel="1">
      <c r="B107" s="735" t="s">
        <v>542</v>
      </c>
      <c r="C107" s="720" t="s">
        <v>533</v>
      </c>
      <c r="D107" s="721"/>
      <c r="E107" s="815" t="s">
        <v>67</v>
      </c>
      <c r="F107" s="815" t="s">
        <v>67</v>
      </c>
      <c r="G107" s="815" t="s">
        <v>67</v>
      </c>
      <c r="H107" s="815" t="s">
        <v>67</v>
      </c>
      <c r="I107" s="815" t="s">
        <v>67</v>
      </c>
      <c r="J107" s="815" t="s">
        <v>67</v>
      </c>
      <c r="K107" s="815" t="s">
        <v>67</v>
      </c>
      <c r="L107" s="815" t="s">
        <v>67</v>
      </c>
      <c r="M107" s="815" t="s">
        <v>67</v>
      </c>
      <c r="N107" s="815" t="s">
        <v>67</v>
      </c>
      <c r="O107" s="815" t="s">
        <v>67</v>
      </c>
      <c r="P107" s="815" t="s">
        <v>67</v>
      </c>
      <c r="Q107" s="815" t="s">
        <v>67</v>
      </c>
      <c r="T107" s="815" t="s">
        <v>67</v>
      </c>
      <c r="U107" s="815" t="s">
        <v>67</v>
      </c>
      <c r="V107" s="815" t="s">
        <v>67</v>
      </c>
      <c r="W107" s="815" t="s">
        <v>67</v>
      </c>
      <c r="X107" s="815" t="s">
        <v>67</v>
      </c>
      <c r="Y107" s="815" t="s">
        <v>67</v>
      </c>
    </row>
    <row r="108" spans="2:25" ht="16.5" customHeight="1" outlineLevel="1">
      <c r="B108" s="735" t="s">
        <v>534</v>
      </c>
      <c r="C108" s="720" t="s">
        <v>301</v>
      </c>
      <c r="D108" s="721" t="s">
        <v>535</v>
      </c>
      <c r="E108" s="799">
        <v>46112</v>
      </c>
      <c r="F108" s="799">
        <v>46112</v>
      </c>
      <c r="G108" s="799">
        <v>46112</v>
      </c>
      <c r="H108" s="799">
        <v>46112</v>
      </c>
      <c r="I108" s="799">
        <v>46112</v>
      </c>
      <c r="J108" s="799">
        <v>46112</v>
      </c>
      <c r="K108" s="799">
        <v>46112</v>
      </c>
      <c r="L108" s="799">
        <v>46112</v>
      </c>
      <c r="M108" s="799">
        <v>46112</v>
      </c>
      <c r="N108" s="799">
        <v>46112</v>
      </c>
      <c r="O108" s="799">
        <v>46112</v>
      </c>
      <c r="P108" s="799">
        <v>46112</v>
      </c>
      <c r="Q108" s="799">
        <v>46112</v>
      </c>
      <c r="T108" s="799">
        <v>46112</v>
      </c>
      <c r="U108" s="799">
        <v>46112</v>
      </c>
      <c r="V108" s="799">
        <v>46112</v>
      </c>
      <c r="W108" s="799">
        <v>46112</v>
      </c>
      <c r="X108" s="799">
        <v>46112</v>
      </c>
      <c r="Y108" s="799">
        <v>46112</v>
      </c>
    </row>
    <row r="109" spans="2:25" ht="16.5" customHeight="1" outlineLevel="1">
      <c r="B109" s="735" t="s">
        <v>536</v>
      </c>
      <c r="C109" s="720" t="s">
        <v>309</v>
      </c>
      <c r="D109" s="721" t="s">
        <v>537</v>
      </c>
      <c r="E109" s="799" t="str">
        <f>+'[6]입력 시트(0124)'!E108</f>
        <v>N/A</v>
      </c>
      <c r="F109" s="799" t="str">
        <f>+'[6]입력 시트(0124)'!F108</f>
        <v>N/A</v>
      </c>
      <c r="G109" s="799" t="str">
        <f>+'[6]입력 시트(0124)'!G108</f>
        <v>N/A</v>
      </c>
      <c r="H109" s="799" t="str">
        <f>+'[6]입력 시트(0124)'!H108</f>
        <v>N/A</v>
      </c>
      <c r="I109" s="799" t="str">
        <f>+'[6]입력 시트(0124)'!I108</f>
        <v>N/A</v>
      </c>
      <c r="J109" s="799" t="s">
        <v>554</v>
      </c>
      <c r="K109" s="799" t="s">
        <v>554</v>
      </c>
      <c r="L109" s="799" t="s">
        <v>554</v>
      </c>
      <c r="M109" s="799" t="s">
        <v>554</v>
      </c>
      <c r="N109" s="799" t="s">
        <v>554</v>
      </c>
      <c r="O109" s="799" t="s">
        <v>554</v>
      </c>
      <c r="P109" s="799" t="s">
        <v>554</v>
      </c>
      <c r="Q109" s="799" t="s">
        <v>554</v>
      </c>
      <c r="T109" s="799" t="e">
        <f>+'[6]입력 시트(0124)'!T108</f>
        <v>#REF!</v>
      </c>
      <c r="U109" s="799" t="e">
        <f>+'[6]입력 시트(0124)'!U108</f>
        <v>#REF!</v>
      </c>
      <c r="V109" s="799" t="e">
        <f>+'[6]입력 시트(0124)'!V108</f>
        <v>#REF!</v>
      </c>
      <c r="W109" s="799" t="e">
        <f>+'[6]입력 시트(0124)'!W108</f>
        <v>#REF!</v>
      </c>
      <c r="X109" s="799" t="e">
        <f>+'[6]입력 시트(0124)'!X108</f>
        <v>#REF!</v>
      </c>
      <c r="Y109" s="799" t="s">
        <v>554</v>
      </c>
    </row>
    <row r="110" spans="2:25" ht="16.5" customHeight="1" outlineLevel="1">
      <c r="B110" s="735" t="s">
        <v>539</v>
      </c>
      <c r="C110" s="720" t="s">
        <v>301</v>
      </c>
      <c r="D110" s="721"/>
      <c r="E110" s="799">
        <f t="shared" ref="E110:Q110" si="17">E19</f>
        <v>46203</v>
      </c>
      <c r="F110" s="799">
        <f t="shared" si="17"/>
        <v>46173</v>
      </c>
      <c r="G110" s="799">
        <f t="shared" si="17"/>
        <v>46173</v>
      </c>
      <c r="H110" s="799">
        <f t="shared" si="17"/>
        <v>46173</v>
      </c>
      <c r="I110" s="799">
        <f t="shared" si="17"/>
        <v>46173</v>
      </c>
      <c r="J110" s="799">
        <f t="shared" si="17"/>
        <v>46203</v>
      </c>
      <c r="K110" s="799">
        <f t="shared" si="17"/>
        <v>46173</v>
      </c>
      <c r="L110" s="799">
        <f t="shared" si="17"/>
        <v>46203</v>
      </c>
      <c r="M110" s="799">
        <f t="shared" si="17"/>
        <v>46173</v>
      </c>
      <c r="N110" s="799">
        <f t="shared" si="17"/>
        <v>46173</v>
      </c>
      <c r="O110" s="799">
        <f t="shared" si="17"/>
        <v>46203</v>
      </c>
      <c r="P110" s="799">
        <f t="shared" si="17"/>
        <v>46203</v>
      </c>
      <c r="Q110" s="799">
        <f t="shared" si="17"/>
        <v>46203</v>
      </c>
      <c r="T110" s="799">
        <f t="shared" ref="T110:Y110" si="18">T19</f>
        <v>46203</v>
      </c>
      <c r="U110" s="799">
        <f t="shared" si="18"/>
        <v>46173</v>
      </c>
      <c r="V110" s="799">
        <f t="shared" si="18"/>
        <v>46173</v>
      </c>
      <c r="W110" s="799">
        <f t="shared" si="18"/>
        <v>46173</v>
      </c>
      <c r="X110" s="799">
        <f t="shared" si="18"/>
        <v>46173</v>
      </c>
      <c r="Y110" s="799">
        <f t="shared" si="18"/>
        <v>46203</v>
      </c>
    </row>
    <row r="111" spans="2:25" ht="16.5" customHeight="1" outlineLevel="1">
      <c r="B111" s="735" t="s">
        <v>540</v>
      </c>
      <c r="C111" s="1355" t="s">
        <v>556</v>
      </c>
      <c r="D111" s="1356"/>
      <c r="E111" s="803"/>
      <c r="F111" s="803"/>
      <c r="G111" s="803"/>
      <c r="H111" s="803"/>
      <c r="I111" s="803"/>
      <c r="J111" s="803"/>
      <c r="K111" s="803"/>
      <c r="L111" s="803"/>
      <c r="M111" s="803"/>
      <c r="N111" s="803"/>
      <c r="O111" s="803"/>
      <c r="P111" s="803"/>
      <c r="Q111" s="803"/>
      <c r="T111" s="803"/>
      <c r="U111" s="803"/>
      <c r="V111" s="803"/>
      <c r="W111" s="803"/>
      <c r="X111" s="803"/>
      <c r="Y111" s="803"/>
    </row>
    <row r="112" spans="2:25" ht="16.5" customHeight="1" outlineLevel="1">
      <c r="B112" s="735"/>
      <c r="E112" s="723"/>
      <c r="F112" s="723"/>
      <c r="G112" s="723"/>
      <c r="H112" s="723"/>
      <c r="I112" s="723"/>
      <c r="J112" s="723"/>
      <c r="K112" s="723"/>
      <c r="L112" s="723"/>
      <c r="M112" s="723"/>
      <c r="N112" s="723"/>
      <c r="O112" s="723"/>
      <c r="P112" s="723"/>
      <c r="Q112" s="723"/>
      <c r="T112" s="954"/>
      <c r="U112" s="954"/>
      <c r="V112" s="954"/>
      <c r="W112" s="954"/>
      <c r="X112" s="954"/>
      <c r="Y112" s="954"/>
    </row>
    <row r="113" spans="2:25" ht="16.5" customHeight="1" outlineLevel="1">
      <c r="B113" s="730" t="s">
        <v>557</v>
      </c>
      <c r="C113" s="742"/>
      <c r="D113" s="749"/>
      <c r="E113" s="750"/>
      <c r="F113" s="750"/>
      <c r="G113" s="750"/>
      <c r="H113" s="750"/>
      <c r="I113" s="750"/>
      <c r="J113" s="750"/>
      <c r="K113" s="750"/>
      <c r="L113" s="750"/>
      <c r="M113" s="750"/>
      <c r="N113" s="750"/>
      <c r="O113" s="750"/>
      <c r="P113" s="750"/>
      <c r="Q113" s="750"/>
      <c r="T113" s="953"/>
      <c r="U113" s="953"/>
      <c r="V113" s="953"/>
      <c r="W113" s="953"/>
      <c r="X113" s="953"/>
      <c r="Y113" s="953"/>
    </row>
    <row r="114" spans="2:25" ht="16.5" customHeight="1" outlineLevel="1">
      <c r="B114" s="735" t="s">
        <v>487</v>
      </c>
      <c r="E114" s="801"/>
      <c r="F114" s="801"/>
      <c r="G114" s="801"/>
      <c r="H114" s="801"/>
      <c r="I114" s="801"/>
      <c r="J114" s="801"/>
      <c r="K114" s="801"/>
      <c r="L114" s="801"/>
      <c r="M114" s="801"/>
      <c r="N114" s="801"/>
      <c r="O114" s="801"/>
      <c r="P114" s="801"/>
      <c r="Q114" s="801"/>
      <c r="T114" s="801"/>
      <c r="U114" s="801"/>
      <c r="V114" s="801"/>
      <c r="W114" s="801"/>
      <c r="X114" s="801"/>
      <c r="Y114" s="801"/>
    </row>
    <row r="115" spans="2:25" ht="16.5" customHeight="1" outlineLevel="1">
      <c r="B115" s="735" t="s">
        <v>528</v>
      </c>
      <c r="C115" s="724" t="s">
        <v>530</v>
      </c>
      <c r="D115" s="813" t="s">
        <v>551</v>
      </c>
      <c r="E115" s="817"/>
      <c r="F115" s="817"/>
      <c r="G115" s="817"/>
      <c r="H115" s="817"/>
      <c r="I115" s="817"/>
      <c r="J115" s="817"/>
      <c r="K115" s="817"/>
      <c r="L115" s="817"/>
      <c r="M115" s="817"/>
      <c r="N115" s="817"/>
      <c r="O115" s="817"/>
      <c r="P115" s="817"/>
      <c r="Q115" s="817"/>
      <c r="T115" s="817"/>
      <c r="U115" s="817"/>
      <c r="V115" s="817"/>
      <c r="W115" s="817"/>
      <c r="X115" s="817"/>
      <c r="Y115" s="817"/>
    </row>
    <row r="116" spans="2:25" ht="16.5" customHeight="1" outlineLevel="1">
      <c r="B116" s="735" t="s">
        <v>542</v>
      </c>
      <c r="C116" s="720" t="s">
        <v>533</v>
      </c>
      <c r="D116" s="721"/>
      <c r="E116" s="815" t="s">
        <v>67</v>
      </c>
      <c r="F116" s="815" t="s">
        <v>67</v>
      </c>
      <c r="G116" s="815" t="s">
        <v>67</v>
      </c>
      <c r="H116" s="815" t="s">
        <v>67</v>
      </c>
      <c r="I116" s="815" t="s">
        <v>67</v>
      </c>
      <c r="J116" s="815" t="s">
        <v>67</v>
      </c>
      <c r="K116" s="815" t="s">
        <v>67</v>
      </c>
      <c r="L116" s="815" t="s">
        <v>67</v>
      </c>
      <c r="M116" s="815" t="s">
        <v>67</v>
      </c>
      <c r="N116" s="815" t="s">
        <v>67</v>
      </c>
      <c r="O116" s="815" t="s">
        <v>67</v>
      </c>
      <c r="P116" s="815" t="s">
        <v>67</v>
      </c>
      <c r="Q116" s="815" t="s">
        <v>67</v>
      </c>
      <c r="T116" s="815" t="s">
        <v>67</v>
      </c>
      <c r="U116" s="815" t="s">
        <v>67</v>
      </c>
      <c r="V116" s="815" t="s">
        <v>67</v>
      </c>
      <c r="W116" s="815" t="s">
        <v>67</v>
      </c>
      <c r="X116" s="815" t="s">
        <v>67</v>
      </c>
      <c r="Y116" s="815" t="s">
        <v>67</v>
      </c>
    </row>
    <row r="117" spans="2:25" ht="16.5" customHeight="1" outlineLevel="1">
      <c r="B117" s="735" t="s">
        <v>534</v>
      </c>
      <c r="C117" s="720" t="s">
        <v>301</v>
      </c>
      <c r="D117" s="721" t="s">
        <v>535</v>
      </c>
      <c r="E117" s="799">
        <f>+'[6]입력 시트(0124)'!E116</f>
        <v>45901</v>
      </c>
      <c r="F117" s="799">
        <f>+'[6]입력 시트(0124)'!F116</f>
        <v>45901</v>
      </c>
      <c r="G117" s="799">
        <f>+'[6]입력 시트(0124)'!G116</f>
        <v>45901</v>
      </c>
      <c r="H117" s="799">
        <f>+'[6]입력 시트(0124)'!H116</f>
        <v>45901</v>
      </c>
      <c r="I117" s="799">
        <f>+'[6]입력 시트(0124)'!I116</f>
        <v>45931</v>
      </c>
      <c r="J117" s="799">
        <v>45931</v>
      </c>
      <c r="K117" s="799">
        <v>45931</v>
      </c>
      <c r="L117" s="799">
        <v>45931</v>
      </c>
      <c r="M117" s="799">
        <v>45931</v>
      </c>
      <c r="N117" s="799" t="e">
        <f>+'[6]입력 시트(0124)'!N116</f>
        <v>#REF!</v>
      </c>
      <c r="O117" s="799" t="e">
        <f>+'[6]입력 시트(0124)'!O116</f>
        <v>#REF!</v>
      </c>
      <c r="P117" s="799" t="e">
        <f>+'[6]입력 시트(0124)'!P116</f>
        <v>#REF!</v>
      </c>
      <c r="Q117" s="799" t="e">
        <f>+'[6]입력 시트(0124)'!Q116</f>
        <v>#REF!</v>
      </c>
      <c r="T117" s="799" t="e">
        <f>+'[6]입력 시트(0124)'!T116</f>
        <v>#REF!</v>
      </c>
      <c r="U117" s="799" t="e">
        <f>+'[6]입력 시트(0124)'!U116</f>
        <v>#REF!</v>
      </c>
      <c r="V117" s="799" t="e">
        <f>+'[6]입력 시트(0124)'!V116</f>
        <v>#REF!</v>
      </c>
      <c r="W117" s="799" t="e">
        <f>+'[6]입력 시트(0124)'!W116</f>
        <v>#REF!</v>
      </c>
      <c r="X117" s="799" t="e">
        <f>+'[6]입력 시트(0124)'!X116</f>
        <v>#REF!</v>
      </c>
      <c r="Y117" s="799">
        <v>45931</v>
      </c>
    </row>
    <row r="118" spans="2:25" ht="16.5" customHeight="1" outlineLevel="1">
      <c r="B118" s="735" t="s">
        <v>536</v>
      </c>
      <c r="C118" s="720" t="s">
        <v>309</v>
      </c>
      <c r="D118" s="721" t="s">
        <v>537</v>
      </c>
      <c r="E118" s="799" t="str">
        <f>+'[6]입력 시트(0124)'!E117</f>
        <v>N/A</v>
      </c>
      <c r="F118" s="799" t="str">
        <f>+'[6]입력 시트(0124)'!F117</f>
        <v>N/A</v>
      </c>
      <c r="G118" s="799" t="str">
        <f>+'[6]입력 시트(0124)'!G117</f>
        <v>N/A</v>
      </c>
      <c r="H118" s="799" t="str">
        <f>+'[6]입력 시트(0124)'!H117</f>
        <v>N/A</v>
      </c>
      <c r="I118" s="799" t="str">
        <f>+'[6]입력 시트(0124)'!I117</f>
        <v>N/A</v>
      </c>
      <c r="J118" s="799" t="s">
        <v>554</v>
      </c>
      <c r="K118" s="799" t="s">
        <v>554</v>
      </c>
      <c r="L118" s="799" t="s">
        <v>554</v>
      </c>
      <c r="M118" s="799" t="s">
        <v>554</v>
      </c>
      <c r="N118" s="799" t="s">
        <v>554</v>
      </c>
      <c r="O118" s="799" t="s">
        <v>554</v>
      </c>
      <c r="P118" s="799" t="s">
        <v>554</v>
      </c>
      <c r="Q118" s="799" t="s">
        <v>554</v>
      </c>
      <c r="T118" s="799" t="e">
        <f>+'[6]입력 시트(0124)'!T117</f>
        <v>#REF!</v>
      </c>
      <c r="U118" s="799" t="e">
        <f>+'[6]입력 시트(0124)'!U117</f>
        <v>#REF!</v>
      </c>
      <c r="V118" s="799" t="e">
        <f>+'[6]입력 시트(0124)'!V117</f>
        <v>#REF!</v>
      </c>
      <c r="W118" s="799" t="e">
        <f>+'[6]입력 시트(0124)'!W117</f>
        <v>#REF!</v>
      </c>
      <c r="X118" s="799" t="e">
        <f>+'[6]입력 시트(0124)'!X117</f>
        <v>#REF!</v>
      </c>
      <c r="Y118" s="799" t="s">
        <v>554</v>
      </c>
    </row>
    <row r="119" spans="2:25" ht="16.5" customHeight="1" outlineLevel="1">
      <c r="B119" s="735" t="s">
        <v>539</v>
      </c>
      <c r="C119" s="720" t="s">
        <v>301</v>
      </c>
      <c r="D119" s="721"/>
      <c r="E119" s="799">
        <f>+'[6]입력 시트(0124)'!E118</f>
        <v>45901</v>
      </c>
      <c r="F119" s="799">
        <f>+'[6]입력 시트(0124)'!F118</f>
        <v>45901</v>
      </c>
      <c r="G119" s="799">
        <f>+'[6]입력 시트(0124)'!G118</f>
        <v>45901</v>
      </c>
      <c r="H119" s="799">
        <f>+'[6]입력 시트(0124)'!H118</f>
        <v>45901</v>
      </c>
      <c r="I119" s="799">
        <f>+'[6]입력 시트(0124)'!I118</f>
        <v>45931</v>
      </c>
      <c r="J119" s="799">
        <v>45931</v>
      </c>
      <c r="K119" s="799">
        <v>45931</v>
      </c>
      <c r="L119" s="799">
        <v>45931</v>
      </c>
      <c r="M119" s="799">
        <v>45931</v>
      </c>
      <c r="N119" s="799" t="e">
        <f>+'[6]입력 시트(0124)'!N118</f>
        <v>#REF!</v>
      </c>
      <c r="O119" s="799" t="e">
        <f>+'[6]입력 시트(0124)'!O118</f>
        <v>#REF!</v>
      </c>
      <c r="P119" s="799" t="e">
        <f>+'[6]입력 시트(0124)'!P118</f>
        <v>#REF!</v>
      </c>
      <c r="Q119" s="799" t="e">
        <f>+'[6]입력 시트(0124)'!Q118</f>
        <v>#REF!</v>
      </c>
      <c r="T119" s="799" t="e">
        <f>+'[6]입력 시트(0124)'!T118</f>
        <v>#REF!</v>
      </c>
      <c r="U119" s="799" t="e">
        <f>+'[6]입력 시트(0124)'!U118</f>
        <v>#REF!</v>
      </c>
      <c r="V119" s="799" t="e">
        <f>+'[6]입력 시트(0124)'!V118</f>
        <v>#REF!</v>
      </c>
      <c r="W119" s="799" t="e">
        <f>+'[6]입력 시트(0124)'!W118</f>
        <v>#REF!</v>
      </c>
      <c r="X119" s="799" t="e">
        <f>+'[6]입력 시트(0124)'!X118</f>
        <v>#REF!</v>
      </c>
      <c r="Y119" s="799">
        <v>45931</v>
      </c>
    </row>
    <row r="120" spans="2:25" ht="16.5" customHeight="1" outlineLevel="1">
      <c r="B120" s="735" t="s">
        <v>540</v>
      </c>
      <c r="C120" s="1355" t="s">
        <v>558</v>
      </c>
      <c r="D120" s="1356"/>
      <c r="E120" s="803"/>
      <c r="F120" s="803"/>
      <c r="G120" s="803"/>
      <c r="H120" s="803"/>
      <c r="I120" s="803"/>
      <c r="J120" s="803"/>
      <c r="K120" s="803"/>
      <c r="L120" s="803"/>
      <c r="M120" s="803"/>
      <c r="N120" s="803"/>
      <c r="O120" s="803"/>
      <c r="P120" s="803"/>
      <c r="Q120" s="803"/>
      <c r="T120" s="803"/>
      <c r="U120" s="803"/>
      <c r="V120" s="803"/>
      <c r="W120" s="803"/>
      <c r="X120" s="803"/>
      <c r="Y120" s="803"/>
    </row>
    <row r="121" spans="2:25" ht="16.5" customHeight="1" outlineLevel="1">
      <c r="B121" s="735"/>
      <c r="E121" s="754"/>
      <c r="F121" s="754"/>
      <c r="G121" s="754"/>
      <c r="H121" s="754"/>
      <c r="I121" s="754"/>
      <c r="J121" s="754"/>
      <c r="K121" s="754"/>
      <c r="L121" s="754"/>
      <c r="M121" s="754"/>
      <c r="N121" s="754"/>
      <c r="O121" s="754"/>
      <c r="P121" s="754"/>
      <c r="Q121" s="754"/>
      <c r="T121" s="955"/>
      <c r="U121" s="955"/>
      <c r="V121" s="955"/>
      <c r="W121" s="955"/>
      <c r="X121" s="955"/>
      <c r="Y121" s="955"/>
    </row>
    <row r="122" spans="2:25" ht="16.5" customHeight="1" outlineLevel="1">
      <c r="B122" s="730" t="s">
        <v>559</v>
      </c>
      <c r="C122" s="742"/>
      <c r="D122" s="749"/>
      <c r="E122" s="755">
        <f>+E125/E24</f>
        <v>40000000</v>
      </c>
      <c r="F122" s="755"/>
      <c r="G122" s="755"/>
      <c r="H122" s="755"/>
      <c r="I122" s="755"/>
      <c r="J122" s="755">
        <f>+J125/J24</f>
        <v>40000000</v>
      </c>
      <c r="K122" s="755">
        <f>+K125/K24</f>
        <v>40000000</v>
      </c>
      <c r="L122" s="755">
        <f t="shared" ref="L122:M122" si="19">+L125/L24</f>
        <v>40000000</v>
      </c>
      <c r="M122" s="755">
        <f t="shared" si="19"/>
        <v>40000000</v>
      </c>
      <c r="N122" s="755">
        <f>+N125/N24</f>
        <v>40000000</v>
      </c>
      <c r="O122" s="755">
        <f>+O125/O24</f>
        <v>40000000</v>
      </c>
      <c r="P122" s="755">
        <f>+P125/P24</f>
        <v>40000000</v>
      </c>
      <c r="Q122" s="755">
        <f>+Q125/Q24</f>
        <v>40000000</v>
      </c>
      <c r="T122" s="956">
        <f>+T125/T24</f>
        <v>0</v>
      </c>
      <c r="U122" s="956"/>
      <c r="V122" s="956"/>
      <c r="W122" s="956"/>
      <c r="X122" s="956"/>
      <c r="Y122" s="956">
        <f>+Y125/Y24</f>
        <v>0</v>
      </c>
    </row>
    <row r="123" spans="2:25" ht="16.5" customHeight="1" outlineLevel="1">
      <c r="B123" s="735" t="s">
        <v>487</v>
      </c>
      <c r="E123" s="801"/>
      <c r="F123" s="801"/>
      <c r="G123" s="801"/>
      <c r="H123" s="801"/>
      <c r="I123" s="801"/>
      <c r="J123" s="801"/>
      <c r="K123" s="801"/>
      <c r="L123" s="801"/>
      <c r="M123" s="801"/>
      <c r="N123" s="801"/>
      <c r="O123" s="801"/>
      <c r="P123" s="801"/>
      <c r="Q123" s="801"/>
      <c r="T123" s="801"/>
      <c r="U123" s="801"/>
      <c r="V123" s="801"/>
      <c r="W123" s="801"/>
      <c r="X123" s="801"/>
      <c r="Y123" s="801"/>
    </row>
    <row r="124" spans="2:25" ht="16.5" customHeight="1" outlineLevel="1">
      <c r="B124" s="735" t="s">
        <v>560</v>
      </c>
      <c r="E124" s="818">
        <v>0</v>
      </c>
      <c r="F124" s="818">
        <v>0</v>
      </c>
      <c r="G124" s="818">
        <v>0</v>
      </c>
      <c r="H124" s="818">
        <v>0</v>
      </c>
      <c r="I124" s="818">
        <v>0</v>
      </c>
      <c r="J124" s="818">
        <v>0</v>
      </c>
      <c r="K124" s="818">
        <v>0</v>
      </c>
      <c r="L124" s="818">
        <v>0</v>
      </c>
      <c r="M124" s="818">
        <v>0</v>
      </c>
      <c r="N124" s="818">
        <v>0</v>
      </c>
      <c r="O124" s="818">
        <v>0</v>
      </c>
      <c r="P124" s="818">
        <v>0</v>
      </c>
      <c r="Q124" s="818">
        <v>0</v>
      </c>
      <c r="T124" s="818">
        <v>0</v>
      </c>
      <c r="U124" s="818">
        <v>0</v>
      </c>
      <c r="V124" s="818">
        <v>0</v>
      </c>
      <c r="W124" s="818">
        <v>0</v>
      </c>
      <c r="X124" s="818">
        <v>0</v>
      </c>
      <c r="Y124" s="818">
        <v>0</v>
      </c>
    </row>
    <row r="125" spans="2:25" ht="16.5" customHeight="1" outlineLevel="1">
      <c r="B125" s="735" t="s">
        <v>528</v>
      </c>
      <c r="C125" s="724" t="s">
        <v>530</v>
      </c>
      <c r="D125" s="813" t="s">
        <v>531</v>
      </c>
      <c r="E125" s="819">
        <f>+'Input 기초'!F76</f>
        <v>32688400</v>
      </c>
      <c r="F125" s="819">
        <f>+'Input 기초'!G76</f>
        <v>9627600</v>
      </c>
      <c r="G125" s="819">
        <f>+'Input 기초'!H76</f>
        <v>15449600.000000002</v>
      </c>
      <c r="H125" s="819">
        <f>+'Input 기초'!I76</f>
        <v>8400000</v>
      </c>
      <c r="I125" s="819">
        <f>+'Input 기초'!J76</f>
        <v>4880000</v>
      </c>
      <c r="J125" s="819">
        <f>+'Input 기초'!K76</f>
        <v>17520000</v>
      </c>
      <c r="K125" s="819">
        <f>+'Input 기초'!L76</f>
        <v>6840000.0000000009</v>
      </c>
      <c r="L125" s="819">
        <f>+'Input 기초'!M76</f>
        <v>21080000</v>
      </c>
      <c r="M125" s="819">
        <f>+'Input 기초'!N76</f>
        <v>9360000</v>
      </c>
      <c r="N125" s="819">
        <f>+'Input 기초'!O76</f>
        <v>20000000</v>
      </c>
      <c r="O125" s="819">
        <f>+'Input 기초'!P76</f>
        <v>5080000</v>
      </c>
      <c r="P125" s="819">
        <f>+'Input 기초'!Q76</f>
        <v>6440000</v>
      </c>
      <c r="Q125" s="819">
        <f>+'Input 기초'!R76</f>
        <v>10760000</v>
      </c>
      <c r="T125" s="819">
        <f>+'Input 기초'!U76</f>
        <v>0</v>
      </c>
      <c r="U125" s="819">
        <f>+'Input 기초'!V76</f>
        <v>0</v>
      </c>
      <c r="V125" s="819">
        <f>+'Input 기초'!W76</f>
        <v>0</v>
      </c>
      <c r="W125" s="819">
        <f>+'Input 기초'!X76</f>
        <v>0</v>
      </c>
      <c r="X125" s="819">
        <f>+'Input 기초'!Y76</f>
        <v>0</v>
      </c>
      <c r="Y125" s="819">
        <f>+'Input 기초'!Z76</f>
        <v>0</v>
      </c>
    </row>
    <row r="126" spans="2:25" ht="16.5" customHeight="1" outlineLevel="1">
      <c r="B126" s="735" t="s">
        <v>542</v>
      </c>
      <c r="C126" s="720" t="s">
        <v>533</v>
      </c>
      <c r="D126" s="721"/>
      <c r="E126" s="815" t="s">
        <v>67</v>
      </c>
      <c r="F126" s="815" t="s">
        <v>67</v>
      </c>
      <c r="G126" s="815" t="s">
        <v>67</v>
      </c>
      <c r="H126" s="815" t="s">
        <v>67</v>
      </c>
      <c r="I126" s="815" t="s">
        <v>67</v>
      </c>
      <c r="J126" s="815" t="s">
        <v>67</v>
      </c>
      <c r="K126" s="815" t="s">
        <v>67</v>
      </c>
      <c r="L126" s="815" t="s">
        <v>67</v>
      </c>
      <c r="M126" s="815" t="s">
        <v>67</v>
      </c>
      <c r="N126" s="815" t="s">
        <v>67</v>
      </c>
      <c r="O126" s="815" t="s">
        <v>67</v>
      </c>
      <c r="P126" s="815" t="s">
        <v>67</v>
      </c>
      <c r="Q126" s="815" t="s">
        <v>67</v>
      </c>
      <c r="T126" s="815" t="s">
        <v>67</v>
      </c>
      <c r="U126" s="815" t="s">
        <v>67</v>
      </c>
      <c r="V126" s="815" t="s">
        <v>67</v>
      </c>
      <c r="W126" s="815" t="s">
        <v>67</v>
      </c>
      <c r="X126" s="815" t="s">
        <v>67</v>
      </c>
      <c r="Y126" s="815" t="s">
        <v>67</v>
      </c>
    </row>
    <row r="127" spans="2:25" ht="16.5" customHeight="1" outlineLevel="1">
      <c r="B127" s="735" t="s">
        <v>534</v>
      </c>
      <c r="C127" s="720" t="s">
        <v>301</v>
      </c>
      <c r="D127" s="721" t="s">
        <v>535</v>
      </c>
      <c r="E127" s="799">
        <f t="shared" ref="E127:Q127" si="20">E19</f>
        <v>46203</v>
      </c>
      <c r="F127" s="799">
        <f t="shared" si="20"/>
        <v>46173</v>
      </c>
      <c r="G127" s="799">
        <f t="shared" si="20"/>
        <v>46173</v>
      </c>
      <c r="H127" s="799">
        <f t="shared" si="20"/>
        <v>46173</v>
      </c>
      <c r="I127" s="799">
        <f t="shared" si="20"/>
        <v>46173</v>
      </c>
      <c r="J127" s="799">
        <f t="shared" si="20"/>
        <v>46203</v>
      </c>
      <c r="K127" s="799">
        <f t="shared" si="20"/>
        <v>46173</v>
      </c>
      <c r="L127" s="799">
        <f t="shared" si="20"/>
        <v>46203</v>
      </c>
      <c r="M127" s="799">
        <f t="shared" si="20"/>
        <v>46173</v>
      </c>
      <c r="N127" s="799">
        <f t="shared" si="20"/>
        <v>46173</v>
      </c>
      <c r="O127" s="799">
        <f t="shared" si="20"/>
        <v>46203</v>
      </c>
      <c r="P127" s="799">
        <f t="shared" si="20"/>
        <v>46203</v>
      </c>
      <c r="Q127" s="799">
        <f t="shared" si="20"/>
        <v>46203</v>
      </c>
      <c r="T127" s="799">
        <f t="shared" ref="T127:Y127" si="21">T19</f>
        <v>46203</v>
      </c>
      <c r="U127" s="799">
        <f t="shared" si="21"/>
        <v>46173</v>
      </c>
      <c r="V127" s="799">
        <f t="shared" si="21"/>
        <v>46173</v>
      </c>
      <c r="W127" s="799">
        <f t="shared" si="21"/>
        <v>46173</v>
      </c>
      <c r="X127" s="799">
        <f t="shared" si="21"/>
        <v>46173</v>
      </c>
      <c r="Y127" s="799">
        <f t="shared" si="21"/>
        <v>46203</v>
      </c>
    </row>
    <row r="128" spans="2:25" ht="16.5" customHeight="1" outlineLevel="1">
      <c r="B128" s="735" t="s">
        <v>536</v>
      </c>
      <c r="C128" s="720" t="s">
        <v>309</v>
      </c>
      <c r="D128" s="721" t="s">
        <v>537</v>
      </c>
      <c r="E128" s="799" t="str">
        <f>+'[6]입력 시트(0124)'!E127</f>
        <v>N/A</v>
      </c>
      <c r="F128" s="799" t="s">
        <v>554</v>
      </c>
      <c r="G128" s="799" t="s">
        <v>554</v>
      </c>
      <c r="H128" s="799" t="s">
        <v>554</v>
      </c>
      <c r="I128" s="799" t="s">
        <v>554</v>
      </c>
      <c r="J128" s="799" t="s">
        <v>554</v>
      </c>
      <c r="K128" s="799" t="s">
        <v>554</v>
      </c>
      <c r="L128" s="799" t="s">
        <v>554</v>
      </c>
      <c r="M128" s="799" t="s">
        <v>554</v>
      </c>
      <c r="N128" s="799" t="s">
        <v>554</v>
      </c>
      <c r="O128" s="799" t="s">
        <v>554</v>
      </c>
      <c r="P128" s="799" t="s">
        <v>554</v>
      </c>
      <c r="Q128" s="799" t="s">
        <v>554</v>
      </c>
      <c r="T128" s="799" t="e">
        <f>+'[6]입력 시트(0124)'!T127</f>
        <v>#REF!</v>
      </c>
      <c r="U128" s="799" t="s">
        <v>554</v>
      </c>
      <c r="V128" s="799" t="s">
        <v>554</v>
      </c>
      <c r="W128" s="799" t="s">
        <v>554</v>
      </c>
      <c r="X128" s="799" t="s">
        <v>554</v>
      </c>
      <c r="Y128" s="799" t="s">
        <v>554</v>
      </c>
    </row>
    <row r="129" spans="2:25" ht="16.5" customHeight="1" outlineLevel="1">
      <c r="B129" s="735" t="s">
        <v>539</v>
      </c>
      <c r="C129" s="720" t="s">
        <v>301</v>
      </c>
      <c r="D129" s="721"/>
      <c r="E129" s="799">
        <f t="shared" ref="E129:Q129" si="22">E19</f>
        <v>46203</v>
      </c>
      <c r="F129" s="799">
        <f t="shared" si="22"/>
        <v>46173</v>
      </c>
      <c r="G129" s="799">
        <f t="shared" si="22"/>
        <v>46173</v>
      </c>
      <c r="H129" s="799">
        <f t="shared" si="22"/>
        <v>46173</v>
      </c>
      <c r="I129" s="799">
        <f t="shared" si="22"/>
        <v>46173</v>
      </c>
      <c r="J129" s="799">
        <f t="shared" si="22"/>
        <v>46203</v>
      </c>
      <c r="K129" s="799">
        <f t="shared" si="22"/>
        <v>46173</v>
      </c>
      <c r="L129" s="799">
        <f t="shared" si="22"/>
        <v>46203</v>
      </c>
      <c r="M129" s="799">
        <f t="shared" si="22"/>
        <v>46173</v>
      </c>
      <c r="N129" s="799">
        <f t="shared" si="22"/>
        <v>46173</v>
      </c>
      <c r="O129" s="799">
        <f t="shared" si="22"/>
        <v>46203</v>
      </c>
      <c r="P129" s="799">
        <f t="shared" si="22"/>
        <v>46203</v>
      </c>
      <c r="Q129" s="799">
        <f t="shared" si="22"/>
        <v>46203</v>
      </c>
      <c r="T129" s="799">
        <f t="shared" ref="T129:Y129" si="23">T19</f>
        <v>46203</v>
      </c>
      <c r="U129" s="799">
        <f t="shared" si="23"/>
        <v>46173</v>
      </c>
      <c r="V129" s="799">
        <f t="shared" si="23"/>
        <v>46173</v>
      </c>
      <c r="W129" s="799">
        <f t="shared" si="23"/>
        <v>46173</v>
      </c>
      <c r="X129" s="799">
        <f t="shared" si="23"/>
        <v>46173</v>
      </c>
      <c r="Y129" s="799">
        <f t="shared" si="23"/>
        <v>46203</v>
      </c>
    </row>
    <row r="130" spans="2:25" ht="16.5" customHeight="1" outlineLevel="1">
      <c r="B130" s="735" t="s">
        <v>540</v>
      </c>
      <c r="C130" s="1361"/>
      <c r="D130" s="1362"/>
      <c r="E130" s="803"/>
      <c r="F130" s="803"/>
      <c r="G130" s="803"/>
      <c r="H130" s="803"/>
      <c r="I130" s="803"/>
      <c r="J130" s="803"/>
      <c r="K130" s="803"/>
      <c r="L130" s="803"/>
      <c r="M130" s="803"/>
      <c r="N130" s="803"/>
      <c r="O130" s="803"/>
      <c r="P130" s="803"/>
      <c r="Q130" s="803"/>
      <c r="T130" s="803"/>
      <c r="U130" s="803"/>
      <c r="V130" s="803"/>
      <c r="W130" s="803"/>
      <c r="X130" s="803"/>
      <c r="Y130" s="803"/>
    </row>
    <row r="131" spans="2:25" ht="16.5" customHeight="1" outlineLevel="1">
      <c r="B131" s="735"/>
      <c r="E131" s="756"/>
      <c r="F131" s="756"/>
      <c r="G131" s="756"/>
      <c r="H131" s="756"/>
      <c r="I131" s="756"/>
      <c r="J131" s="756"/>
      <c r="K131" s="756"/>
      <c r="L131" s="756"/>
      <c r="M131" s="756"/>
      <c r="N131" s="756"/>
      <c r="O131" s="756"/>
      <c r="P131" s="756"/>
      <c r="Q131" s="756"/>
      <c r="T131" s="957"/>
      <c r="U131" s="957"/>
      <c r="V131" s="957"/>
      <c r="W131" s="957"/>
      <c r="X131" s="957"/>
      <c r="Y131" s="957"/>
    </row>
    <row r="132" spans="2:25" ht="16.5" customHeight="1" outlineLevel="1">
      <c r="B132" s="730" t="s">
        <v>561</v>
      </c>
      <c r="C132" s="742"/>
      <c r="D132" s="749"/>
      <c r="E132" s="750"/>
      <c r="F132" s="750"/>
      <c r="G132" s="750"/>
      <c r="H132" s="750"/>
      <c r="I132" s="750"/>
      <c r="J132" s="750"/>
      <c r="K132" s="750"/>
      <c r="L132" s="750"/>
      <c r="M132" s="750"/>
      <c r="N132" s="750"/>
      <c r="O132" s="750"/>
      <c r="P132" s="750"/>
      <c r="Q132" s="750"/>
      <c r="T132" s="953"/>
      <c r="U132" s="953"/>
      <c r="V132" s="953"/>
      <c r="W132" s="953"/>
      <c r="X132" s="953"/>
      <c r="Y132" s="953"/>
    </row>
    <row r="133" spans="2:25" ht="16.5" customHeight="1" outlineLevel="1">
      <c r="B133" s="735" t="s">
        <v>487</v>
      </c>
      <c r="E133" s="801" t="s">
        <v>545</v>
      </c>
      <c r="F133" s="801" t="s">
        <v>545</v>
      </c>
      <c r="G133" s="801" t="s">
        <v>545</v>
      </c>
      <c r="H133" s="801" t="s">
        <v>545</v>
      </c>
      <c r="I133" s="801" t="s">
        <v>545</v>
      </c>
      <c r="J133" s="801" t="s">
        <v>545</v>
      </c>
      <c r="K133" s="801" t="s">
        <v>545</v>
      </c>
      <c r="L133" s="801" t="s">
        <v>545</v>
      </c>
      <c r="M133" s="801" t="s">
        <v>545</v>
      </c>
      <c r="N133" s="801" t="s">
        <v>545</v>
      </c>
      <c r="O133" s="801" t="s">
        <v>545</v>
      </c>
      <c r="P133" s="801" t="s">
        <v>545</v>
      </c>
      <c r="Q133" s="801" t="s">
        <v>545</v>
      </c>
      <c r="T133" s="801" t="s">
        <v>545</v>
      </c>
      <c r="U133" s="801" t="s">
        <v>545</v>
      </c>
      <c r="V133" s="801" t="s">
        <v>545</v>
      </c>
      <c r="W133" s="801" t="s">
        <v>545</v>
      </c>
      <c r="X133" s="801" t="s">
        <v>545</v>
      </c>
      <c r="Y133" s="801" t="s">
        <v>545</v>
      </c>
    </row>
    <row r="134" spans="2:25" ht="16.5" customHeight="1" outlineLevel="1">
      <c r="B134" s="735" t="s">
        <v>528</v>
      </c>
      <c r="C134" s="724" t="s">
        <v>530</v>
      </c>
      <c r="D134" s="813" t="s">
        <v>531</v>
      </c>
      <c r="E134" s="820"/>
      <c r="F134" s="820"/>
      <c r="G134" s="820"/>
      <c r="H134" s="820"/>
      <c r="I134" s="820"/>
      <c r="J134" s="820"/>
      <c r="K134" s="820"/>
      <c r="L134" s="820"/>
      <c r="M134" s="820"/>
      <c r="N134" s="820"/>
      <c r="O134" s="820"/>
      <c r="P134" s="820"/>
      <c r="Q134" s="820"/>
      <c r="T134" s="820"/>
      <c r="U134" s="820"/>
      <c r="V134" s="820"/>
      <c r="W134" s="820"/>
      <c r="X134" s="820"/>
      <c r="Y134" s="820"/>
    </row>
    <row r="135" spans="2:25" ht="16.5" customHeight="1" outlineLevel="1">
      <c r="B135" s="735" t="s">
        <v>542</v>
      </c>
      <c r="C135" s="720" t="s">
        <v>533</v>
      </c>
      <c r="D135" s="721"/>
      <c r="E135" s="815">
        <v>1</v>
      </c>
      <c r="F135" s="815">
        <v>1</v>
      </c>
      <c r="G135" s="815">
        <v>1</v>
      </c>
      <c r="H135" s="815">
        <v>1</v>
      </c>
      <c r="I135" s="815">
        <v>1</v>
      </c>
      <c r="J135" s="815">
        <v>1</v>
      </c>
      <c r="K135" s="815">
        <v>1</v>
      </c>
      <c r="L135" s="815">
        <v>1</v>
      </c>
      <c r="M135" s="815">
        <v>1</v>
      </c>
      <c r="N135" s="815">
        <v>1</v>
      </c>
      <c r="O135" s="815">
        <v>1</v>
      </c>
      <c r="P135" s="815">
        <v>1</v>
      </c>
      <c r="Q135" s="815">
        <v>1</v>
      </c>
      <c r="T135" s="815">
        <v>1</v>
      </c>
      <c r="U135" s="815">
        <v>1</v>
      </c>
      <c r="V135" s="815">
        <v>1</v>
      </c>
      <c r="W135" s="815">
        <v>1</v>
      </c>
      <c r="X135" s="815">
        <v>1</v>
      </c>
      <c r="Y135" s="815">
        <v>1</v>
      </c>
    </row>
    <row r="136" spans="2:25" ht="16.5" customHeight="1" outlineLevel="1">
      <c r="B136" s="735" t="s">
        <v>534</v>
      </c>
      <c r="C136" s="720" t="s">
        <v>301</v>
      </c>
      <c r="D136" s="721" t="s">
        <v>535</v>
      </c>
      <c r="E136" s="799"/>
      <c r="F136" s="799"/>
      <c r="G136" s="799"/>
      <c r="H136" s="799"/>
      <c r="I136" s="799"/>
      <c r="J136" s="799"/>
      <c r="K136" s="799"/>
      <c r="L136" s="799"/>
      <c r="M136" s="799"/>
      <c r="N136" s="799"/>
      <c r="O136" s="799"/>
      <c r="P136" s="799"/>
      <c r="Q136" s="799"/>
      <c r="T136" s="799"/>
      <c r="U136" s="799"/>
      <c r="V136" s="799"/>
      <c r="W136" s="799"/>
      <c r="X136" s="799"/>
      <c r="Y136" s="799"/>
    </row>
    <row r="137" spans="2:25" ht="16.5" customHeight="1" outlineLevel="1">
      <c r="B137" s="735" t="s">
        <v>536</v>
      </c>
      <c r="C137" s="720" t="s">
        <v>309</v>
      </c>
      <c r="D137" s="721" t="s">
        <v>537</v>
      </c>
      <c r="E137" s="799"/>
      <c r="F137" s="799"/>
      <c r="G137" s="799"/>
      <c r="H137" s="799"/>
      <c r="I137" s="799"/>
      <c r="J137" s="799"/>
      <c r="K137" s="799"/>
      <c r="L137" s="799"/>
      <c r="M137" s="799"/>
      <c r="N137" s="799"/>
      <c r="O137" s="799"/>
      <c r="P137" s="799"/>
      <c r="Q137" s="799"/>
      <c r="T137" s="799"/>
      <c r="U137" s="799"/>
      <c r="V137" s="799"/>
      <c r="W137" s="799"/>
      <c r="X137" s="799"/>
      <c r="Y137" s="799"/>
    </row>
    <row r="138" spans="2:25" ht="16.5" customHeight="1" outlineLevel="1">
      <c r="B138" s="735" t="s">
        <v>539</v>
      </c>
      <c r="C138" s="720" t="s">
        <v>301</v>
      </c>
      <c r="D138" s="721"/>
      <c r="E138" s="799"/>
      <c r="F138" s="799"/>
      <c r="G138" s="799"/>
      <c r="H138" s="799"/>
      <c r="I138" s="799"/>
      <c r="J138" s="799"/>
      <c r="K138" s="799"/>
      <c r="L138" s="799"/>
      <c r="M138" s="799"/>
      <c r="N138" s="799"/>
      <c r="O138" s="799"/>
      <c r="P138" s="799"/>
      <c r="Q138" s="799"/>
      <c r="T138" s="799"/>
      <c r="U138" s="799"/>
      <c r="V138" s="799"/>
      <c r="W138" s="799"/>
      <c r="X138" s="799"/>
      <c r="Y138" s="799"/>
    </row>
    <row r="139" spans="2:25" ht="16.5" customHeight="1" outlineLevel="1">
      <c r="B139" s="735" t="s">
        <v>540</v>
      </c>
      <c r="C139" s="740" t="s">
        <v>501</v>
      </c>
      <c r="E139" s="803"/>
      <c r="F139" s="803"/>
      <c r="G139" s="803"/>
      <c r="H139" s="803"/>
      <c r="I139" s="803"/>
      <c r="J139" s="803"/>
      <c r="K139" s="803"/>
      <c r="L139" s="803"/>
      <c r="M139" s="803"/>
      <c r="N139" s="803"/>
      <c r="O139" s="803"/>
      <c r="P139" s="803"/>
      <c r="Q139" s="803"/>
      <c r="T139" s="803"/>
      <c r="U139" s="803"/>
      <c r="V139" s="803"/>
      <c r="W139" s="803"/>
      <c r="X139" s="803"/>
      <c r="Y139" s="803"/>
    </row>
    <row r="140" spans="2:25" ht="16.5" customHeight="1" outlineLevel="1">
      <c r="B140" s="735"/>
      <c r="T140" s="777"/>
      <c r="U140" s="777"/>
      <c r="V140" s="777"/>
      <c r="W140" s="777"/>
      <c r="X140" s="777"/>
      <c r="Y140" s="777"/>
    </row>
    <row r="141" spans="2:25" ht="16.5" customHeight="1" outlineLevel="1">
      <c r="B141" s="730" t="s">
        <v>562</v>
      </c>
      <c r="C141" s="742"/>
      <c r="D141" s="749"/>
      <c r="E141" s="750"/>
      <c r="F141" s="750"/>
      <c r="G141" s="750"/>
      <c r="H141" s="750"/>
      <c r="I141" s="750"/>
      <c r="J141" s="750"/>
      <c r="K141" s="750"/>
      <c r="L141" s="750"/>
      <c r="M141" s="750"/>
      <c r="N141" s="750"/>
      <c r="O141" s="750"/>
      <c r="P141" s="750"/>
      <c r="Q141" s="750"/>
      <c r="T141" s="953"/>
      <c r="U141" s="953"/>
      <c r="V141" s="953"/>
      <c r="W141" s="953"/>
      <c r="X141" s="953"/>
      <c r="Y141" s="953"/>
    </row>
    <row r="142" spans="2:25" ht="16.5" customHeight="1" outlineLevel="1">
      <c r="B142" s="735" t="s">
        <v>487</v>
      </c>
      <c r="E142" s="801" t="s">
        <v>545</v>
      </c>
      <c r="F142" s="801" t="s">
        <v>545</v>
      </c>
      <c r="G142" s="801" t="s">
        <v>545</v>
      </c>
      <c r="H142" s="801" t="s">
        <v>545</v>
      </c>
      <c r="I142" s="801" t="s">
        <v>545</v>
      </c>
      <c r="J142" s="801" t="s">
        <v>545</v>
      </c>
      <c r="K142" s="801" t="s">
        <v>545</v>
      </c>
      <c r="L142" s="801" t="s">
        <v>545</v>
      </c>
      <c r="M142" s="801" t="s">
        <v>545</v>
      </c>
      <c r="N142" s="801" t="s">
        <v>545</v>
      </c>
      <c r="O142" s="801" t="s">
        <v>545</v>
      </c>
      <c r="P142" s="801" t="s">
        <v>545</v>
      </c>
      <c r="Q142" s="801" t="s">
        <v>545</v>
      </c>
      <c r="T142" s="801" t="s">
        <v>545</v>
      </c>
      <c r="U142" s="801" t="s">
        <v>545</v>
      </c>
      <c r="V142" s="801" t="s">
        <v>545</v>
      </c>
      <c r="W142" s="801" t="s">
        <v>545</v>
      </c>
      <c r="X142" s="801" t="s">
        <v>545</v>
      </c>
      <c r="Y142" s="801" t="s">
        <v>545</v>
      </c>
    </row>
    <row r="143" spans="2:25" ht="16.5" customHeight="1" outlineLevel="1">
      <c r="B143" s="735" t="s">
        <v>528</v>
      </c>
      <c r="C143" s="724" t="s">
        <v>530</v>
      </c>
      <c r="D143" s="813" t="s">
        <v>531</v>
      </c>
      <c r="E143" s="820"/>
      <c r="F143" s="820"/>
      <c r="G143" s="820"/>
      <c r="H143" s="820"/>
      <c r="I143" s="820"/>
      <c r="J143" s="820"/>
      <c r="K143" s="820"/>
      <c r="L143" s="820"/>
      <c r="M143" s="820"/>
      <c r="N143" s="820"/>
      <c r="O143" s="820"/>
      <c r="P143" s="820"/>
      <c r="Q143" s="820"/>
      <c r="T143" s="820"/>
      <c r="U143" s="820"/>
      <c r="V143" s="820"/>
      <c r="W143" s="820"/>
      <c r="X143" s="820"/>
      <c r="Y143" s="820"/>
    </row>
    <row r="144" spans="2:25" ht="16.5" customHeight="1" outlineLevel="1">
      <c r="B144" s="735" t="s">
        <v>542</v>
      </c>
      <c r="C144" s="720" t="s">
        <v>533</v>
      </c>
      <c r="D144" s="721"/>
      <c r="E144" s="815">
        <v>1</v>
      </c>
      <c r="F144" s="815">
        <v>1</v>
      </c>
      <c r="G144" s="815">
        <v>1</v>
      </c>
      <c r="H144" s="815">
        <v>1</v>
      </c>
      <c r="I144" s="815">
        <v>1</v>
      </c>
      <c r="J144" s="815">
        <v>1</v>
      </c>
      <c r="K144" s="815">
        <v>1</v>
      </c>
      <c r="L144" s="815">
        <v>1</v>
      </c>
      <c r="M144" s="815">
        <v>1</v>
      </c>
      <c r="N144" s="815">
        <v>1</v>
      </c>
      <c r="O144" s="815">
        <v>1</v>
      </c>
      <c r="P144" s="815">
        <v>1</v>
      </c>
      <c r="Q144" s="815">
        <v>1</v>
      </c>
      <c r="T144" s="815">
        <v>1</v>
      </c>
      <c r="U144" s="815">
        <v>1</v>
      </c>
      <c r="V144" s="815">
        <v>1</v>
      </c>
      <c r="W144" s="815">
        <v>1</v>
      </c>
      <c r="X144" s="815">
        <v>1</v>
      </c>
      <c r="Y144" s="815">
        <v>1</v>
      </c>
    </row>
    <row r="145" spans="2:25" ht="16.5" customHeight="1" outlineLevel="1">
      <c r="B145" s="735" t="s">
        <v>534</v>
      </c>
      <c r="C145" s="720" t="s">
        <v>301</v>
      </c>
      <c r="D145" s="721" t="s">
        <v>535</v>
      </c>
      <c r="E145" s="799"/>
      <c r="F145" s="799"/>
      <c r="G145" s="799"/>
      <c r="H145" s="799"/>
      <c r="I145" s="799"/>
      <c r="J145" s="799"/>
      <c r="K145" s="799"/>
      <c r="L145" s="799"/>
      <c r="M145" s="799"/>
      <c r="N145" s="799"/>
      <c r="O145" s="799"/>
      <c r="P145" s="799"/>
      <c r="Q145" s="799"/>
      <c r="T145" s="799"/>
      <c r="U145" s="799"/>
      <c r="V145" s="799"/>
      <c r="W145" s="799"/>
      <c r="X145" s="799"/>
      <c r="Y145" s="799"/>
    </row>
    <row r="146" spans="2:25" ht="16.5" customHeight="1" outlineLevel="1">
      <c r="B146" s="735" t="s">
        <v>536</v>
      </c>
      <c r="C146" s="720" t="s">
        <v>309</v>
      </c>
      <c r="D146" s="721" t="s">
        <v>537</v>
      </c>
      <c r="E146" s="799"/>
      <c r="F146" s="799"/>
      <c r="G146" s="799"/>
      <c r="H146" s="799"/>
      <c r="I146" s="799"/>
      <c r="J146" s="799"/>
      <c r="K146" s="799"/>
      <c r="L146" s="799"/>
      <c r="M146" s="799"/>
      <c r="N146" s="799"/>
      <c r="O146" s="799"/>
      <c r="P146" s="799"/>
      <c r="Q146" s="799"/>
      <c r="T146" s="799"/>
      <c r="U146" s="799"/>
      <c r="V146" s="799"/>
      <c r="W146" s="799"/>
      <c r="X146" s="799"/>
      <c r="Y146" s="799"/>
    </row>
    <row r="147" spans="2:25" ht="16.5" customHeight="1" outlineLevel="1">
      <c r="B147" s="735" t="s">
        <v>539</v>
      </c>
      <c r="C147" s="720" t="s">
        <v>301</v>
      </c>
      <c r="D147" s="721"/>
      <c r="E147" s="799"/>
      <c r="F147" s="799"/>
      <c r="G147" s="799"/>
      <c r="H147" s="799"/>
      <c r="I147" s="799"/>
      <c r="J147" s="799"/>
      <c r="K147" s="799"/>
      <c r="L147" s="799"/>
      <c r="M147" s="799"/>
      <c r="N147" s="799"/>
      <c r="O147" s="799"/>
      <c r="P147" s="799"/>
      <c r="Q147" s="799"/>
      <c r="T147" s="799"/>
      <c r="U147" s="799"/>
      <c r="V147" s="799"/>
      <c r="W147" s="799"/>
      <c r="X147" s="799"/>
      <c r="Y147" s="799"/>
    </row>
    <row r="148" spans="2:25" ht="16.5" customHeight="1" outlineLevel="1">
      <c r="B148" s="735" t="s">
        <v>540</v>
      </c>
      <c r="C148" s="740" t="s">
        <v>501</v>
      </c>
      <c r="E148" s="803"/>
      <c r="F148" s="803"/>
      <c r="G148" s="803"/>
      <c r="H148" s="803"/>
      <c r="I148" s="803"/>
      <c r="J148" s="803"/>
      <c r="K148" s="803"/>
      <c r="L148" s="803"/>
      <c r="M148" s="803"/>
      <c r="N148" s="803"/>
      <c r="O148" s="803"/>
      <c r="P148" s="803"/>
      <c r="Q148" s="803"/>
      <c r="T148" s="803"/>
      <c r="U148" s="803"/>
      <c r="V148" s="803"/>
      <c r="W148" s="803"/>
      <c r="X148" s="803"/>
      <c r="Y148" s="803"/>
    </row>
    <row r="149" spans="2:25" ht="16.5" customHeight="1" outlineLevel="1">
      <c r="B149" s="735"/>
      <c r="T149" s="777"/>
      <c r="U149" s="777"/>
      <c r="V149" s="777"/>
      <c r="W149" s="777"/>
      <c r="X149" s="777"/>
      <c r="Y149" s="777"/>
    </row>
    <row r="150" spans="2:25" ht="16.5" customHeight="1" outlineLevel="1">
      <c r="B150" s="730" t="s">
        <v>430</v>
      </c>
      <c r="C150" s="742"/>
      <c r="D150" s="749"/>
      <c r="E150" s="750"/>
      <c r="F150" s="750"/>
      <c r="G150" s="750"/>
      <c r="H150" s="750"/>
      <c r="I150" s="750"/>
      <c r="J150" s="750"/>
      <c r="K150" s="750"/>
      <c r="L150" s="750"/>
      <c r="M150" s="750"/>
      <c r="N150" s="750"/>
      <c r="O150" s="750"/>
      <c r="P150" s="750"/>
      <c r="Q150" s="750"/>
      <c r="T150" s="953"/>
      <c r="U150" s="953"/>
      <c r="V150" s="953"/>
      <c r="W150" s="953"/>
      <c r="X150" s="953"/>
      <c r="Y150" s="953"/>
    </row>
    <row r="151" spans="2:25" ht="16.5" customHeight="1" outlineLevel="1">
      <c r="B151" s="735" t="s">
        <v>487</v>
      </c>
      <c r="E151" s="801"/>
      <c r="F151" s="801"/>
      <c r="G151" s="801"/>
      <c r="H151" s="801"/>
      <c r="I151" s="801"/>
      <c r="J151" s="801"/>
      <c r="K151" s="801"/>
      <c r="L151" s="801"/>
      <c r="M151" s="801"/>
      <c r="N151" s="801"/>
      <c r="O151" s="801"/>
      <c r="P151" s="801"/>
      <c r="Q151" s="801"/>
      <c r="T151" s="801"/>
      <c r="U151" s="801"/>
      <c r="V151" s="801"/>
      <c r="W151" s="801"/>
      <c r="X151" s="801"/>
      <c r="Y151" s="801"/>
    </row>
    <row r="152" spans="2:25" ht="16.5" customHeight="1" outlineLevel="1">
      <c r="B152" s="735" t="s">
        <v>528</v>
      </c>
      <c r="C152" s="724" t="s">
        <v>530</v>
      </c>
      <c r="D152" s="813" t="s">
        <v>531</v>
      </c>
      <c r="E152" s="821">
        <f>+'Input 기초'!F75</f>
        <v>3187119</v>
      </c>
      <c r="F152" s="821">
        <f>+'Input 기초'!G75</f>
        <v>938691</v>
      </c>
      <c r="G152" s="821">
        <f>+'Input 기초'!H75</f>
        <v>1506336</v>
      </c>
      <c r="H152" s="821">
        <f>+'Input 기초'!I75</f>
        <v>819000</v>
      </c>
      <c r="I152" s="821">
        <f>+'Input 기초'!J75</f>
        <v>475800</v>
      </c>
      <c r="J152" s="821">
        <f>+'Input 기초'!K75</f>
        <v>1708200</v>
      </c>
      <c r="K152" s="821">
        <f>+'Input 기초'!L75</f>
        <v>666900</v>
      </c>
      <c r="L152" s="821">
        <f>+'Input 기초'!M75</f>
        <v>2055300</v>
      </c>
      <c r="M152" s="821">
        <f>+'Input 기초'!N75</f>
        <v>912600</v>
      </c>
      <c r="N152" s="821">
        <f>+'Input 기초'!O75</f>
        <v>1950000</v>
      </c>
      <c r="O152" s="821">
        <f>+'Input 기초'!P75</f>
        <v>495300</v>
      </c>
      <c r="P152" s="821">
        <f>+'Input 기초'!Q75</f>
        <v>627900</v>
      </c>
      <c r="Q152" s="821">
        <f>+'Input 기초'!R75</f>
        <v>1049100</v>
      </c>
      <c r="T152" s="821">
        <f>+'Input 기초'!U75</f>
        <v>0</v>
      </c>
      <c r="U152" s="821">
        <f>+'Input 기초'!V75</f>
        <v>0</v>
      </c>
      <c r="V152" s="821">
        <f>+'Input 기초'!W75</f>
        <v>0</v>
      </c>
      <c r="W152" s="821">
        <f>+'Input 기초'!X75</f>
        <v>0</v>
      </c>
      <c r="X152" s="821">
        <f>+'Input 기초'!Y75</f>
        <v>0</v>
      </c>
      <c r="Y152" s="821">
        <f>+'Input 기초'!Z75</f>
        <v>0</v>
      </c>
    </row>
    <row r="153" spans="2:25" ht="16.5" customHeight="1" outlineLevel="1">
      <c r="B153" s="735" t="s">
        <v>542</v>
      </c>
      <c r="C153" s="720" t="s">
        <v>533</v>
      </c>
      <c r="D153" s="721"/>
      <c r="E153" s="815">
        <v>1</v>
      </c>
      <c r="F153" s="815">
        <v>1</v>
      </c>
      <c r="G153" s="815">
        <v>1</v>
      </c>
      <c r="H153" s="815">
        <v>1</v>
      </c>
      <c r="I153" s="815">
        <v>1</v>
      </c>
      <c r="J153" s="815">
        <v>1</v>
      </c>
      <c r="K153" s="815">
        <v>1</v>
      </c>
      <c r="L153" s="815">
        <v>1</v>
      </c>
      <c r="M153" s="815">
        <v>1</v>
      </c>
      <c r="N153" s="815">
        <v>1</v>
      </c>
      <c r="O153" s="815">
        <v>1</v>
      </c>
      <c r="P153" s="815">
        <v>1</v>
      </c>
      <c r="Q153" s="815">
        <v>1</v>
      </c>
      <c r="T153" s="815">
        <v>1</v>
      </c>
      <c r="U153" s="815">
        <v>1</v>
      </c>
      <c r="V153" s="815">
        <v>1</v>
      </c>
      <c r="W153" s="815">
        <v>1</v>
      </c>
      <c r="X153" s="815">
        <v>1</v>
      </c>
      <c r="Y153" s="815">
        <v>1</v>
      </c>
    </row>
    <row r="154" spans="2:25" ht="16.5" customHeight="1" outlineLevel="1">
      <c r="B154" s="735" t="s">
        <v>534</v>
      </c>
      <c r="C154" s="720" t="s">
        <v>301</v>
      </c>
      <c r="D154" s="721" t="s">
        <v>535</v>
      </c>
      <c r="E154" s="799">
        <f t="shared" ref="E154:Q154" si="24">E19</f>
        <v>46203</v>
      </c>
      <c r="F154" s="799">
        <f t="shared" si="24"/>
        <v>46173</v>
      </c>
      <c r="G154" s="799">
        <f t="shared" si="24"/>
        <v>46173</v>
      </c>
      <c r="H154" s="799">
        <f t="shared" si="24"/>
        <v>46173</v>
      </c>
      <c r="I154" s="799">
        <f t="shared" si="24"/>
        <v>46173</v>
      </c>
      <c r="J154" s="799">
        <f t="shared" si="24"/>
        <v>46203</v>
      </c>
      <c r="K154" s="799">
        <f t="shared" si="24"/>
        <v>46173</v>
      </c>
      <c r="L154" s="799">
        <f t="shared" si="24"/>
        <v>46203</v>
      </c>
      <c r="M154" s="799">
        <f t="shared" si="24"/>
        <v>46173</v>
      </c>
      <c r="N154" s="799">
        <f t="shared" si="24"/>
        <v>46173</v>
      </c>
      <c r="O154" s="799">
        <f t="shared" si="24"/>
        <v>46203</v>
      </c>
      <c r="P154" s="799">
        <f t="shared" si="24"/>
        <v>46203</v>
      </c>
      <c r="Q154" s="799">
        <f t="shared" si="24"/>
        <v>46203</v>
      </c>
      <c r="T154" s="799">
        <f t="shared" ref="T154:Y154" si="25">T19</f>
        <v>46203</v>
      </c>
      <c r="U154" s="799">
        <f t="shared" si="25"/>
        <v>46173</v>
      </c>
      <c r="V154" s="799">
        <f t="shared" si="25"/>
        <v>46173</v>
      </c>
      <c r="W154" s="799">
        <f t="shared" si="25"/>
        <v>46173</v>
      </c>
      <c r="X154" s="799">
        <f t="shared" si="25"/>
        <v>46173</v>
      </c>
      <c r="Y154" s="799">
        <f t="shared" si="25"/>
        <v>46203</v>
      </c>
    </row>
    <row r="155" spans="2:25" ht="16.5" customHeight="1" outlineLevel="1">
      <c r="B155" s="735" t="s">
        <v>536</v>
      </c>
      <c r="C155" s="720" t="s">
        <v>309</v>
      </c>
      <c r="D155" s="721" t="s">
        <v>537</v>
      </c>
      <c r="E155" s="799" t="str">
        <f>+'[6]입력 시트(0124)'!E154</f>
        <v>CPI</v>
      </c>
      <c r="F155" s="799" t="str">
        <f>+'[6]입력 시트(0124)'!F154</f>
        <v>CPI</v>
      </c>
      <c r="G155" s="799" t="str">
        <f>+'[6]입력 시트(0124)'!G154</f>
        <v>CPI</v>
      </c>
      <c r="H155" s="799" t="str">
        <f>+'[6]입력 시트(0124)'!H154</f>
        <v>CPI</v>
      </c>
      <c r="I155" s="799" t="str">
        <f>+'[6]입력 시트(0124)'!I154</f>
        <v>CPI</v>
      </c>
      <c r="J155" s="799" t="s">
        <v>538</v>
      </c>
      <c r="K155" s="799" t="s">
        <v>538</v>
      </c>
      <c r="L155" s="799" t="s">
        <v>538</v>
      </c>
      <c r="M155" s="799" t="s">
        <v>538</v>
      </c>
      <c r="N155" s="799" t="s">
        <v>538</v>
      </c>
      <c r="O155" s="799" t="s">
        <v>538</v>
      </c>
      <c r="P155" s="799" t="s">
        <v>538</v>
      </c>
      <c r="Q155" s="799" t="s">
        <v>538</v>
      </c>
      <c r="T155" s="799" t="e">
        <f>+'[6]입력 시트(0124)'!T154</f>
        <v>#REF!</v>
      </c>
      <c r="U155" s="799" t="e">
        <f>+'[6]입력 시트(0124)'!U154</f>
        <v>#REF!</v>
      </c>
      <c r="V155" s="799" t="e">
        <f>+'[6]입력 시트(0124)'!V154</f>
        <v>#REF!</v>
      </c>
      <c r="W155" s="799" t="e">
        <f>+'[6]입력 시트(0124)'!W154</f>
        <v>#REF!</v>
      </c>
      <c r="X155" s="799" t="e">
        <f>+'[6]입력 시트(0124)'!X154</f>
        <v>#REF!</v>
      </c>
      <c r="Y155" s="799" t="s">
        <v>538</v>
      </c>
    </row>
    <row r="156" spans="2:25" ht="16.5" customHeight="1" outlineLevel="1">
      <c r="B156" s="735" t="s">
        <v>539</v>
      </c>
      <c r="C156" s="720" t="s">
        <v>301</v>
      </c>
      <c r="D156" s="721"/>
      <c r="E156" s="799">
        <f t="shared" ref="E156:Q156" si="26">E19</f>
        <v>46203</v>
      </c>
      <c r="F156" s="799">
        <f t="shared" si="26"/>
        <v>46173</v>
      </c>
      <c r="G156" s="799">
        <f t="shared" si="26"/>
        <v>46173</v>
      </c>
      <c r="H156" s="799">
        <f t="shared" si="26"/>
        <v>46173</v>
      </c>
      <c r="I156" s="799">
        <f t="shared" si="26"/>
        <v>46173</v>
      </c>
      <c r="J156" s="799">
        <f t="shared" si="26"/>
        <v>46203</v>
      </c>
      <c r="K156" s="799">
        <f t="shared" si="26"/>
        <v>46173</v>
      </c>
      <c r="L156" s="799">
        <f t="shared" si="26"/>
        <v>46203</v>
      </c>
      <c r="M156" s="799">
        <f t="shared" si="26"/>
        <v>46173</v>
      </c>
      <c r="N156" s="799">
        <f t="shared" si="26"/>
        <v>46173</v>
      </c>
      <c r="O156" s="799">
        <f t="shared" si="26"/>
        <v>46203</v>
      </c>
      <c r="P156" s="799">
        <f t="shared" si="26"/>
        <v>46203</v>
      </c>
      <c r="Q156" s="799">
        <f t="shared" si="26"/>
        <v>46203</v>
      </c>
      <c r="T156" s="799">
        <f t="shared" ref="T156:Y156" si="27">T19</f>
        <v>46203</v>
      </c>
      <c r="U156" s="799">
        <f t="shared" si="27"/>
        <v>46173</v>
      </c>
      <c r="V156" s="799">
        <f t="shared" si="27"/>
        <v>46173</v>
      </c>
      <c r="W156" s="799">
        <f t="shared" si="27"/>
        <v>46173</v>
      </c>
      <c r="X156" s="799">
        <f t="shared" si="27"/>
        <v>46173</v>
      </c>
      <c r="Y156" s="799">
        <f t="shared" si="27"/>
        <v>46203</v>
      </c>
    </row>
    <row r="157" spans="2:25" ht="34.9" customHeight="1" outlineLevel="1">
      <c r="B157" s="735" t="s">
        <v>540</v>
      </c>
      <c r="C157" s="1363" t="s">
        <v>563</v>
      </c>
      <c r="D157" s="1364"/>
      <c r="E157" s="803"/>
      <c r="F157" s="803"/>
      <c r="G157" s="803"/>
      <c r="H157" s="803"/>
      <c r="I157" s="803"/>
      <c r="J157" s="803"/>
      <c r="K157" s="803"/>
      <c r="L157" s="803"/>
      <c r="M157" s="803"/>
      <c r="N157" s="803"/>
      <c r="O157" s="803"/>
      <c r="P157" s="803"/>
      <c r="Q157" s="803"/>
      <c r="T157" s="803"/>
      <c r="U157" s="803"/>
      <c r="V157" s="803"/>
      <c r="W157" s="803"/>
      <c r="X157" s="803"/>
      <c r="Y157" s="803"/>
    </row>
    <row r="158" spans="2:25" ht="16.5" customHeight="1" outlineLevel="1">
      <c r="B158" s="735"/>
      <c r="T158" s="777"/>
      <c r="U158" s="777"/>
      <c r="V158" s="777"/>
      <c r="W158" s="777"/>
      <c r="X158" s="777"/>
      <c r="Y158" s="777"/>
    </row>
    <row r="159" spans="2:25" s="707" customFormat="1" ht="15">
      <c r="C159" s="708"/>
      <c r="E159" s="779"/>
      <c r="F159" s="780"/>
      <c r="G159" s="780"/>
      <c r="H159" s="780"/>
      <c r="I159" s="780"/>
      <c r="J159" s="780"/>
      <c r="K159" s="780"/>
      <c r="L159" s="780"/>
      <c r="M159" s="780"/>
      <c r="N159" s="780"/>
      <c r="O159" s="780"/>
      <c r="P159" s="780"/>
      <c r="Q159" s="786" t="s">
        <v>564</v>
      </c>
      <c r="R159" s="781"/>
      <c r="S159" s="782"/>
      <c r="T159" s="780"/>
      <c r="U159" s="780"/>
      <c r="V159" s="780"/>
      <c r="W159" s="780"/>
      <c r="X159" s="780"/>
      <c r="Y159" s="780"/>
    </row>
    <row r="160" spans="2:25" s="707" customFormat="1" ht="27.75" customHeight="1">
      <c r="B160" s="713" t="s">
        <v>565</v>
      </c>
      <c r="C160" s="714"/>
      <c r="D160" s="714" t="s">
        <v>527</v>
      </c>
      <c r="E160" s="715" t="s">
        <v>528</v>
      </c>
      <c r="F160" s="715" t="s">
        <v>528</v>
      </c>
      <c r="G160" s="715" t="s">
        <v>528</v>
      </c>
      <c r="H160" s="715" t="s">
        <v>528</v>
      </c>
      <c r="I160" s="715" t="s">
        <v>528</v>
      </c>
      <c r="J160" s="715" t="s">
        <v>528</v>
      </c>
      <c r="K160" s="715" t="s">
        <v>528</v>
      </c>
      <c r="L160" s="715" t="s">
        <v>528</v>
      </c>
      <c r="M160" s="715" t="s">
        <v>528</v>
      </c>
      <c r="N160" s="715" t="s">
        <v>528</v>
      </c>
      <c r="O160" s="715" t="s">
        <v>528</v>
      </c>
      <c r="P160" s="715" t="s">
        <v>528</v>
      </c>
      <c r="Q160" s="715" t="s">
        <v>528</v>
      </c>
      <c r="R160" s="784"/>
      <c r="S160" s="783"/>
      <c r="T160" s="944" t="s">
        <v>528</v>
      </c>
      <c r="U160" s="944" t="s">
        <v>528</v>
      </c>
      <c r="V160" s="944" t="s">
        <v>528</v>
      </c>
      <c r="W160" s="944" t="s">
        <v>528</v>
      </c>
      <c r="X160" s="944" t="s">
        <v>528</v>
      </c>
      <c r="Y160" s="944" t="s">
        <v>528</v>
      </c>
    </row>
    <row r="161" spans="2:25" s="757" customFormat="1" ht="17.25" outlineLevel="1" thickBot="1">
      <c r="E161" s="758">
        <f>+E197+E261</f>
        <v>433121300</v>
      </c>
      <c r="F161" s="758"/>
      <c r="G161" s="758"/>
      <c r="H161" s="758"/>
      <c r="I161" s="758"/>
      <c r="J161" s="758">
        <f t="shared" ref="J161:M161" si="28">+J197+J261</f>
        <v>275940000</v>
      </c>
      <c r="K161" s="758">
        <f t="shared" si="28"/>
        <v>107730000</v>
      </c>
      <c r="L161" s="758">
        <f t="shared" si="28"/>
        <v>332010000</v>
      </c>
      <c r="M161" s="758">
        <f t="shared" si="28"/>
        <v>147420000</v>
      </c>
      <c r="N161" s="758">
        <f>+N197+N261</f>
        <v>315000000</v>
      </c>
      <c r="O161" s="758">
        <f>+O197+O261</f>
        <v>80010000</v>
      </c>
      <c r="P161" s="758">
        <f>+P197+P261</f>
        <v>101430000</v>
      </c>
      <c r="Q161" s="787">
        <f>+Q197+Q261</f>
        <v>182920000</v>
      </c>
      <c r="R161" s="785"/>
      <c r="T161" s="787">
        <f>+T197+T261</f>
        <v>0</v>
      </c>
      <c r="U161" s="787"/>
      <c r="V161" s="787"/>
      <c r="W161" s="787"/>
      <c r="X161" s="787"/>
      <c r="Y161" s="787">
        <f>+Y197+Y261</f>
        <v>0</v>
      </c>
    </row>
    <row r="162" spans="2:25" s="788" customFormat="1" ht="17.25" outlineLevel="1" thickBot="1">
      <c r="B162" s="789" t="s">
        <v>566</v>
      </c>
      <c r="C162" s="789"/>
      <c r="D162" s="789"/>
      <c r="E162" s="790">
        <f t="shared" ref="E162:Q162" si="29">E165+E197+E229</f>
        <v>898931000</v>
      </c>
      <c r="F162" s="791">
        <f t="shared" si="29"/>
        <v>264759000</v>
      </c>
      <c r="G162" s="791">
        <f t="shared" si="29"/>
        <v>424864000</v>
      </c>
      <c r="H162" s="791">
        <f t="shared" si="29"/>
        <v>231000000</v>
      </c>
      <c r="I162" s="791">
        <f t="shared" si="29"/>
        <v>134200000</v>
      </c>
      <c r="J162" s="791">
        <f t="shared" si="29"/>
        <v>481800000</v>
      </c>
      <c r="K162" s="791">
        <f t="shared" si="29"/>
        <v>188100000</v>
      </c>
      <c r="L162" s="791">
        <f t="shared" si="29"/>
        <v>579700000</v>
      </c>
      <c r="M162" s="791">
        <f t="shared" si="29"/>
        <v>257400000</v>
      </c>
      <c r="N162" s="791">
        <f t="shared" si="29"/>
        <v>550000000</v>
      </c>
      <c r="O162" s="791">
        <f t="shared" si="29"/>
        <v>139700000</v>
      </c>
      <c r="P162" s="791">
        <f t="shared" si="29"/>
        <v>177100000</v>
      </c>
      <c r="Q162" s="791">
        <f t="shared" si="29"/>
        <v>295900000</v>
      </c>
      <c r="R162" s="792">
        <f>SUM(E162:Q162)</f>
        <v>4623454000</v>
      </c>
      <c r="T162" s="791">
        <f t="shared" ref="T162:Y162" si="30">T165+T197+T229</f>
        <v>0</v>
      </c>
      <c r="U162" s="791">
        <f t="shared" si="30"/>
        <v>0</v>
      </c>
      <c r="V162" s="791">
        <f t="shared" si="30"/>
        <v>0</v>
      </c>
      <c r="W162" s="791">
        <f t="shared" si="30"/>
        <v>0</v>
      </c>
      <c r="X162" s="791">
        <f t="shared" si="30"/>
        <v>0</v>
      </c>
      <c r="Y162" s="791">
        <f t="shared" si="30"/>
        <v>0</v>
      </c>
    </row>
    <row r="163" spans="2:25" outlineLevel="1">
      <c r="B163" s="803" t="s">
        <v>425</v>
      </c>
      <c r="C163" s="777"/>
      <c r="E163" s="775" t="b">
        <f>+E165+E197+E229+E261='Input 기초'!F78+'Input 기초'!F84</f>
        <v>1</v>
      </c>
      <c r="F163" s="775" t="b">
        <f>+F165+F197+F229+F261='Input 기초'!G78+'Input 기초'!G84</f>
        <v>1</v>
      </c>
      <c r="G163" s="775" t="b">
        <f>+G165+G197+G229+G261='Input 기초'!H78+'Input 기초'!H84</f>
        <v>1</v>
      </c>
      <c r="H163" s="775" t="b">
        <f>+H165+H197+H229+H261='Input 기초'!I78+'Input 기초'!I84</f>
        <v>1</v>
      </c>
      <c r="I163" s="775" t="b">
        <f>+I165+I197+I229+I261='Input 기초'!J78+'Input 기초'!J84</f>
        <v>1</v>
      </c>
      <c r="J163" s="775" t="b">
        <f>+J165+J197+J229+J261='Input 기초'!K78+'Input 기초'!K84</f>
        <v>1</v>
      </c>
      <c r="K163" s="775" t="b">
        <f>+K165+K197+K229+K261='Input 기초'!L78+'Input 기초'!L84</f>
        <v>1</v>
      </c>
      <c r="L163" s="775" t="b">
        <f>+L165+L197+L229+L261='Input 기초'!M78+'Input 기초'!M84</f>
        <v>1</v>
      </c>
      <c r="M163" s="775" t="b">
        <f>+M165+M197+M229+M261='Input 기초'!N78+'Input 기초'!N84</f>
        <v>1</v>
      </c>
      <c r="N163" s="775" t="b">
        <f>+N165+N197+N229+N261='Input 기초'!O78+'Input 기초'!O84</f>
        <v>1</v>
      </c>
      <c r="O163" s="775" t="b">
        <f>+O165+O197+O229+O261='Input 기초'!P78+'Input 기초'!P84</f>
        <v>1</v>
      </c>
      <c r="P163" s="775" t="b">
        <f>+P165+P197+P229+P261='Input 기초'!Q78+'Input 기초'!Q84</f>
        <v>1</v>
      </c>
      <c r="Q163" s="775" t="b">
        <f>+Q165+Q197+Q229+Q261='Input 기초'!R78+'Input 기초'!R84</f>
        <v>1</v>
      </c>
      <c r="T163" s="952" t="b">
        <f>+T165+T197+T229+T261='Input 기초'!U78+'Input 기초'!U84</f>
        <v>1</v>
      </c>
      <c r="U163" s="952" t="b">
        <f>+U165+U197+U229+U261='Input 기초'!V78+'Input 기초'!V84</f>
        <v>1</v>
      </c>
      <c r="V163" s="952" t="b">
        <f>+V165+V197+V229+V261='Input 기초'!W78+'Input 기초'!W84</f>
        <v>1</v>
      </c>
      <c r="W163" s="952" t="b">
        <f>+W165+W197+W229+W261='Input 기초'!X78+'Input 기초'!X84</f>
        <v>1</v>
      </c>
      <c r="X163" s="952" t="b">
        <f>+X165+X197+X229+X261='Input 기초'!Y78+'Input 기초'!Y84</f>
        <v>1</v>
      </c>
      <c r="Y163" s="952" t="b">
        <f>+Y165+Y197+Y229+Y261='Input 기초'!Z78+'Input 기초'!Z84</f>
        <v>1</v>
      </c>
    </row>
    <row r="164" spans="2:25" ht="16.5" customHeight="1" outlineLevel="1">
      <c r="B164" s="735" t="s">
        <v>487</v>
      </c>
      <c r="C164" s="777"/>
      <c r="D164" s="777"/>
      <c r="E164" s="801"/>
      <c r="F164" s="801"/>
      <c r="G164" s="801"/>
      <c r="H164" s="801"/>
      <c r="I164" s="801"/>
      <c r="J164" s="801"/>
      <c r="K164" s="801"/>
      <c r="L164" s="801"/>
      <c r="M164" s="801"/>
      <c r="N164" s="801"/>
      <c r="O164" s="801"/>
      <c r="P164" s="801"/>
      <c r="Q164" s="801"/>
      <c r="T164" s="801"/>
      <c r="U164" s="801"/>
      <c r="V164" s="801"/>
      <c r="W164" s="801"/>
      <c r="X164" s="801"/>
      <c r="Y164" s="801"/>
    </row>
    <row r="165" spans="2:25" outlineLevel="1">
      <c r="B165" s="735" t="s">
        <v>528</v>
      </c>
      <c r="D165" s="813" t="s">
        <v>567</v>
      </c>
      <c r="E165" s="821">
        <f>+'Input 기초'!F79</f>
        <v>653768000</v>
      </c>
      <c r="F165" s="821">
        <f>+'Input 기초'!G79</f>
        <v>192552000</v>
      </c>
      <c r="G165" s="821">
        <f>+'Input 기초'!H79</f>
        <v>308992000</v>
      </c>
      <c r="H165" s="821">
        <f>+'Input 기초'!I79</f>
        <v>168000000</v>
      </c>
      <c r="I165" s="821">
        <f>+'Input 기초'!J79</f>
        <v>97600000</v>
      </c>
      <c r="J165" s="821">
        <f>+'Input 기초'!K79</f>
        <v>350400000</v>
      </c>
      <c r="K165" s="821">
        <f>+'Input 기초'!L79</f>
        <v>136800000</v>
      </c>
      <c r="L165" s="821">
        <f>+'Input 기초'!M79</f>
        <v>421600000</v>
      </c>
      <c r="M165" s="821">
        <f>+'Input 기초'!N79</f>
        <v>187200000</v>
      </c>
      <c r="N165" s="821">
        <f>+'Input 기초'!O79</f>
        <v>400000000</v>
      </c>
      <c r="O165" s="821">
        <f>+'Input 기초'!P79</f>
        <v>101600000</v>
      </c>
      <c r="P165" s="821">
        <f>+'Input 기초'!Q79</f>
        <v>128800000</v>
      </c>
      <c r="Q165" s="821">
        <f>+'Input 기초'!R79</f>
        <v>215200000</v>
      </c>
      <c r="T165" s="821">
        <f>+'Input 기초'!U79</f>
        <v>0</v>
      </c>
      <c r="U165" s="821">
        <f>+'Input 기초'!V79</f>
        <v>0</v>
      </c>
      <c r="V165" s="821">
        <f>+'Input 기초'!W79</f>
        <v>0</v>
      </c>
      <c r="W165" s="821">
        <f>+'Input 기초'!X79</f>
        <v>0</v>
      </c>
      <c r="X165" s="821">
        <f>+'Input 기초'!Y79</f>
        <v>0</v>
      </c>
      <c r="Y165" s="821">
        <f>+'Input 기초'!Z79</f>
        <v>0</v>
      </c>
    </row>
    <row r="166" spans="2:25" ht="16.5" customHeight="1" outlineLevel="1">
      <c r="B166" s="735" t="s">
        <v>542</v>
      </c>
      <c r="D166" s="721" t="s">
        <v>533</v>
      </c>
      <c r="E166" s="822">
        <v>1</v>
      </c>
      <c r="F166" s="822">
        <v>1</v>
      </c>
      <c r="G166" s="822">
        <v>1</v>
      </c>
      <c r="H166" s="822">
        <v>1</v>
      </c>
      <c r="I166" s="822">
        <v>1</v>
      </c>
      <c r="J166" s="822">
        <v>1</v>
      </c>
      <c r="K166" s="822">
        <v>1</v>
      </c>
      <c r="L166" s="822">
        <v>1</v>
      </c>
      <c r="M166" s="822">
        <v>1</v>
      </c>
      <c r="N166" s="822">
        <v>1</v>
      </c>
      <c r="O166" s="822">
        <v>1</v>
      </c>
      <c r="P166" s="822">
        <v>1</v>
      </c>
      <c r="Q166" s="822">
        <v>1</v>
      </c>
      <c r="T166" s="822">
        <v>1</v>
      </c>
      <c r="U166" s="822">
        <v>1</v>
      </c>
      <c r="V166" s="822">
        <v>1</v>
      </c>
      <c r="W166" s="822">
        <v>1</v>
      </c>
      <c r="X166" s="822">
        <v>1</v>
      </c>
      <c r="Y166" s="822">
        <v>1</v>
      </c>
    </row>
    <row r="167" spans="2:25" ht="16.5" customHeight="1" outlineLevel="1">
      <c r="B167" s="735" t="s">
        <v>534</v>
      </c>
      <c r="D167" s="721" t="s">
        <v>301</v>
      </c>
      <c r="E167" s="823"/>
      <c r="F167" s="823"/>
      <c r="G167" s="823"/>
      <c r="H167" s="823"/>
      <c r="I167" s="823"/>
      <c r="J167" s="823"/>
      <c r="K167" s="823"/>
      <c r="L167" s="823"/>
      <c r="M167" s="823"/>
      <c r="N167" s="823"/>
      <c r="O167" s="823"/>
      <c r="P167" s="823"/>
      <c r="Q167" s="823"/>
      <c r="T167" s="823"/>
      <c r="U167" s="823"/>
      <c r="V167" s="823"/>
      <c r="W167" s="823"/>
      <c r="X167" s="823"/>
      <c r="Y167" s="823"/>
    </row>
    <row r="168" spans="2:25" ht="16.5" customHeight="1" outlineLevel="1">
      <c r="B168" s="735" t="s">
        <v>536</v>
      </c>
      <c r="D168" s="721" t="s">
        <v>309</v>
      </c>
      <c r="E168" s="824"/>
      <c r="F168" s="824"/>
      <c r="G168" s="824"/>
      <c r="H168" s="824"/>
      <c r="I168" s="824"/>
      <c r="J168" s="824"/>
      <c r="K168" s="824"/>
      <c r="L168" s="824"/>
      <c r="M168" s="824"/>
      <c r="N168" s="824"/>
      <c r="O168" s="824"/>
      <c r="P168" s="824"/>
      <c r="Q168" s="824"/>
      <c r="T168" s="824"/>
      <c r="U168" s="824"/>
      <c r="V168" s="824"/>
      <c r="W168" s="824"/>
      <c r="X168" s="824"/>
      <c r="Y168" s="824"/>
    </row>
    <row r="169" spans="2:25" outlineLevel="1">
      <c r="B169" s="735" t="s">
        <v>568</v>
      </c>
      <c r="C169" s="740" t="s">
        <v>569</v>
      </c>
      <c r="D169" s="716">
        <v>1</v>
      </c>
      <c r="E169" s="825">
        <v>0.5</v>
      </c>
      <c r="F169" s="825">
        <v>0.5</v>
      </c>
      <c r="G169" s="825">
        <v>0.5</v>
      </c>
      <c r="H169" s="825">
        <v>0.5</v>
      </c>
      <c r="I169" s="825">
        <v>0.5</v>
      </c>
      <c r="J169" s="825">
        <v>0.5</v>
      </c>
      <c r="K169" s="825">
        <v>0.5</v>
      </c>
      <c r="L169" s="825">
        <v>0.5</v>
      </c>
      <c r="M169" s="825">
        <v>0.5</v>
      </c>
      <c r="N169" s="825">
        <v>0.5</v>
      </c>
      <c r="O169" s="825">
        <v>0.5</v>
      </c>
      <c r="P169" s="825">
        <v>0.5</v>
      </c>
      <c r="Q169" s="825">
        <v>0.5</v>
      </c>
      <c r="T169" s="825">
        <v>0.5</v>
      </c>
      <c r="U169" s="825">
        <v>0.5</v>
      </c>
      <c r="V169" s="825">
        <v>0.5</v>
      </c>
      <c r="W169" s="825">
        <v>0.5</v>
      </c>
      <c r="X169" s="825">
        <v>0.5</v>
      </c>
      <c r="Y169" s="825">
        <v>0.5</v>
      </c>
    </row>
    <row r="170" spans="2:25" outlineLevel="1">
      <c r="B170" s="735"/>
      <c r="C170" s="740" t="s">
        <v>309</v>
      </c>
      <c r="D170" s="716">
        <f t="shared" ref="D170:D192" si="31">+D169+1</f>
        <v>2</v>
      </c>
      <c r="E170" s="825">
        <v>0</v>
      </c>
      <c r="F170" s="825">
        <v>0</v>
      </c>
      <c r="G170" s="825">
        <v>0</v>
      </c>
      <c r="H170" s="825">
        <v>0</v>
      </c>
      <c r="I170" s="825">
        <v>0</v>
      </c>
      <c r="J170" s="825">
        <v>0</v>
      </c>
      <c r="K170" s="825">
        <v>0</v>
      </c>
      <c r="L170" s="825">
        <v>0</v>
      </c>
      <c r="M170" s="825">
        <v>0</v>
      </c>
      <c r="N170" s="825">
        <v>0</v>
      </c>
      <c r="O170" s="825">
        <v>0</v>
      </c>
      <c r="P170" s="825">
        <v>0</v>
      </c>
      <c r="Q170" s="825">
        <v>0</v>
      </c>
      <c r="T170" s="825">
        <v>0</v>
      </c>
      <c r="U170" s="825">
        <v>0</v>
      </c>
      <c r="V170" s="825">
        <v>0</v>
      </c>
      <c r="W170" s="825">
        <v>0</v>
      </c>
      <c r="X170" s="825">
        <v>0</v>
      </c>
      <c r="Y170" s="825">
        <v>0</v>
      </c>
    </row>
    <row r="171" spans="2:25" outlineLevel="1">
      <c r="B171" s="735"/>
      <c r="C171" s="740" t="s">
        <v>309</v>
      </c>
      <c r="D171" s="716">
        <f t="shared" si="31"/>
        <v>3</v>
      </c>
      <c r="E171" s="825">
        <v>0</v>
      </c>
      <c r="F171" s="825">
        <v>0</v>
      </c>
      <c r="G171" s="825">
        <v>0</v>
      </c>
      <c r="H171" s="825">
        <v>0</v>
      </c>
      <c r="I171" s="825">
        <v>0</v>
      </c>
      <c r="J171" s="825">
        <v>0</v>
      </c>
      <c r="K171" s="825">
        <v>0</v>
      </c>
      <c r="L171" s="825">
        <v>0</v>
      </c>
      <c r="M171" s="825">
        <v>0</v>
      </c>
      <c r="N171" s="825">
        <v>0</v>
      </c>
      <c r="O171" s="825">
        <v>0</v>
      </c>
      <c r="P171" s="825">
        <v>0</v>
      </c>
      <c r="Q171" s="825">
        <v>0</v>
      </c>
      <c r="T171" s="825">
        <v>0</v>
      </c>
      <c r="U171" s="825">
        <v>0</v>
      </c>
      <c r="V171" s="825">
        <v>0</v>
      </c>
      <c r="W171" s="825">
        <v>0</v>
      </c>
      <c r="X171" s="825">
        <v>0</v>
      </c>
      <c r="Y171" s="825">
        <v>0</v>
      </c>
    </row>
    <row r="172" spans="2:25" outlineLevel="1">
      <c r="B172" s="735"/>
      <c r="C172" s="740" t="s">
        <v>309</v>
      </c>
      <c r="D172" s="716">
        <f t="shared" si="31"/>
        <v>4</v>
      </c>
      <c r="E172" s="825">
        <v>0.4</v>
      </c>
      <c r="F172" s="825">
        <v>0.4</v>
      </c>
      <c r="G172" s="825">
        <v>0.4</v>
      </c>
      <c r="H172" s="825">
        <v>0.4</v>
      </c>
      <c r="I172" s="825">
        <v>0.4</v>
      </c>
      <c r="J172" s="825">
        <v>0.4</v>
      </c>
      <c r="K172" s="825">
        <v>0.4</v>
      </c>
      <c r="L172" s="825">
        <v>0.4</v>
      </c>
      <c r="M172" s="825">
        <v>0.4</v>
      </c>
      <c r="N172" s="825">
        <v>0.4</v>
      </c>
      <c r="O172" s="825">
        <v>0.4</v>
      </c>
      <c r="P172" s="825">
        <v>0.4</v>
      </c>
      <c r="Q172" s="825">
        <v>0.4</v>
      </c>
      <c r="T172" s="825">
        <v>0.4</v>
      </c>
      <c r="U172" s="825">
        <v>0.4</v>
      </c>
      <c r="V172" s="825">
        <v>0.4</v>
      </c>
      <c r="W172" s="825">
        <v>0.4</v>
      </c>
      <c r="X172" s="825">
        <v>0.4</v>
      </c>
      <c r="Y172" s="825">
        <v>0.4</v>
      </c>
    </row>
    <row r="173" spans="2:25" outlineLevel="1">
      <c r="B173" s="735"/>
      <c r="C173" s="740" t="s">
        <v>309</v>
      </c>
      <c r="D173" s="716">
        <f t="shared" si="31"/>
        <v>5</v>
      </c>
      <c r="E173" s="825">
        <v>0.1</v>
      </c>
      <c r="F173" s="825">
        <v>0.1</v>
      </c>
      <c r="G173" s="825">
        <v>0.1</v>
      </c>
      <c r="H173" s="825">
        <v>0.1</v>
      </c>
      <c r="I173" s="825">
        <v>0.1</v>
      </c>
      <c r="J173" s="825">
        <v>0.1</v>
      </c>
      <c r="K173" s="825">
        <v>0.1</v>
      </c>
      <c r="L173" s="825">
        <v>0.1</v>
      </c>
      <c r="M173" s="825">
        <v>0.1</v>
      </c>
      <c r="N173" s="825">
        <v>0.1</v>
      </c>
      <c r="O173" s="825">
        <v>0.1</v>
      </c>
      <c r="P173" s="825">
        <v>0.1</v>
      </c>
      <c r="Q173" s="825">
        <v>0.1</v>
      </c>
      <c r="T173" s="825">
        <v>0.1</v>
      </c>
      <c r="U173" s="825">
        <v>0.1</v>
      </c>
      <c r="V173" s="825">
        <v>0.1</v>
      </c>
      <c r="W173" s="825">
        <v>0.1</v>
      </c>
      <c r="X173" s="825">
        <v>0.1</v>
      </c>
      <c r="Y173" s="825">
        <v>0.1</v>
      </c>
    </row>
    <row r="174" spans="2:25" outlineLevel="1">
      <c r="B174" s="735"/>
      <c r="C174" s="740" t="s">
        <v>309</v>
      </c>
      <c r="D174" s="716">
        <f t="shared" si="31"/>
        <v>6</v>
      </c>
      <c r="E174" s="825">
        <v>0</v>
      </c>
      <c r="F174" s="825">
        <v>0</v>
      </c>
      <c r="G174" s="825">
        <v>0</v>
      </c>
      <c r="H174" s="825">
        <v>0</v>
      </c>
      <c r="I174" s="825">
        <v>0</v>
      </c>
      <c r="J174" s="825">
        <v>0</v>
      </c>
      <c r="K174" s="825">
        <v>0</v>
      </c>
      <c r="L174" s="825">
        <v>0</v>
      </c>
      <c r="M174" s="825">
        <v>0</v>
      </c>
      <c r="N174" s="825">
        <v>0</v>
      </c>
      <c r="O174" s="825">
        <v>0</v>
      </c>
      <c r="P174" s="825">
        <v>0</v>
      </c>
      <c r="Q174" s="825">
        <v>0</v>
      </c>
      <c r="T174" s="825">
        <v>0</v>
      </c>
      <c r="U174" s="825">
        <v>0</v>
      </c>
      <c r="V174" s="825">
        <v>0</v>
      </c>
      <c r="W174" s="825">
        <v>0</v>
      </c>
      <c r="X174" s="825">
        <v>0</v>
      </c>
      <c r="Y174" s="825">
        <v>0</v>
      </c>
    </row>
    <row r="175" spans="2:25" outlineLevel="1">
      <c r="B175" s="735"/>
      <c r="C175" s="740" t="s">
        <v>309</v>
      </c>
      <c r="D175" s="716">
        <f t="shared" si="31"/>
        <v>7</v>
      </c>
      <c r="E175" s="825">
        <v>0</v>
      </c>
      <c r="F175" s="825">
        <v>0</v>
      </c>
      <c r="G175" s="825">
        <v>0</v>
      </c>
      <c r="H175" s="825">
        <v>0</v>
      </c>
      <c r="I175" s="825">
        <v>0</v>
      </c>
      <c r="J175" s="825">
        <v>0</v>
      </c>
      <c r="K175" s="825">
        <v>0</v>
      </c>
      <c r="L175" s="825">
        <v>0</v>
      </c>
      <c r="M175" s="825">
        <v>0</v>
      </c>
      <c r="N175" s="825">
        <v>0</v>
      </c>
      <c r="O175" s="825">
        <v>0</v>
      </c>
      <c r="P175" s="825">
        <v>0</v>
      </c>
      <c r="Q175" s="825">
        <v>0</v>
      </c>
      <c r="T175" s="825">
        <v>0</v>
      </c>
      <c r="U175" s="825">
        <v>0</v>
      </c>
      <c r="V175" s="825">
        <v>0</v>
      </c>
      <c r="W175" s="825">
        <v>0</v>
      </c>
      <c r="X175" s="825">
        <v>0</v>
      </c>
      <c r="Y175" s="825">
        <v>0</v>
      </c>
    </row>
    <row r="176" spans="2:25" outlineLevel="2">
      <c r="B176" s="735"/>
      <c r="C176" s="740" t="s">
        <v>309</v>
      </c>
      <c r="D176" s="716">
        <f t="shared" si="31"/>
        <v>8</v>
      </c>
      <c r="E176" s="825"/>
      <c r="F176" s="825"/>
      <c r="G176" s="825"/>
      <c r="H176" s="825"/>
      <c r="I176" s="825"/>
      <c r="J176" s="825"/>
      <c r="K176" s="825"/>
      <c r="L176" s="825"/>
      <c r="M176" s="825"/>
      <c r="N176" s="825"/>
      <c r="O176" s="825"/>
      <c r="P176" s="825"/>
      <c r="Q176" s="825"/>
      <c r="T176" s="825"/>
      <c r="U176" s="825"/>
      <c r="V176" s="825"/>
      <c r="W176" s="825"/>
      <c r="X176" s="825"/>
      <c r="Y176" s="825"/>
    </row>
    <row r="177" spans="2:25" outlineLevel="2">
      <c r="B177" s="735"/>
      <c r="C177" s="740" t="s">
        <v>309</v>
      </c>
      <c r="D177" s="716">
        <f t="shared" si="31"/>
        <v>9</v>
      </c>
      <c r="E177" s="825"/>
      <c r="F177" s="825"/>
      <c r="G177" s="825"/>
      <c r="H177" s="825"/>
      <c r="I177" s="825"/>
      <c r="J177" s="825"/>
      <c r="K177" s="825"/>
      <c r="L177" s="825"/>
      <c r="M177" s="825"/>
      <c r="N177" s="825"/>
      <c r="O177" s="825"/>
      <c r="P177" s="825"/>
      <c r="Q177" s="825"/>
      <c r="T177" s="825"/>
      <c r="U177" s="825"/>
      <c r="V177" s="825"/>
      <c r="W177" s="825"/>
      <c r="X177" s="825"/>
      <c r="Y177" s="825"/>
    </row>
    <row r="178" spans="2:25" outlineLevel="2">
      <c r="B178" s="735"/>
      <c r="C178" s="740" t="s">
        <v>309</v>
      </c>
      <c r="D178" s="716">
        <f t="shared" si="31"/>
        <v>10</v>
      </c>
      <c r="E178" s="825"/>
      <c r="F178" s="825"/>
      <c r="G178" s="825"/>
      <c r="H178" s="825"/>
      <c r="I178" s="825"/>
      <c r="J178" s="825"/>
      <c r="K178" s="825"/>
      <c r="L178" s="825"/>
      <c r="M178" s="825"/>
      <c r="N178" s="825"/>
      <c r="O178" s="825"/>
      <c r="P178" s="825"/>
      <c r="Q178" s="825"/>
      <c r="T178" s="825"/>
      <c r="U178" s="825"/>
      <c r="V178" s="825"/>
      <c r="W178" s="825"/>
      <c r="X178" s="825"/>
      <c r="Y178" s="825"/>
    </row>
    <row r="179" spans="2:25" outlineLevel="2">
      <c r="B179" s="735"/>
      <c r="C179" s="740" t="s">
        <v>309</v>
      </c>
      <c r="D179" s="716">
        <f t="shared" si="31"/>
        <v>11</v>
      </c>
      <c r="E179" s="825"/>
      <c r="F179" s="825"/>
      <c r="G179" s="825"/>
      <c r="H179" s="825"/>
      <c r="I179" s="825"/>
      <c r="J179" s="825"/>
      <c r="K179" s="825"/>
      <c r="L179" s="825"/>
      <c r="M179" s="825"/>
      <c r="N179" s="825"/>
      <c r="O179" s="825"/>
      <c r="P179" s="825"/>
      <c r="Q179" s="825"/>
      <c r="T179" s="825"/>
      <c r="U179" s="825"/>
      <c r="V179" s="825"/>
      <c r="W179" s="825"/>
      <c r="X179" s="825"/>
      <c r="Y179" s="825"/>
    </row>
    <row r="180" spans="2:25" outlineLevel="2">
      <c r="B180" s="735"/>
      <c r="C180" s="740" t="s">
        <v>309</v>
      </c>
      <c r="D180" s="716">
        <f t="shared" si="31"/>
        <v>12</v>
      </c>
      <c r="E180" s="825"/>
      <c r="F180" s="825"/>
      <c r="G180" s="825"/>
      <c r="H180" s="825"/>
      <c r="I180" s="825"/>
      <c r="J180" s="825"/>
      <c r="K180" s="825"/>
      <c r="L180" s="825"/>
      <c r="M180" s="825"/>
      <c r="N180" s="825"/>
      <c r="O180" s="825"/>
      <c r="P180" s="825"/>
      <c r="Q180" s="825"/>
      <c r="T180" s="825"/>
      <c r="U180" s="825"/>
      <c r="V180" s="825"/>
      <c r="W180" s="825"/>
      <c r="X180" s="825"/>
      <c r="Y180" s="825"/>
    </row>
    <row r="181" spans="2:25" outlineLevel="2">
      <c r="B181" s="735"/>
      <c r="C181" s="740" t="s">
        <v>309</v>
      </c>
      <c r="D181" s="716">
        <f t="shared" si="31"/>
        <v>13</v>
      </c>
      <c r="E181" s="826"/>
      <c r="F181" s="826"/>
      <c r="G181" s="826"/>
      <c r="H181" s="826"/>
      <c r="I181" s="826"/>
      <c r="J181" s="826"/>
      <c r="K181" s="826"/>
      <c r="L181" s="826"/>
      <c r="M181" s="826"/>
      <c r="N181" s="826"/>
      <c r="O181" s="826"/>
      <c r="P181" s="826"/>
      <c r="Q181" s="826"/>
      <c r="T181" s="826"/>
      <c r="U181" s="826"/>
      <c r="V181" s="826"/>
      <c r="W181" s="826"/>
      <c r="X181" s="826"/>
      <c r="Y181" s="826"/>
    </row>
    <row r="182" spans="2:25" outlineLevel="2">
      <c r="B182" s="735"/>
      <c r="C182" s="740" t="s">
        <v>309</v>
      </c>
      <c r="D182" s="716">
        <f t="shared" si="31"/>
        <v>14</v>
      </c>
      <c r="E182" s="826"/>
      <c r="F182" s="826"/>
      <c r="G182" s="826"/>
      <c r="H182" s="826"/>
      <c r="I182" s="826"/>
      <c r="J182" s="826"/>
      <c r="K182" s="826"/>
      <c r="L182" s="826"/>
      <c r="M182" s="826"/>
      <c r="N182" s="826"/>
      <c r="O182" s="826"/>
      <c r="P182" s="826"/>
      <c r="Q182" s="826"/>
      <c r="T182" s="826"/>
      <c r="U182" s="826"/>
      <c r="V182" s="826"/>
      <c r="W182" s="826"/>
      <c r="X182" s="826"/>
      <c r="Y182" s="826"/>
    </row>
    <row r="183" spans="2:25" outlineLevel="2">
      <c r="B183" s="735"/>
      <c r="C183" s="740" t="s">
        <v>309</v>
      </c>
      <c r="D183" s="716">
        <f t="shared" si="31"/>
        <v>15</v>
      </c>
      <c r="E183" s="826"/>
      <c r="F183" s="826"/>
      <c r="G183" s="826"/>
      <c r="H183" s="826"/>
      <c r="I183" s="826"/>
      <c r="J183" s="826"/>
      <c r="K183" s="826"/>
      <c r="L183" s="826"/>
      <c r="M183" s="826"/>
      <c r="N183" s="826"/>
      <c r="O183" s="826"/>
      <c r="P183" s="826"/>
      <c r="Q183" s="826"/>
      <c r="T183" s="826"/>
      <c r="U183" s="826"/>
      <c r="V183" s="826"/>
      <c r="W183" s="826"/>
      <c r="X183" s="826"/>
      <c r="Y183" s="826"/>
    </row>
    <row r="184" spans="2:25" outlineLevel="2">
      <c r="B184" s="735"/>
      <c r="C184" s="740" t="s">
        <v>309</v>
      </c>
      <c r="D184" s="716">
        <f t="shared" si="31"/>
        <v>16</v>
      </c>
      <c r="E184" s="826"/>
      <c r="F184" s="826"/>
      <c r="G184" s="826"/>
      <c r="H184" s="826"/>
      <c r="I184" s="826"/>
      <c r="J184" s="826"/>
      <c r="K184" s="826"/>
      <c r="L184" s="826"/>
      <c r="M184" s="826"/>
      <c r="N184" s="826"/>
      <c r="O184" s="826"/>
      <c r="P184" s="826"/>
      <c r="Q184" s="826"/>
      <c r="T184" s="826"/>
      <c r="U184" s="826"/>
      <c r="V184" s="826"/>
      <c r="W184" s="826"/>
      <c r="X184" s="826"/>
      <c r="Y184" s="826"/>
    </row>
    <row r="185" spans="2:25" outlineLevel="2">
      <c r="B185" s="735"/>
      <c r="C185" s="740" t="s">
        <v>309</v>
      </c>
      <c r="D185" s="716">
        <f t="shared" si="31"/>
        <v>17</v>
      </c>
      <c r="E185" s="826"/>
      <c r="F185" s="826"/>
      <c r="G185" s="826"/>
      <c r="H185" s="826"/>
      <c r="I185" s="826"/>
      <c r="J185" s="826"/>
      <c r="K185" s="826"/>
      <c r="L185" s="826"/>
      <c r="M185" s="826"/>
      <c r="N185" s="826"/>
      <c r="O185" s="826"/>
      <c r="P185" s="826"/>
      <c r="Q185" s="826"/>
      <c r="T185" s="826"/>
      <c r="U185" s="826"/>
      <c r="V185" s="826"/>
      <c r="W185" s="826"/>
      <c r="X185" s="826"/>
      <c r="Y185" s="826"/>
    </row>
    <row r="186" spans="2:25" outlineLevel="2">
      <c r="B186" s="735"/>
      <c r="C186" s="740" t="s">
        <v>309</v>
      </c>
      <c r="D186" s="716">
        <f t="shared" si="31"/>
        <v>18</v>
      </c>
      <c r="E186" s="826"/>
      <c r="F186" s="826"/>
      <c r="G186" s="826"/>
      <c r="H186" s="826"/>
      <c r="I186" s="826"/>
      <c r="J186" s="826"/>
      <c r="K186" s="826"/>
      <c r="L186" s="826"/>
      <c r="M186" s="826"/>
      <c r="N186" s="826"/>
      <c r="O186" s="826"/>
      <c r="P186" s="826"/>
      <c r="Q186" s="826"/>
      <c r="T186" s="826"/>
      <c r="U186" s="826"/>
      <c r="V186" s="826"/>
      <c r="W186" s="826"/>
      <c r="X186" s="826"/>
      <c r="Y186" s="826"/>
    </row>
    <row r="187" spans="2:25" outlineLevel="2">
      <c r="B187" s="735"/>
      <c r="C187" s="740" t="s">
        <v>309</v>
      </c>
      <c r="D187" s="716">
        <f t="shared" si="31"/>
        <v>19</v>
      </c>
      <c r="E187" s="826"/>
      <c r="F187" s="826"/>
      <c r="G187" s="826"/>
      <c r="H187" s="826"/>
      <c r="I187" s="826"/>
      <c r="J187" s="826"/>
      <c r="K187" s="826"/>
      <c r="L187" s="826"/>
      <c r="M187" s="826"/>
      <c r="N187" s="826"/>
      <c r="O187" s="826"/>
      <c r="P187" s="826"/>
      <c r="Q187" s="826"/>
      <c r="T187" s="826"/>
      <c r="U187" s="826"/>
      <c r="V187" s="826"/>
      <c r="W187" s="826"/>
      <c r="X187" s="826"/>
      <c r="Y187" s="826"/>
    </row>
    <row r="188" spans="2:25" outlineLevel="2">
      <c r="B188" s="735"/>
      <c r="C188" s="740" t="s">
        <v>309</v>
      </c>
      <c r="D188" s="716">
        <f t="shared" si="31"/>
        <v>20</v>
      </c>
      <c r="E188" s="826"/>
      <c r="F188" s="826"/>
      <c r="G188" s="826"/>
      <c r="H188" s="826"/>
      <c r="I188" s="826"/>
      <c r="J188" s="826"/>
      <c r="K188" s="826"/>
      <c r="L188" s="826"/>
      <c r="M188" s="826"/>
      <c r="N188" s="826"/>
      <c r="O188" s="826"/>
      <c r="P188" s="826"/>
      <c r="Q188" s="826"/>
      <c r="T188" s="826"/>
      <c r="U188" s="826"/>
      <c r="V188" s="826"/>
      <c r="W188" s="826"/>
      <c r="X188" s="826"/>
      <c r="Y188" s="826"/>
    </row>
    <row r="189" spans="2:25" outlineLevel="2">
      <c r="B189" s="735"/>
      <c r="C189" s="740" t="s">
        <v>309</v>
      </c>
      <c r="D189" s="716">
        <f t="shared" si="31"/>
        <v>21</v>
      </c>
      <c r="E189" s="826"/>
      <c r="F189" s="826"/>
      <c r="G189" s="826"/>
      <c r="H189" s="826"/>
      <c r="I189" s="826"/>
      <c r="J189" s="826"/>
      <c r="K189" s="826"/>
      <c r="L189" s="826"/>
      <c r="M189" s="826"/>
      <c r="N189" s="826"/>
      <c r="O189" s="826"/>
      <c r="P189" s="826"/>
      <c r="Q189" s="826"/>
      <c r="T189" s="826"/>
      <c r="U189" s="826"/>
      <c r="V189" s="826"/>
      <c r="W189" s="826"/>
      <c r="X189" s="826"/>
      <c r="Y189" s="826"/>
    </row>
    <row r="190" spans="2:25" outlineLevel="2">
      <c r="B190" s="735"/>
      <c r="C190" s="740" t="s">
        <v>309</v>
      </c>
      <c r="D190" s="716">
        <f t="shared" si="31"/>
        <v>22</v>
      </c>
      <c r="E190" s="826"/>
      <c r="F190" s="826"/>
      <c r="G190" s="826"/>
      <c r="H190" s="826"/>
      <c r="I190" s="826"/>
      <c r="J190" s="826"/>
      <c r="K190" s="826"/>
      <c r="L190" s="826"/>
      <c r="M190" s="826"/>
      <c r="N190" s="826"/>
      <c r="O190" s="826"/>
      <c r="P190" s="826"/>
      <c r="Q190" s="826"/>
      <c r="T190" s="826"/>
      <c r="U190" s="826"/>
      <c r="V190" s="826"/>
      <c r="W190" s="826"/>
      <c r="X190" s="826"/>
      <c r="Y190" s="826"/>
    </row>
    <row r="191" spans="2:25" outlineLevel="2">
      <c r="B191" s="735"/>
      <c r="C191" s="740" t="s">
        <v>309</v>
      </c>
      <c r="D191" s="716">
        <f t="shared" si="31"/>
        <v>23</v>
      </c>
      <c r="E191" s="826"/>
      <c r="F191" s="826"/>
      <c r="G191" s="826"/>
      <c r="H191" s="826"/>
      <c r="I191" s="826"/>
      <c r="J191" s="826"/>
      <c r="K191" s="826"/>
      <c r="L191" s="826"/>
      <c r="M191" s="826"/>
      <c r="N191" s="826"/>
      <c r="O191" s="826"/>
      <c r="P191" s="826"/>
      <c r="Q191" s="826"/>
      <c r="T191" s="826"/>
      <c r="U191" s="826"/>
      <c r="V191" s="826"/>
      <c r="W191" s="826"/>
      <c r="X191" s="826"/>
      <c r="Y191" s="826"/>
    </row>
    <row r="192" spans="2:25" outlineLevel="2">
      <c r="B192" s="735"/>
      <c r="C192" s="740" t="s">
        <v>309</v>
      </c>
      <c r="D192" s="716">
        <f t="shared" si="31"/>
        <v>24</v>
      </c>
      <c r="E192" s="826"/>
      <c r="F192" s="826"/>
      <c r="G192" s="826"/>
      <c r="H192" s="826"/>
      <c r="I192" s="826"/>
      <c r="J192" s="826"/>
      <c r="K192" s="826"/>
      <c r="L192" s="826"/>
      <c r="M192" s="826"/>
      <c r="N192" s="826"/>
      <c r="O192" s="826"/>
      <c r="P192" s="826"/>
      <c r="Q192" s="826"/>
      <c r="T192" s="826"/>
      <c r="U192" s="826"/>
      <c r="V192" s="826"/>
      <c r="W192" s="826"/>
      <c r="X192" s="826"/>
      <c r="Y192" s="826"/>
    </row>
    <row r="193" spans="2:25" outlineLevel="1">
      <c r="B193" s="735" t="s">
        <v>540</v>
      </c>
      <c r="C193" s="1365" t="s">
        <v>570</v>
      </c>
      <c r="D193" s="1366"/>
      <c r="E193" s="826"/>
      <c r="F193" s="826"/>
      <c r="G193" s="826"/>
      <c r="H193" s="826"/>
      <c r="I193" s="826"/>
      <c r="J193" s="826"/>
      <c r="K193" s="826"/>
      <c r="L193" s="826"/>
      <c r="M193" s="826"/>
      <c r="N193" s="826"/>
      <c r="O193" s="826"/>
      <c r="P193" s="826"/>
      <c r="Q193" s="826"/>
      <c r="T193" s="826"/>
      <c r="U193" s="826"/>
      <c r="V193" s="826"/>
      <c r="W193" s="826"/>
      <c r="X193" s="826"/>
      <c r="Y193" s="826"/>
    </row>
    <row r="194" spans="2:25" outlineLevel="1">
      <c r="E194" s="754"/>
      <c r="F194" s="754"/>
      <c r="G194" s="754"/>
      <c r="H194" s="754"/>
      <c r="I194" s="754"/>
      <c r="J194" s="754"/>
      <c r="K194" s="754"/>
      <c r="L194" s="754"/>
      <c r="M194" s="754"/>
      <c r="N194" s="754"/>
      <c r="O194" s="754"/>
      <c r="P194" s="754"/>
      <c r="Q194" s="754"/>
      <c r="T194" s="955"/>
      <c r="U194" s="955"/>
      <c r="V194" s="955"/>
      <c r="W194" s="955"/>
      <c r="X194" s="955"/>
      <c r="Y194" s="955"/>
    </row>
    <row r="195" spans="2:25" outlineLevel="1">
      <c r="B195" s="803" t="s">
        <v>427</v>
      </c>
      <c r="D195" s="749"/>
      <c r="E195" s="755">
        <f>+E197/E24</f>
        <v>180000000</v>
      </c>
      <c r="F195" s="755"/>
      <c r="G195" s="755"/>
      <c r="H195" s="755"/>
      <c r="I195" s="755"/>
      <c r="J195" s="755">
        <f t="shared" ref="J195:Q195" si="32">+J197/J24</f>
        <v>180000000</v>
      </c>
      <c r="K195" s="755">
        <f t="shared" si="32"/>
        <v>180000000</v>
      </c>
      <c r="L195" s="755">
        <f t="shared" si="32"/>
        <v>180000000</v>
      </c>
      <c r="M195" s="755">
        <f t="shared" si="32"/>
        <v>180000000</v>
      </c>
      <c r="N195" s="755">
        <f t="shared" si="32"/>
        <v>180000000</v>
      </c>
      <c r="O195" s="755">
        <f t="shared" si="32"/>
        <v>180000000</v>
      </c>
      <c r="P195" s="755">
        <f t="shared" si="32"/>
        <v>180000000</v>
      </c>
      <c r="Q195" s="755">
        <f t="shared" si="32"/>
        <v>180000000</v>
      </c>
      <c r="T195" s="956">
        <f>+T197/T24</f>
        <v>0</v>
      </c>
      <c r="U195" s="956"/>
      <c r="V195" s="956"/>
      <c r="W195" s="956"/>
      <c r="X195" s="956"/>
      <c r="Y195" s="956">
        <f>+Y197/Y24</f>
        <v>0</v>
      </c>
    </row>
    <row r="196" spans="2:25" ht="16.5" customHeight="1" outlineLevel="1">
      <c r="B196" s="735" t="s">
        <v>487</v>
      </c>
      <c r="C196" s="760"/>
      <c r="D196" s="759"/>
      <c r="E196" s="801"/>
      <c r="F196" s="801"/>
      <c r="G196" s="801"/>
      <c r="H196" s="801"/>
      <c r="I196" s="801"/>
      <c r="J196" s="801"/>
      <c r="K196" s="801"/>
      <c r="L196" s="801"/>
      <c r="M196" s="801"/>
      <c r="N196" s="801"/>
      <c r="O196" s="801"/>
      <c r="P196" s="801"/>
      <c r="Q196" s="801"/>
      <c r="R196" s="745"/>
      <c r="T196" s="801"/>
      <c r="U196" s="801"/>
      <c r="V196" s="801"/>
      <c r="W196" s="801"/>
      <c r="X196" s="801"/>
      <c r="Y196" s="801"/>
    </row>
    <row r="197" spans="2:25" outlineLevel="1">
      <c r="B197" s="735" t="s">
        <v>528</v>
      </c>
      <c r="D197" s="813" t="s">
        <v>571</v>
      </c>
      <c r="E197" s="821">
        <f>+'Input 기초'!F80</f>
        <v>147097800</v>
      </c>
      <c r="F197" s="821">
        <f>+'Input 기초'!G80</f>
        <v>43324200</v>
      </c>
      <c r="G197" s="821">
        <f>+'Input 기초'!H80</f>
        <v>69523200</v>
      </c>
      <c r="H197" s="821">
        <f>+'Input 기초'!I80</f>
        <v>37800000</v>
      </c>
      <c r="I197" s="821">
        <f>+'Input 기초'!J80</f>
        <v>21960000</v>
      </c>
      <c r="J197" s="821">
        <f>+'Input 기초'!K80</f>
        <v>78840000</v>
      </c>
      <c r="K197" s="821">
        <f>+'Input 기초'!L80</f>
        <v>30780000.000000004</v>
      </c>
      <c r="L197" s="821">
        <f>+'Input 기초'!M80</f>
        <v>94860000</v>
      </c>
      <c r="M197" s="821">
        <f>+'Input 기초'!N80</f>
        <v>42120000</v>
      </c>
      <c r="N197" s="821">
        <f>+'Input 기초'!O80</f>
        <v>90000000</v>
      </c>
      <c r="O197" s="821">
        <f>+'Input 기초'!P80</f>
        <v>22860000</v>
      </c>
      <c r="P197" s="821">
        <f>+'Input 기초'!Q80</f>
        <v>28980000</v>
      </c>
      <c r="Q197" s="821">
        <f>+'Input 기초'!R80</f>
        <v>48420000</v>
      </c>
      <c r="R197" s="761"/>
      <c r="T197" s="821">
        <f>+'Input 기초'!U80</f>
        <v>0</v>
      </c>
      <c r="U197" s="821">
        <f>+'Input 기초'!V80</f>
        <v>0</v>
      </c>
      <c r="V197" s="821">
        <f>+'Input 기초'!W80</f>
        <v>0</v>
      </c>
      <c r="W197" s="821">
        <f>+'Input 기초'!X80</f>
        <v>0</v>
      </c>
      <c r="X197" s="821">
        <f>+'Input 기초'!Y80</f>
        <v>0</v>
      </c>
      <c r="Y197" s="821">
        <f>+'Input 기초'!Z80</f>
        <v>0</v>
      </c>
    </row>
    <row r="198" spans="2:25" ht="16.5" customHeight="1" outlineLevel="1">
      <c r="B198" s="735" t="s">
        <v>542</v>
      </c>
      <c r="D198" s="721" t="s">
        <v>533</v>
      </c>
      <c r="E198" s="822">
        <v>1</v>
      </c>
      <c r="F198" s="822">
        <v>1</v>
      </c>
      <c r="G198" s="822">
        <v>1</v>
      </c>
      <c r="H198" s="822">
        <v>1</v>
      </c>
      <c r="I198" s="822">
        <v>1</v>
      </c>
      <c r="J198" s="822">
        <v>1</v>
      </c>
      <c r="K198" s="822">
        <v>1</v>
      </c>
      <c r="L198" s="822">
        <v>1</v>
      </c>
      <c r="M198" s="822">
        <v>1</v>
      </c>
      <c r="N198" s="822">
        <v>1</v>
      </c>
      <c r="O198" s="822">
        <v>1</v>
      </c>
      <c r="P198" s="822">
        <v>1</v>
      </c>
      <c r="Q198" s="822">
        <v>1</v>
      </c>
      <c r="T198" s="822">
        <v>1</v>
      </c>
      <c r="U198" s="822">
        <v>1</v>
      </c>
      <c r="V198" s="822">
        <v>1</v>
      </c>
      <c r="W198" s="822">
        <v>1</v>
      </c>
      <c r="X198" s="822">
        <v>1</v>
      </c>
      <c r="Y198" s="822">
        <v>1</v>
      </c>
    </row>
    <row r="199" spans="2:25" ht="16.5" customHeight="1" outlineLevel="1">
      <c r="B199" s="735" t="s">
        <v>534</v>
      </c>
      <c r="C199" s="740" t="s">
        <v>572</v>
      </c>
      <c r="D199" s="721" t="s">
        <v>301</v>
      </c>
      <c r="E199" s="823"/>
      <c r="F199" s="823"/>
      <c r="G199" s="823"/>
      <c r="H199" s="823"/>
      <c r="I199" s="823"/>
      <c r="J199" s="823"/>
      <c r="K199" s="823"/>
      <c r="L199" s="823"/>
      <c r="M199" s="823"/>
      <c r="N199" s="823"/>
      <c r="O199" s="823"/>
      <c r="P199" s="823"/>
      <c r="Q199" s="823"/>
      <c r="T199" s="823"/>
      <c r="U199" s="823"/>
      <c r="V199" s="823"/>
      <c r="W199" s="823"/>
      <c r="X199" s="823"/>
      <c r="Y199" s="823"/>
    </row>
    <row r="200" spans="2:25" ht="16.5" customHeight="1" outlineLevel="1">
      <c r="B200" s="735" t="s">
        <v>536</v>
      </c>
      <c r="D200" s="721" t="s">
        <v>309</v>
      </c>
      <c r="E200" s="824"/>
      <c r="F200" s="824"/>
      <c r="G200" s="824"/>
      <c r="H200" s="824"/>
      <c r="I200" s="824"/>
      <c r="J200" s="824"/>
      <c r="K200" s="824"/>
      <c r="L200" s="824"/>
      <c r="M200" s="824"/>
      <c r="N200" s="824"/>
      <c r="O200" s="824"/>
      <c r="P200" s="824"/>
      <c r="Q200" s="824"/>
      <c r="T200" s="824"/>
      <c r="U200" s="824"/>
      <c r="V200" s="824"/>
      <c r="W200" s="824"/>
      <c r="X200" s="824"/>
      <c r="Y200" s="824"/>
    </row>
    <row r="201" spans="2:25" outlineLevel="1">
      <c r="B201" s="735" t="s">
        <v>568</v>
      </c>
      <c r="C201" s="740" t="s">
        <v>569</v>
      </c>
      <c r="D201" s="716">
        <v>1</v>
      </c>
      <c r="E201" s="825">
        <v>1</v>
      </c>
      <c r="F201" s="825">
        <v>1</v>
      </c>
      <c r="G201" s="825">
        <v>1</v>
      </c>
      <c r="H201" s="825">
        <v>1</v>
      </c>
      <c r="I201" s="825">
        <v>1</v>
      </c>
      <c r="J201" s="825">
        <v>1</v>
      </c>
      <c r="K201" s="825">
        <v>1</v>
      </c>
      <c r="L201" s="825">
        <v>1</v>
      </c>
      <c r="M201" s="825">
        <v>1</v>
      </c>
      <c r="N201" s="825">
        <v>1</v>
      </c>
      <c r="O201" s="825">
        <v>1</v>
      </c>
      <c r="P201" s="825">
        <v>1</v>
      </c>
      <c r="Q201" s="825">
        <v>1</v>
      </c>
      <c r="T201" s="825">
        <v>1</v>
      </c>
      <c r="U201" s="825">
        <v>1</v>
      </c>
      <c r="V201" s="825">
        <v>1</v>
      </c>
      <c r="W201" s="825">
        <v>1</v>
      </c>
      <c r="X201" s="825">
        <v>1</v>
      </c>
      <c r="Y201" s="825">
        <v>1</v>
      </c>
    </row>
    <row r="202" spans="2:25" outlineLevel="1">
      <c r="B202" s="735"/>
      <c r="C202" s="740" t="s">
        <v>309</v>
      </c>
      <c r="D202" s="716">
        <f t="shared" ref="D202:D224" si="33">+D201+1</f>
        <v>2</v>
      </c>
      <c r="E202" s="825">
        <f>+'[6]입력 시트(0124)'!E200</f>
        <v>0</v>
      </c>
      <c r="F202" s="825">
        <f>+'[6]입력 시트(0124)'!F200</f>
        <v>0</v>
      </c>
      <c r="G202" s="825">
        <f>+'[6]입력 시트(0124)'!G200</f>
        <v>0</v>
      </c>
      <c r="H202" s="825">
        <f>+'[6]입력 시트(0124)'!H200</f>
        <v>0</v>
      </c>
      <c r="I202" s="825">
        <f>+'[6]입력 시트(0124)'!I200</f>
        <v>0</v>
      </c>
      <c r="J202" s="825">
        <v>0</v>
      </c>
      <c r="K202" s="825">
        <v>0</v>
      </c>
      <c r="L202" s="825">
        <v>0</v>
      </c>
      <c r="M202" s="825">
        <v>0</v>
      </c>
      <c r="N202" s="825">
        <v>0</v>
      </c>
      <c r="O202" s="825">
        <v>0</v>
      </c>
      <c r="P202" s="825">
        <v>0</v>
      </c>
      <c r="Q202" s="825">
        <v>0</v>
      </c>
      <c r="T202" s="825" t="e">
        <f>+'[6]입력 시트(0124)'!T200</f>
        <v>#REF!</v>
      </c>
      <c r="U202" s="825" t="e">
        <f>+'[6]입력 시트(0124)'!U200</f>
        <v>#REF!</v>
      </c>
      <c r="V202" s="825" t="e">
        <f>+'[6]입력 시트(0124)'!V200</f>
        <v>#REF!</v>
      </c>
      <c r="W202" s="825" t="e">
        <f>+'[6]입력 시트(0124)'!W200</f>
        <v>#REF!</v>
      </c>
      <c r="X202" s="825" t="e">
        <f>+'[6]입력 시트(0124)'!X200</f>
        <v>#REF!</v>
      </c>
      <c r="Y202" s="825">
        <v>0</v>
      </c>
    </row>
    <row r="203" spans="2:25" outlineLevel="1">
      <c r="B203" s="735"/>
      <c r="C203" s="740" t="s">
        <v>309</v>
      </c>
      <c r="D203" s="716">
        <f t="shared" si="33"/>
        <v>3</v>
      </c>
      <c r="E203" s="825">
        <f>+'[6]입력 시트(0124)'!E201</f>
        <v>0</v>
      </c>
      <c r="F203" s="825">
        <f>+'[6]입력 시트(0124)'!F201</f>
        <v>0</v>
      </c>
      <c r="G203" s="825">
        <f>+'[6]입력 시트(0124)'!G201</f>
        <v>0</v>
      </c>
      <c r="H203" s="825">
        <f>+'[6]입력 시트(0124)'!H201</f>
        <v>0</v>
      </c>
      <c r="I203" s="825">
        <f>+'[6]입력 시트(0124)'!I201</f>
        <v>0</v>
      </c>
      <c r="J203" s="825">
        <v>0</v>
      </c>
      <c r="K203" s="825">
        <v>0</v>
      </c>
      <c r="L203" s="825">
        <v>0</v>
      </c>
      <c r="M203" s="825">
        <v>0</v>
      </c>
      <c r="N203" s="825">
        <v>0</v>
      </c>
      <c r="O203" s="825">
        <v>0</v>
      </c>
      <c r="P203" s="825">
        <v>0</v>
      </c>
      <c r="Q203" s="825">
        <v>0</v>
      </c>
      <c r="T203" s="825" t="e">
        <f>+'[6]입력 시트(0124)'!T201</f>
        <v>#REF!</v>
      </c>
      <c r="U203" s="825" t="e">
        <f>+'[6]입력 시트(0124)'!U201</f>
        <v>#REF!</v>
      </c>
      <c r="V203" s="825" t="e">
        <f>+'[6]입력 시트(0124)'!V201</f>
        <v>#REF!</v>
      </c>
      <c r="W203" s="825" t="e">
        <f>+'[6]입력 시트(0124)'!W201</f>
        <v>#REF!</v>
      </c>
      <c r="X203" s="825" t="e">
        <f>+'[6]입력 시트(0124)'!X201</f>
        <v>#REF!</v>
      </c>
      <c r="Y203" s="825">
        <v>0</v>
      </c>
    </row>
    <row r="204" spans="2:25" outlineLevel="1">
      <c r="B204" s="735"/>
      <c r="C204" s="740" t="s">
        <v>309</v>
      </c>
      <c r="D204" s="716">
        <f t="shared" si="33"/>
        <v>4</v>
      </c>
      <c r="E204" s="825">
        <f>+'[6]입력 시트(0124)'!E202</f>
        <v>0</v>
      </c>
      <c r="F204" s="825">
        <f>+'[6]입력 시트(0124)'!F202</f>
        <v>0</v>
      </c>
      <c r="G204" s="825">
        <f>+'[6]입력 시트(0124)'!G202</f>
        <v>0</v>
      </c>
      <c r="H204" s="825">
        <f>+'[6]입력 시트(0124)'!H202</f>
        <v>0</v>
      </c>
      <c r="I204" s="825">
        <f>+'[6]입력 시트(0124)'!I202</f>
        <v>0</v>
      </c>
      <c r="J204" s="825">
        <v>0</v>
      </c>
      <c r="K204" s="825">
        <v>0</v>
      </c>
      <c r="L204" s="825">
        <v>0</v>
      </c>
      <c r="M204" s="825">
        <v>0</v>
      </c>
      <c r="N204" s="825">
        <v>0</v>
      </c>
      <c r="O204" s="825">
        <v>0</v>
      </c>
      <c r="P204" s="825">
        <v>0</v>
      </c>
      <c r="Q204" s="825">
        <v>0</v>
      </c>
      <c r="T204" s="825" t="e">
        <f>+'[6]입력 시트(0124)'!T202</f>
        <v>#REF!</v>
      </c>
      <c r="U204" s="825" t="e">
        <f>+'[6]입력 시트(0124)'!U202</f>
        <v>#REF!</v>
      </c>
      <c r="V204" s="825" t="e">
        <f>+'[6]입력 시트(0124)'!V202</f>
        <v>#REF!</v>
      </c>
      <c r="W204" s="825" t="e">
        <f>+'[6]입력 시트(0124)'!W202</f>
        <v>#REF!</v>
      </c>
      <c r="X204" s="825" t="e">
        <f>+'[6]입력 시트(0124)'!X202</f>
        <v>#REF!</v>
      </c>
      <c r="Y204" s="825">
        <v>0</v>
      </c>
    </row>
    <row r="205" spans="2:25" outlineLevel="1">
      <c r="B205" s="735"/>
      <c r="C205" s="740" t="s">
        <v>309</v>
      </c>
      <c r="D205" s="716">
        <f t="shared" si="33"/>
        <v>5</v>
      </c>
      <c r="E205" s="825">
        <v>0</v>
      </c>
      <c r="F205" s="825">
        <v>0</v>
      </c>
      <c r="G205" s="825">
        <v>0</v>
      </c>
      <c r="H205" s="825">
        <v>0</v>
      </c>
      <c r="I205" s="825">
        <v>0</v>
      </c>
      <c r="J205" s="825">
        <v>0</v>
      </c>
      <c r="K205" s="825">
        <v>0</v>
      </c>
      <c r="L205" s="825">
        <v>0</v>
      </c>
      <c r="M205" s="825">
        <v>0</v>
      </c>
      <c r="N205" s="825">
        <v>0</v>
      </c>
      <c r="O205" s="825">
        <v>0</v>
      </c>
      <c r="P205" s="825">
        <v>0</v>
      </c>
      <c r="Q205" s="825">
        <v>0</v>
      </c>
      <c r="T205" s="825">
        <v>0</v>
      </c>
      <c r="U205" s="825">
        <v>0</v>
      </c>
      <c r="V205" s="825">
        <v>0</v>
      </c>
      <c r="W205" s="825">
        <v>0</v>
      </c>
      <c r="X205" s="825">
        <v>0</v>
      </c>
      <c r="Y205" s="825">
        <v>0</v>
      </c>
    </row>
    <row r="206" spans="2:25" outlineLevel="1">
      <c r="B206" s="735"/>
      <c r="C206" s="740" t="s">
        <v>309</v>
      </c>
      <c r="D206" s="716">
        <f t="shared" si="33"/>
        <v>6</v>
      </c>
      <c r="E206" s="825">
        <f>+'[6]입력 시트(0124)'!E204</f>
        <v>0</v>
      </c>
      <c r="F206" s="825">
        <f>+'[6]입력 시트(0124)'!F204</f>
        <v>0</v>
      </c>
      <c r="G206" s="825">
        <f>+'[6]입력 시트(0124)'!G204</f>
        <v>0</v>
      </c>
      <c r="H206" s="825">
        <f>+'[6]입력 시트(0124)'!H204</f>
        <v>0</v>
      </c>
      <c r="I206" s="825">
        <f>+'[6]입력 시트(0124)'!I204</f>
        <v>0</v>
      </c>
      <c r="J206" s="825">
        <v>0</v>
      </c>
      <c r="K206" s="825">
        <v>0</v>
      </c>
      <c r="L206" s="825">
        <v>0</v>
      </c>
      <c r="M206" s="825">
        <v>0</v>
      </c>
      <c r="N206" s="825">
        <v>0</v>
      </c>
      <c r="O206" s="825">
        <v>0</v>
      </c>
      <c r="P206" s="825">
        <v>0</v>
      </c>
      <c r="Q206" s="825">
        <v>0</v>
      </c>
      <c r="T206" s="825" t="e">
        <f>+'[6]입력 시트(0124)'!T204</f>
        <v>#REF!</v>
      </c>
      <c r="U206" s="825" t="e">
        <f>+'[6]입력 시트(0124)'!U204</f>
        <v>#REF!</v>
      </c>
      <c r="V206" s="825" t="e">
        <f>+'[6]입력 시트(0124)'!V204</f>
        <v>#REF!</v>
      </c>
      <c r="W206" s="825" t="e">
        <f>+'[6]입력 시트(0124)'!W204</f>
        <v>#REF!</v>
      </c>
      <c r="X206" s="825" t="e">
        <f>+'[6]입력 시트(0124)'!X204</f>
        <v>#REF!</v>
      </c>
      <c r="Y206" s="825">
        <v>0</v>
      </c>
    </row>
    <row r="207" spans="2:25" outlineLevel="1">
      <c r="B207" s="735"/>
      <c r="C207" s="740" t="s">
        <v>309</v>
      </c>
      <c r="D207" s="716">
        <f t="shared" si="33"/>
        <v>7</v>
      </c>
      <c r="E207" s="825">
        <f>+'[6]입력 시트(0124)'!E205</f>
        <v>0</v>
      </c>
      <c r="F207" s="825">
        <f>+'[6]입력 시트(0124)'!F205</f>
        <v>0</v>
      </c>
      <c r="G207" s="825">
        <f>+'[6]입력 시트(0124)'!G205</f>
        <v>0</v>
      </c>
      <c r="H207" s="825">
        <f>+'[6]입력 시트(0124)'!H205</f>
        <v>0</v>
      </c>
      <c r="I207" s="825">
        <f>+'[6]입력 시트(0124)'!I205</f>
        <v>0</v>
      </c>
      <c r="J207" s="825">
        <v>0</v>
      </c>
      <c r="K207" s="825">
        <v>0</v>
      </c>
      <c r="L207" s="825">
        <v>0</v>
      </c>
      <c r="M207" s="825">
        <v>0</v>
      </c>
      <c r="N207" s="825">
        <v>0</v>
      </c>
      <c r="O207" s="825">
        <v>0</v>
      </c>
      <c r="P207" s="825">
        <v>0</v>
      </c>
      <c r="Q207" s="825">
        <v>0</v>
      </c>
      <c r="T207" s="825" t="e">
        <f>+'[6]입력 시트(0124)'!T205</f>
        <v>#REF!</v>
      </c>
      <c r="U207" s="825" t="e">
        <f>+'[6]입력 시트(0124)'!U205</f>
        <v>#REF!</v>
      </c>
      <c r="V207" s="825" t="e">
        <f>+'[6]입력 시트(0124)'!V205</f>
        <v>#REF!</v>
      </c>
      <c r="W207" s="825" t="e">
        <f>+'[6]입력 시트(0124)'!W205</f>
        <v>#REF!</v>
      </c>
      <c r="X207" s="825" t="e">
        <f>+'[6]입력 시트(0124)'!X205</f>
        <v>#REF!</v>
      </c>
      <c r="Y207" s="825">
        <v>0</v>
      </c>
    </row>
    <row r="208" spans="2:25" outlineLevel="1">
      <c r="B208" s="735"/>
      <c r="C208" s="740" t="s">
        <v>309</v>
      </c>
      <c r="D208" s="716">
        <f t="shared" si="33"/>
        <v>8</v>
      </c>
      <c r="E208" s="825">
        <f>+'[6]입력 시트(0124)'!E206</f>
        <v>0</v>
      </c>
      <c r="F208" s="825">
        <f>+'[6]입력 시트(0124)'!F206</f>
        <v>0</v>
      </c>
      <c r="G208" s="825">
        <f>+'[6]입력 시트(0124)'!G206</f>
        <v>0</v>
      </c>
      <c r="H208" s="825">
        <f>+'[6]입력 시트(0124)'!H206</f>
        <v>0</v>
      </c>
      <c r="I208" s="825">
        <f>+'[6]입력 시트(0124)'!I206</f>
        <v>0</v>
      </c>
      <c r="J208" s="825">
        <v>0</v>
      </c>
      <c r="K208" s="825">
        <v>0</v>
      </c>
      <c r="L208" s="825">
        <v>0</v>
      </c>
      <c r="M208" s="825">
        <v>0</v>
      </c>
      <c r="N208" s="825">
        <v>0</v>
      </c>
      <c r="O208" s="825">
        <v>0</v>
      </c>
      <c r="P208" s="825">
        <v>0</v>
      </c>
      <c r="Q208" s="825">
        <v>0</v>
      </c>
      <c r="T208" s="825" t="e">
        <f>+'[6]입력 시트(0124)'!T206</f>
        <v>#REF!</v>
      </c>
      <c r="U208" s="825" t="e">
        <f>+'[6]입력 시트(0124)'!U206</f>
        <v>#REF!</v>
      </c>
      <c r="V208" s="825" t="e">
        <f>+'[6]입력 시트(0124)'!V206</f>
        <v>#REF!</v>
      </c>
      <c r="W208" s="825" t="e">
        <f>+'[6]입력 시트(0124)'!W206</f>
        <v>#REF!</v>
      </c>
      <c r="X208" s="825" t="e">
        <f>+'[6]입력 시트(0124)'!X206</f>
        <v>#REF!</v>
      </c>
      <c r="Y208" s="825">
        <v>0</v>
      </c>
    </row>
    <row r="209" spans="2:25" outlineLevel="1">
      <c r="B209" s="735"/>
      <c r="C209" s="740" t="s">
        <v>309</v>
      </c>
      <c r="D209" s="716">
        <f t="shared" si="33"/>
        <v>9</v>
      </c>
      <c r="E209" s="825">
        <f>+'[6]입력 시트(0124)'!E207</f>
        <v>0</v>
      </c>
      <c r="F209" s="825">
        <f>+'[6]입력 시트(0124)'!F207</f>
        <v>0</v>
      </c>
      <c r="G209" s="825">
        <f>+'[6]입력 시트(0124)'!G207</f>
        <v>0</v>
      </c>
      <c r="H209" s="825">
        <f>+'[6]입력 시트(0124)'!H207</f>
        <v>0</v>
      </c>
      <c r="I209" s="825">
        <f>+'[6]입력 시트(0124)'!I207</f>
        <v>0</v>
      </c>
      <c r="J209" s="825">
        <v>0</v>
      </c>
      <c r="K209" s="825">
        <v>0</v>
      </c>
      <c r="L209" s="825">
        <v>0</v>
      </c>
      <c r="M209" s="825">
        <v>0</v>
      </c>
      <c r="N209" s="825">
        <v>0</v>
      </c>
      <c r="O209" s="825">
        <v>0</v>
      </c>
      <c r="P209" s="825">
        <v>0</v>
      </c>
      <c r="Q209" s="825">
        <v>0</v>
      </c>
      <c r="T209" s="825" t="e">
        <f>+'[6]입력 시트(0124)'!T207</f>
        <v>#REF!</v>
      </c>
      <c r="U209" s="825" t="e">
        <f>+'[6]입력 시트(0124)'!U207</f>
        <v>#REF!</v>
      </c>
      <c r="V209" s="825" t="e">
        <f>+'[6]입력 시트(0124)'!V207</f>
        <v>#REF!</v>
      </c>
      <c r="W209" s="825" t="e">
        <f>+'[6]입력 시트(0124)'!W207</f>
        <v>#REF!</v>
      </c>
      <c r="X209" s="825" t="e">
        <f>+'[6]입력 시트(0124)'!X207</f>
        <v>#REF!</v>
      </c>
      <c r="Y209" s="825">
        <v>0</v>
      </c>
    </row>
    <row r="210" spans="2:25" outlineLevel="1">
      <c r="B210" s="735"/>
      <c r="C210" s="740" t="s">
        <v>309</v>
      </c>
      <c r="D210" s="716">
        <f t="shared" si="33"/>
        <v>10</v>
      </c>
      <c r="E210" s="825">
        <f>+'[6]입력 시트(0124)'!E208</f>
        <v>0</v>
      </c>
      <c r="F210" s="825">
        <f>+'[6]입력 시트(0124)'!F208</f>
        <v>0</v>
      </c>
      <c r="G210" s="825">
        <f>+'[6]입력 시트(0124)'!G208</f>
        <v>0</v>
      </c>
      <c r="H210" s="825">
        <f>+'[6]입력 시트(0124)'!H208</f>
        <v>0</v>
      </c>
      <c r="I210" s="825">
        <f>+'[6]입력 시트(0124)'!I208</f>
        <v>0</v>
      </c>
      <c r="J210" s="825">
        <v>0</v>
      </c>
      <c r="K210" s="825">
        <v>0</v>
      </c>
      <c r="L210" s="825">
        <v>0</v>
      </c>
      <c r="M210" s="825">
        <v>0</v>
      </c>
      <c r="N210" s="825">
        <v>0</v>
      </c>
      <c r="O210" s="825">
        <v>0</v>
      </c>
      <c r="P210" s="825">
        <v>0</v>
      </c>
      <c r="Q210" s="825">
        <v>0</v>
      </c>
      <c r="T210" s="825" t="e">
        <f>+'[6]입력 시트(0124)'!T208</f>
        <v>#REF!</v>
      </c>
      <c r="U210" s="825" t="e">
        <f>+'[6]입력 시트(0124)'!U208</f>
        <v>#REF!</v>
      </c>
      <c r="V210" s="825" t="e">
        <f>+'[6]입력 시트(0124)'!V208</f>
        <v>#REF!</v>
      </c>
      <c r="W210" s="825" t="e">
        <f>+'[6]입력 시트(0124)'!W208</f>
        <v>#REF!</v>
      </c>
      <c r="X210" s="825" t="e">
        <f>+'[6]입력 시트(0124)'!X208</f>
        <v>#REF!</v>
      </c>
      <c r="Y210" s="825">
        <v>0</v>
      </c>
    </row>
    <row r="211" spans="2:25" outlineLevel="1">
      <c r="B211" s="735"/>
      <c r="C211" s="740" t="s">
        <v>309</v>
      </c>
      <c r="D211" s="716">
        <f t="shared" si="33"/>
        <v>11</v>
      </c>
      <c r="E211" s="825">
        <f>+'[6]입력 시트(0124)'!E209</f>
        <v>0</v>
      </c>
      <c r="F211" s="825">
        <f>+'[6]입력 시트(0124)'!F209</f>
        <v>0</v>
      </c>
      <c r="G211" s="825">
        <f>+'[6]입력 시트(0124)'!G209</f>
        <v>0</v>
      </c>
      <c r="H211" s="825">
        <f>+'[6]입력 시트(0124)'!H209</f>
        <v>0</v>
      </c>
      <c r="I211" s="825">
        <f>+'[6]입력 시트(0124)'!I209</f>
        <v>0</v>
      </c>
      <c r="J211" s="825">
        <v>0</v>
      </c>
      <c r="K211" s="825">
        <v>0</v>
      </c>
      <c r="L211" s="825">
        <v>0</v>
      </c>
      <c r="M211" s="825">
        <v>0</v>
      </c>
      <c r="N211" s="825">
        <v>0</v>
      </c>
      <c r="O211" s="825">
        <v>0</v>
      </c>
      <c r="P211" s="825">
        <v>0</v>
      </c>
      <c r="Q211" s="825">
        <v>0</v>
      </c>
      <c r="T211" s="825" t="e">
        <f>+'[6]입력 시트(0124)'!T209</f>
        <v>#REF!</v>
      </c>
      <c r="U211" s="825" t="e">
        <f>+'[6]입력 시트(0124)'!U209</f>
        <v>#REF!</v>
      </c>
      <c r="V211" s="825" t="e">
        <f>+'[6]입력 시트(0124)'!V209</f>
        <v>#REF!</v>
      </c>
      <c r="W211" s="825" t="e">
        <f>+'[6]입력 시트(0124)'!W209</f>
        <v>#REF!</v>
      </c>
      <c r="X211" s="825" t="e">
        <f>+'[6]입력 시트(0124)'!X209</f>
        <v>#REF!</v>
      </c>
      <c r="Y211" s="825">
        <v>0</v>
      </c>
    </row>
    <row r="212" spans="2:25" outlineLevel="1">
      <c r="B212" s="735"/>
      <c r="C212" s="740" t="s">
        <v>309</v>
      </c>
      <c r="D212" s="716">
        <f t="shared" si="33"/>
        <v>12</v>
      </c>
      <c r="E212" s="825">
        <f>+'[6]입력 시트(0124)'!E210</f>
        <v>0</v>
      </c>
      <c r="F212" s="825">
        <f>+'[6]입력 시트(0124)'!F210</f>
        <v>0</v>
      </c>
      <c r="G212" s="825">
        <f>+'[6]입력 시트(0124)'!G210</f>
        <v>0</v>
      </c>
      <c r="H212" s="825">
        <f>+'[6]입력 시트(0124)'!H210</f>
        <v>0</v>
      </c>
      <c r="I212" s="825">
        <f>+'[6]입력 시트(0124)'!I210</f>
        <v>0</v>
      </c>
      <c r="J212" s="825">
        <v>0</v>
      </c>
      <c r="K212" s="825">
        <v>0</v>
      </c>
      <c r="L212" s="825">
        <v>0</v>
      </c>
      <c r="M212" s="825">
        <v>0</v>
      </c>
      <c r="N212" s="825">
        <v>0</v>
      </c>
      <c r="O212" s="825">
        <v>0</v>
      </c>
      <c r="P212" s="825">
        <v>0</v>
      </c>
      <c r="Q212" s="825">
        <v>0</v>
      </c>
      <c r="T212" s="825" t="e">
        <f>+'[6]입력 시트(0124)'!T210</f>
        <v>#REF!</v>
      </c>
      <c r="U212" s="825" t="e">
        <f>+'[6]입력 시트(0124)'!U210</f>
        <v>#REF!</v>
      </c>
      <c r="V212" s="825" t="e">
        <f>+'[6]입력 시트(0124)'!V210</f>
        <v>#REF!</v>
      </c>
      <c r="W212" s="825" t="e">
        <f>+'[6]입력 시트(0124)'!W210</f>
        <v>#REF!</v>
      </c>
      <c r="X212" s="825" t="e">
        <f>+'[6]입력 시트(0124)'!X210</f>
        <v>#REF!</v>
      </c>
      <c r="Y212" s="825">
        <v>0</v>
      </c>
    </row>
    <row r="213" spans="2:25" outlineLevel="1">
      <c r="B213" s="735"/>
      <c r="C213" s="740" t="s">
        <v>309</v>
      </c>
      <c r="D213" s="716">
        <f t="shared" si="33"/>
        <v>13</v>
      </c>
      <c r="E213" s="825">
        <f>+'[6]입력 시트(0124)'!E211</f>
        <v>0</v>
      </c>
      <c r="F213" s="825">
        <f>+'[6]입력 시트(0124)'!F211</f>
        <v>0</v>
      </c>
      <c r="G213" s="825">
        <f>+'[6]입력 시트(0124)'!G211</f>
        <v>0</v>
      </c>
      <c r="H213" s="825">
        <f>+'[6]입력 시트(0124)'!H211</f>
        <v>0</v>
      </c>
      <c r="I213" s="825">
        <f>+'[6]입력 시트(0124)'!I211</f>
        <v>0</v>
      </c>
      <c r="J213" s="825">
        <v>0</v>
      </c>
      <c r="K213" s="825">
        <v>0</v>
      </c>
      <c r="L213" s="825">
        <v>0</v>
      </c>
      <c r="M213" s="825">
        <v>0</v>
      </c>
      <c r="N213" s="825">
        <v>0</v>
      </c>
      <c r="O213" s="825">
        <v>0</v>
      </c>
      <c r="P213" s="825">
        <v>0</v>
      </c>
      <c r="Q213" s="825">
        <v>0</v>
      </c>
      <c r="T213" s="825" t="e">
        <f>+'[6]입력 시트(0124)'!T211</f>
        <v>#REF!</v>
      </c>
      <c r="U213" s="825" t="e">
        <f>+'[6]입력 시트(0124)'!U211</f>
        <v>#REF!</v>
      </c>
      <c r="V213" s="825" t="e">
        <f>+'[6]입력 시트(0124)'!V211</f>
        <v>#REF!</v>
      </c>
      <c r="W213" s="825" t="e">
        <f>+'[6]입력 시트(0124)'!W211</f>
        <v>#REF!</v>
      </c>
      <c r="X213" s="825" t="e">
        <f>+'[6]입력 시트(0124)'!X211</f>
        <v>#REF!</v>
      </c>
      <c r="Y213" s="825">
        <v>0</v>
      </c>
    </row>
    <row r="214" spans="2:25" outlineLevel="1">
      <c r="B214" s="735"/>
      <c r="C214" s="740" t="s">
        <v>309</v>
      </c>
      <c r="D214" s="716">
        <f t="shared" si="33"/>
        <v>14</v>
      </c>
      <c r="E214" s="825">
        <f>+'[6]입력 시트(0124)'!E212</f>
        <v>0</v>
      </c>
      <c r="F214" s="825">
        <f>+'[6]입력 시트(0124)'!F212</f>
        <v>0</v>
      </c>
      <c r="G214" s="825">
        <f>+'[6]입력 시트(0124)'!G212</f>
        <v>0</v>
      </c>
      <c r="H214" s="825">
        <f>+'[6]입력 시트(0124)'!H212</f>
        <v>0</v>
      </c>
      <c r="I214" s="825">
        <f>+'[6]입력 시트(0124)'!I212</f>
        <v>0</v>
      </c>
      <c r="J214" s="825">
        <v>0</v>
      </c>
      <c r="K214" s="825">
        <v>0</v>
      </c>
      <c r="L214" s="825">
        <v>0</v>
      </c>
      <c r="M214" s="825">
        <v>0</v>
      </c>
      <c r="N214" s="825">
        <v>0</v>
      </c>
      <c r="O214" s="825">
        <v>0</v>
      </c>
      <c r="P214" s="825">
        <v>0</v>
      </c>
      <c r="Q214" s="825">
        <v>0</v>
      </c>
      <c r="T214" s="825" t="e">
        <f>+'[6]입력 시트(0124)'!T212</f>
        <v>#REF!</v>
      </c>
      <c r="U214" s="825" t="e">
        <f>+'[6]입력 시트(0124)'!U212</f>
        <v>#REF!</v>
      </c>
      <c r="V214" s="825" t="e">
        <f>+'[6]입력 시트(0124)'!V212</f>
        <v>#REF!</v>
      </c>
      <c r="W214" s="825" t="e">
        <f>+'[6]입력 시트(0124)'!W212</f>
        <v>#REF!</v>
      </c>
      <c r="X214" s="825" t="e">
        <f>+'[6]입력 시트(0124)'!X212</f>
        <v>#REF!</v>
      </c>
      <c r="Y214" s="825">
        <v>0</v>
      </c>
    </row>
    <row r="215" spans="2:25" outlineLevel="1">
      <c r="B215" s="735"/>
      <c r="C215" s="740" t="s">
        <v>309</v>
      </c>
      <c r="D215" s="716">
        <f t="shared" si="33"/>
        <v>15</v>
      </c>
      <c r="E215" s="825">
        <f>+'[6]입력 시트(0124)'!E213</f>
        <v>0</v>
      </c>
      <c r="F215" s="825">
        <f>+'[6]입력 시트(0124)'!F213</f>
        <v>0</v>
      </c>
      <c r="G215" s="825">
        <f>+'[6]입력 시트(0124)'!G213</f>
        <v>0</v>
      </c>
      <c r="H215" s="825">
        <f>+'[6]입력 시트(0124)'!H213</f>
        <v>0</v>
      </c>
      <c r="I215" s="825">
        <f>+'[6]입력 시트(0124)'!I213</f>
        <v>0</v>
      </c>
      <c r="J215" s="825">
        <v>0</v>
      </c>
      <c r="K215" s="825">
        <v>0</v>
      </c>
      <c r="L215" s="825">
        <v>0</v>
      </c>
      <c r="M215" s="825">
        <v>0</v>
      </c>
      <c r="N215" s="825">
        <v>0</v>
      </c>
      <c r="O215" s="825">
        <v>0</v>
      </c>
      <c r="P215" s="825">
        <v>0</v>
      </c>
      <c r="Q215" s="825">
        <v>0</v>
      </c>
      <c r="T215" s="825" t="e">
        <f>+'[6]입력 시트(0124)'!T213</f>
        <v>#REF!</v>
      </c>
      <c r="U215" s="825" t="e">
        <f>+'[6]입력 시트(0124)'!U213</f>
        <v>#REF!</v>
      </c>
      <c r="V215" s="825" t="e">
        <f>+'[6]입력 시트(0124)'!V213</f>
        <v>#REF!</v>
      </c>
      <c r="W215" s="825" t="e">
        <f>+'[6]입력 시트(0124)'!W213</f>
        <v>#REF!</v>
      </c>
      <c r="X215" s="825" t="e">
        <f>+'[6]입력 시트(0124)'!X213</f>
        <v>#REF!</v>
      </c>
      <c r="Y215" s="825">
        <v>0</v>
      </c>
    </row>
    <row r="216" spans="2:25" outlineLevel="1">
      <c r="B216" s="735"/>
      <c r="C216" s="740" t="s">
        <v>309</v>
      </c>
      <c r="D216" s="716">
        <f t="shared" si="33"/>
        <v>16</v>
      </c>
      <c r="E216" s="825">
        <f>+'[6]입력 시트(0124)'!E214</f>
        <v>0</v>
      </c>
      <c r="F216" s="825">
        <f>+'[6]입력 시트(0124)'!F214</f>
        <v>0</v>
      </c>
      <c r="G216" s="825">
        <f>+'[6]입력 시트(0124)'!G214</f>
        <v>0</v>
      </c>
      <c r="H216" s="825">
        <f>+'[6]입력 시트(0124)'!H214</f>
        <v>0</v>
      </c>
      <c r="I216" s="825">
        <f>+'[6]입력 시트(0124)'!I214</f>
        <v>0</v>
      </c>
      <c r="J216" s="825">
        <v>0</v>
      </c>
      <c r="K216" s="825">
        <v>0</v>
      </c>
      <c r="L216" s="825">
        <v>0</v>
      </c>
      <c r="M216" s="825">
        <v>0</v>
      </c>
      <c r="N216" s="825">
        <v>0</v>
      </c>
      <c r="O216" s="825">
        <v>0</v>
      </c>
      <c r="P216" s="825">
        <v>0</v>
      </c>
      <c r="Q216" s="825">
        <v>0</v>
      </c>
      <c r="T216" s="825" t="e">
        <f>+'[6]입력 시트(0124)'!T214</f>
        <v>#REF!</v>
      </c>
      <c r="U216" s="825" t="e">
        <f>+'[6]입력 시트(0124)'!U214</f>
        <v>#REF!</v>
      </c>
      <c r="V216" s="825" t="e">
        <f>+'[6]입력 시트(0124)'!V214</f>
        <v>#REF!</v>
      </c>
      <c r="W216" s="825" t="e">
        <f>+'[6]입력 시트(0124)'!W214</f>
        <v>#REF!</v>
      </c>
      <c r="X216" s="825" t="e">
        <f>+'[6]입력 시트(0124)'!X214</f>
        <v>#REF!</v>
      </c>
      <c r="Y216" s="825">
        <v>0</v>
      </c>
    </row>
    <row r="217" spans="2:25" outlineLevel="1">
      <c r="B217" s="735"/>
      <c r="C217" s="740" t="s">
        <v>309</v>
      </c>
      <c r="D217" s="716">
        <f t="shared" si="33"/>
        <v>17</v>
      </c>
      <c r="E217" s="825">
        <f>+'[6]입력 시트(0124)'!E215</f>
        <v>0</v>
      </c>
      <c r="F217" s="825">
        <f>+'[6]입력 시트(0124)'!F215</f>
        <v>0</v>
      </c>
      <c r="G217" s="825">
        <f>+'[6]입력 시트(0124)'!G215</f>
        <v>0</v>
      </c>
      <c r="H217" s="825">
        <f>+'[6]입력 시트(0124)'!H215</f>
        <v>0</v>
      </c>
      <c r="I217" s="825">
        <f>+'[6]입력 시트(0124)'!I215</f>
        <v>0</v>
      </c>
      <c r="J217" s="825">
        <v>0</v>
      </c>
      <c r="K217" s="825">
        <v>0</v>
      </c>
      <c r="L217" s="825">
        <v>0</v>
      </c>
      <c r="M217" s="825">
        <v>0</v>
      </c>
      <c r="N217" s="825">
        <v>0</v>
      </c>
      <c r="O217" s="825">
        <v>0</v>
      </c>
      <c r="P217" s="825">
        <v>0</v>
      </c>
      <c r="Q217" s="825">
        <v>0</v>
      </c>
      <c r="T217" s="825" t="e">
        <f>+'[6]입력 시트(0124)'!T215</f>
        <v>#REF!</v>
      </c>
      <c r="U217" s="825" t="e">
        <f>+'[6]입력 시트(0124)'!U215</f>
        <v>#REF!</v>
      </c>
      <c r="V217" s="825" t="e">
        <f>+'[6]입력 시트(0124)'!V215</f>
        <v>#REF!</v>
      </c>
      <c r="W217" s="825" t="e">
        <f>+'[6]입력 시트(0124)'!W215</f>
        <v>#REF!</v>
      </c>
      <c r="X217" s="825" t="e">
        <f>+'[6]입력 시트(0124)'!X215</f>
        <v>#REF!</v>
      </c>
      <c r="Y217" s="825">
        <v>0</v>
      </c>
    </row>
    <row r="218" spans="2:25" outlineLevel="1">
      <c r="B218" s="735"/>
      <c r="C218" s="740" t="s">
        <v>309</v>
      </c>
      <c r="D218" s="716">
        <f t="shared" si="33"/>
        <v>18</v>
      </c>
      <c r="E218" s="826"/>
      <c r="F218" s="826"/>
      <c r="G218" s="826"/>
      <c r="H218" s="826"/>
      <c r="I218" s="826"/>
      <c r="J218" s="826"/>
      <c r="K218" s="826"/>
      <c r="L218" s="826"/>
      <c r="M218" s="826"/>
      <c r="N218" s="826"/>
      <c r="O218" s="826"/>
      <c r="P218" s="826"/>
      <c r="Q218" s="826"/>
      <c r="T218" s="826"/>
      <c r="U218" s="826"/>
      <c r="V218" s="826"/>
      <c r="W218" s="826"/>
      <c r="X218" s="826"/>
      <c r="Y218" s="826"/>
    </row>
    <row r="219" spans="2:25" outlineLevel="1">
      <c r="B219" s="735"/>
      <c r="C219" s="740" t="s">
        <v>309</v>
      </c>
      <c r="D219" s="716">
        <f t="shared" si="33"/>
        <v>19</v>
      </c>
      <c r="E219" s="826"/>
      <c r="F219" s="826"/>
      <c r="G219" s="826"/>
      <c r="H219" s="826"/>
      <c r="I219" s="826"/>
      <c r="J219" s="826"/>
      <c r="K219" s="826"/>
      <c r="L219" s="826"/>
      <c r="M219" s="826"/>
      <c r="N219" s="826"/>
      <c r="O219" s="826"/>
      <c r="P219" s="826"/>
      <c r="Q219" s="826"/>
      <c r="T219" s="826"/>
      <c r="U219" s="826"/>
      <c r="V219" s="826"/>
      <c r="W219" s="826"/>
      <c r="X219" s="826"/>
      <c r="Y219" s="826"/>
    </row>
    <row r="220" spans="2:25" outlineLevel="1">
      <c r="B220" s="735"/>
      <c r="C220" s="740" t="s">
        <v>309</v>
      </c>
      <c r="D220" s="716">
        <f t="shared" si="33"/>
        <v>20</v>
      </c>
      <c r="E220" s="826"/>
      <c r="F220" s="826"/>
      <c r="G220" s="826"/>
      <c r="H220" s="826"/>
      <c r="I220" s="826"/>
      <c r="J220" s="826"/>
      <c r="K220" s="826"/>
      <c r="L220" s="826"/>
      <c r="M220" s="826"/>
      <c r="N220" s="826"/>
      <c r="O220" s="826"/>
      <c r="P220" s="826"/>
      <c r="Q220" s="826"/>
      <c r="T220" s="826"/>
      <c r="U220" s="826"/>
      <c r="V220" s="826"/>
      <c r="W220" s="826"/>
      <c r="X220" s="826"/>
      <c r="Y220" s="826"/>
    </row>
    <row r="221" spans="2:25" outlineLevel="1">
      <c r="B221" s="735"/>
      <c r="C221" s="740" t="s">
        <v>309</v>
      </c>
      <c r="D221" s="716">
        <f t="shared" si="33"/>
        <v>21</v>
      </c>
      <c r="E221" s="826"/>
      <c r="F221" s="826"/>
      <c r="G221" s="826"/>
      <c r="H221" s="826"/>
      <c r="I221" s="826"/>
      <c r="J221" s="826"/>
      <c r="K221" s="826"/>
      <c r="L221" s="826"/>
      <c r="M221" s="826"/>
      <c r="N221" s="826"/>
      <c r="O221" s="826"/>
      <c r="P221" s="826"/>
      <c r="Q221" s="826"/>
      <c r="T221" s="826"/>
      <c r="U221" s="826"/>
      <c r="V221" s="826"/>
      <c r="W221" s="826"/>
      <c r="X221" s="826"/>
      <c r="Y221" s="826"/>
    </row>
    <row r="222" spans="2:25" outlineLevel="1">
      <c r="B222" s="735"/>
      <c r="C222" s="740" t="s">
        <v>309</v>
      </c>
      <c r="D222" s="716">
        <f t="shared" si="33"/>
        <v>22</v>
      </c>
      <c r="E222" s="826"/>
      <c r="F222" s="826"/>
      <c r="G222" s="826"/>
      <c r="H222" s="826"/>
      <c r="I222" s="826"/>
      <c r="J222" s="826"/>
      <c r="K222" s="826"/>
      <c r="L222" s="826"/>
      <c r="M222" s="826"/>
      <c r="N222" s="826"/>
      <c r="O222" s="826"/>
      <c r="P222" s="826"/>
      <c r="Q222" s="826"/>
      <c r="T222" s="826"/>
      <c r="U222" s="826"/>
      <c r="V222" s="826"/>
      <c r="W222" s="826"/>
      <c r="X222" s="826"/>
      <c r="Y222" s="826"/>
    </row>
    <row r="223" spans="2:25" outlineLevel="1">
      <c r="B223" s="735"/>
      <c r="C223" s="740" t="s">
        <v>309</v>
      </c>
      <c r="D223" s="716">
        <f t="shared" si="33"/>
        <v>23</v>
      </c>
      <c r="E223" s="826"/>
      <c r="F223" s="826"/>
      <c r="G223" s="826"/>
      <c r="H223" s="826"/>
      <c r="I223" s="826"/>
      <c r="J223" s="826"/>
      <c r="K223" s="826"/>
      <c r="L223" s="826"/>
      <c r="M223" s="826"/>
      <c r="N223" s="826"/>
      <c r="O223" s="826"/>
      <c r="P223" s="826"/>
      <c r="Q223" s="826"/>
      <c r="T223" s="826"/>
      <c r="U223" s="826"/>
      <c r="V223" s="826"/>
      <c r="W223" s="826"/>
      <c r="X223" s="826"/>
      <c r="Y223" s="826"/>
    </row>
    <row r="224" spans="2:25" outlineLevel="1">
      <c r="B224" s="735"/>
      <c r="C224" s="740" t="s">
        <v>309</v>
      </c>
      <c r="D224" s="716">
        <f t="shared" si="33"/>
        <v>24</v>
      </c>
      <c r="E224" s="825">
        <f>+'[6]입력 시트(0124)'!E222</f>
        <v>0</v>
      </c>
      <c r="F224" s="825">
        <f>+'[6]입력 시트(0124)'!F222</f>
        <v>0</v>
      </c>
      <c r="G224" s="825">
        <f>+'[6]입력 시트(0124)'!G222</f>
        <v>0</v>
      </c>
      <c r="H224" s="825">
        <f>+'[6]입력 시트(0124)'!H222</f>
        <v>0</v>
      </c>
      <c r="I224" s="825">
        <f>+'[6]입력 시트(0124)'!I222</f>
        <v>0</v>
      </c>
      <c r="J224" s="825" t="e">
        <f>+'[6]입력 시트(0124)'!J222</f>
        <v>#REF!</v>
      </c>
      <c r="K224" s="825" t="e">
        <f>+'[6]입력 시트(0124)'!K222</f>
        <v>#REF!</v>
      </c>
      <c r="L224" s="825" t="e">
        <f>+'[6]입력 시트(0124)'!L222</f>
        <v>#REF!</v>
      </c>
      <c r="M224" s="825" t="e">
        <f>+'[6]입력 시트(0124)'!M222</f>
        <v>#REF!</v>
      </c>
      <c r="N224" s="825" t="e">
        <f>+'[6]입력 시트(0124)'!N222</f>
        <v>#REF!</v>
      </c>
      <c r="O224" s="825" t="e">
        <f>+'[6]입력 시트(0124)'!O222</f>
        <v>#REF!</v>
      </c>
      <c r="P224" s="825" t="e">
        <f>+'[6]입력 시트(0124)'!P222</f>
        <v>#REF!</v>
      </c>
      <c r="Q224" s="825" t="e">
        <f>+'[6]입력 시트(0124)'!Q222</f>
        <v>#REF!</v>
      </c>
      <c r="T224" s="825" t="e">
        <f>+'[6]입력 시트(0124)'!T222</f>
        <v>#REF!</v>
      </c>
      <c r="U224" s="825" t="e">
        <f>+'[6]입력 시트(0124)'!U222</f>
        <v>#REF!</v>
      </c>
      <c r="V224" s="825" t="e">
        <f>+'[6]입력 시트(0124)'!V222</f>
        <v>#REF!</v>
      </c>
      <c r="W224" s="825" t="e">
        <f>+'[6]입력 시트(0124)'!W222</f>
        <v>#REF!</v>
      </c>
      <c r="X224" s="825" t="e">
        <f>+'[6]입력 시트(0124)'!X222</f>
        <v>#REF!</v>
      </c>
      <c r="Y224" s="825" t="e">
        <f>+'[6]입력 시트(0124)'!Y222</f>
        <v>#REF!</v>
      </c>
    </row>
    <row r="225" spans="2:25" outlineLevel="1">
      <c r="B225" s="735" t="s">
        <v>540</v>
      </c>
      <c r="C225" s="762"/>
      <c r="E225" s="826"/>
      <c r="F225" s="826"/>
      <c r="G225" s="826"/>
      <c r="H225" s="826"/>
      <c r="I225" s="826"/>
      <c r="J225" s="826"/>
      <c r="K225" s="826"/>
      <c r="L225" s="826"/>
      <c r="M225" s="826"/>
      <c r="N225" s="826"/>
      <c r="O225" s="826"/>
      <c r="P225" s="826"/>
      <c r="Q225" s="826"/>
      <c r="T225" s="826"/>
      <c r="U225" s="826"/>
      <c r="V225" s="826"/>
      <c r="W225" s="826"/>
      <c r="X225" s="826"/>
      <c r="Y225" s="826"/>
    </row>
    <row r="226" spans="2:25" outlineLevel="1">
      <c r="T226" s="777"/>
      <c r="U226" s="777"/>
      <c r="V226" s="777"/>
      <c r="W226" s="777"/>
      <c r="X226" s="777"/>
      <c r="Y226" s="777"/>
    </row>
    <row r="227" spans="2:25" outlineLevel="1">
      <c r="B227" s="803" t="s">
        <v>573</v>
      </c>
      <c r="D227" s="749"/>
      <c r="E227" s="750"/>
      <c r="F227" s="750"/>
      <c r="G227" s="750"/>
      <c r="H227" s="750"/>
      <c r="I227" s="750"/>
      <c r="J227" s="750"/>
      <c r="K227" s="750"/>
      <c r="L227" s="750"/>
      <c r="M227" s="750"/>
      <c r="N227" s="750"/>
      <c r="O227" s="750"/>
      <c r="P227" s="750"/>
      <c r="Q227" s="750"/>
      <c r="T227" s="953"/>
      <c r="U227" s="953"/>
      <c r="V227" s="953"/>
      <c r="W227" s="953"/>
      <c r="X227" s="953"/>
      <c r="Y227" s="953"/>
    </row>
    <row r="228" spans="2:25" ht="16.5" customHeight="1" outlineLevel="1">
      <c r="B228" s="735" t="s">
        <v>487</v>
      </c>
      <c r="C228" s="760"/>
      <c r="D228" s="759"/>
      <c r="E228" s="801"/>
      <c r="F228" s="801"/>
      <c r="G228" s="801"/>
      <c r="H228" s="801"/>
      <c r="I228" s="801"/>
      <c r="J228" s="801"/>
      <c r="K228" s="801"/>
      <c r="L228" s="801"/>
      <c r="M228" s="801"/>
      <c r="N228" s="801"/>
      <c r="O228" s="801"/>
      <c r="P228" s="801"/>
      <c r="Q228" s="801"/>
      <c r="T228" s="801"/>
      <c r="U228" s="801"/>
      <c r="V228" s="801"/>
      <c r="W228" s="801"/>
      <c r="X228" s="801"/>
      <c r="Y228" s="801"/>
    </row>
    <row r="229" spans="2:25" outlineLevel="1">
      <c r="B229" s="735" t="s">
        <v>528</v>
      </c>
      <c r="D229" s="813" t="s">
        <v>571</v>
      </c>
      <c r="E229" s="821">
        <f>+'Input 기초'!F81</f>
        <v>98065200</v>
      </c>
      <c r="F229" s="821">
        <f>+'Input 기초'!G81</f>
        <v>28882800</v>
      </c>
      <c r="G229" s="821">
        <f>+'Input 기초'!H81</f>
        <v>46348800</v>
      </c>
      <c r="H229" s="821">
        <f>+'Input 기초'!I81</f>
        <v>25200000</v>
      </c>
      <c r="I229" s="821">
        <f>+'Input 기초'!J81</f>
        <v>14640000</v>
      </c>
      <c r="J229" s="821">
        <f>+'Input 기초'!K81</f>
        <v>52560000</v>
      </c>
      <c r="K229" s="821">
        <f>+'Input 기초'!L81</f>
        <v>20520000</v>
      </c>
      <c r="L229" s="821">
        <f>+'Input 기초'!M81</f>
        <v>63240000</v>
      </c>
      <c r="M229" s="821">
        <f>+'Input 기초'!N81</f>
        <v>28080000</v>
      </c>
      <c r="N229" s="821">
        <f>+'Input 기초'!O81</f>
        <v>60000000</v>
      </c>
      <c r="O229" s="821">
        <f>+'Input 기초'!P81</f>
        <v>15240000</v>
      </c>
      <c r="P229" s="821">
        <f>+'Input 기초'!Q81</f>
        <v>19320000</v>
      </c>
      <c r="Q229" s="821">
        <f>+'Input 기초'!R81</f>
        <v>32280000.000000004</v>
      </c>
      <c r="T229" s="821">
        <f>+'Input 기초'!U81</f>
        <v>0</v>
      </c>
      <c r="U229" s="821">
        <f>+'Input 기초'!V81</f>
        <v>0</v>
      </c>
      <c r="V229" s="821">
        <f>+'Input 기초'!W81</f>
        <v>0</v>
      </c>
      <c r="W229" s="821">
        <f>+'Input 기초'!X81</f>
        <v>0</v>
      </c>
      <c r="X229" s="821">
        <f>+'Input 기초'!Y81</f>
        <v>0</v>
      </c>
      <c r="Y229" s="821">
        <f>+'Input 기초'!Z81</f>
        <v>0</v>
      </c>
    </row>
    <row r="230" spans="2:25" ht="16.5" customHeight="1" outlineLevel="1">
      <c r="B230" s="735" t="s">
        <v>542</v>
      </c>
      <c r="D230" s="721" t="s">
        <v>533</v>
      </c>
      <c r="E230" s="827" t="s">
        <v>574</v>
      </c>
      <c r="F230" s="827" t="s">
        <v>574</v>
      </c>
      <c r="G230" s="827" t="s">
        <v>574</v>
      </c>
      <c r="H230" s="827" t="s">
        <v>574</v>
      </c>
      <c r="I230" s="827" t="s">
        <v>574</v>
      </c>
      <c r="J230" s="827" t="s">
        <v>574</v>
      </c>
      <c r="K230" s="827" t="s">
        <v>574</v>
      </c>
      <c r="L230" s="827" t="s">
        <v>574</v>
      </c>
      <c r="M230" s="827" t="s">
        <v>574</v>
      </c>
      <c r="N230" s="827" t="s">
        <v>574</v>
      </c>
      <c r="O230" s="827" t="s">
        <v>574</v>
      </c>
      <c r="P230" s="827" t="s">
        <v>574</v>
      </c>
      <c r="Q230" s="827" t="s">
        <v>574</v>
      </c>
      <c r="T230" s="958" t="s">
        <v>574</v>
      </c>
      <c r="U230" s="958" t="s">
        <v>574</v>
      </c>
      <c r="V230" s="958" t="s">
        <v>574</v>
      </c>
      <c r="W230" s="958" t="s">
        <v>574</v>
      </c>
      <c r="X230" s="958" t="s">
        <v>574</v>
      </c>
      <c r="Y230" s="958" t="s">
        <v>574</v>
      </c>
    </row>
    <row r="231" spans="2:25" ht="16.5" customHeight="1" outlineLevel="1">
      <c r="B231" s="735" t="s">
        <v>534</v>
      </c>
      <c r="D231" s="721" t="s">
        <v>301</v>
      </c>
      <c r="E231" s="823">
        <f t="shared" ref="E231:Q231" si="34">E18</f>
        <v>46053</v>
      </c>
      <c r="F231" s="823">
        <f t="shared" si="34"/>
        <v>46022</v>
      </c>
      <c r="G231" s="823">
        <f t="shared" si="34"/>
        <v>46022</v>
      </c>
      <c r="H231" s="823">
        <f t="shared" si="34"/>
        <v>46022</v>
      </c>
      <c r="I231" s="823">
        <f t="shared" si="34"/>
        <v>46022</v>
      </c>
      <c r="J231" s="823">
        <f t="shared" si="34"/>
        <v>46053</v>
      </c>
      <c r="K231" s="823">
        <f t="shared" si="34"/>
        <v>46022</v>
      </c>
      <c r="L231" s="823">
        <f t="shared" si="34"/>
        <v>46053</v>
      </c>
      <c r="M231" s="823">
        <f t="shared" si="34"/>
        <v>46022</v>
      </c>
      <c r="N231" s="823">
        <f t="shared" si="34"/>
        <v>46022</v>
      </c>
      <c r="O231" s="823">
        <f t="shared" si="34"/>
        <v>46053</v>
      </c>
      <c r="P231" s="823">
        <f t="shared" si="34"/>
        <v>46053</v>
      </c>
      <c r="Q231" s="823">
        <f t="shared" si="34"/>
        <v>46053</v>
      </c>
      <c r="T231" s="823">
        <f t="shared" ref="T231:Y231" si="35">T18</f>
        <v>46053</v>
      </c>
      <c r="U231" s="823">
        <f t="shared" si="35"/>
        <v>46022</v>
      </c>
      <c r="V231" s="823">
        <f t="shared" si="35"/>
        <v>46022</v>
      </c>
      <c r="W231" s="823">
        <f t="shared" si="35"/>
        <v>46022</v>
      </c>
      <c r="X231" s="823">
        <f t="shared" si="35"/>
        <v>46022</v>
      </c>
      <c r="Y231" s="823">
        <f t="shared" si="35"/>
        <v>46053</v>
      </c>
    </row>
    <row r="232" spans="2:25" ht="16.5" customHeight="1" outlineLevel="1">
      <c r="B232" s="735" t="s">
        <v>536</v>
      </c>
      <c r="D232" s="721" t="s">
        <v>309</v>
      </c>
      <c r="E232" s="824"/>
      <c r="F232" s="824"/>
      <c r="G232" s="824"/>
      <c r="H232" s="824"/>
      <c r="I232" s="824"/>
      <c r="J232" s="824"/>
      <c r="K232" s="824"/>
      <c r="L232" s="824"/>
      <c r="M232" s="824"/>
      <c r="N232" s="824"/>
      <c r="O232" s="824"/>
      <c r="P232" s="824"/>
      <c r="Q232" s="824"/>
      <c r="T232" s="824"/>
      <c r="U232" s="824"/>
      <c r="V232" s="824"/>
      <c r="W232" s="824"/>
      <c r="X232" s="824"/>
      <c r="Y232" s="824"/>
    </row>
    <row r="233" spans="2:25" outlineLevel="1">
      <c r="B233" s="735" t="s">
        <v>568</v>
      </c>
      <c r="C233" s="740" t="s">
        <v>569</v>
      </c>
      <c r="D233" s="716">
        <v>1</v>
      </c>
      <c r="E233" s="825">
        <v>1</v>
      </c>
      <c r="F233" s="825">
        <v>1</v>
      </c>
      <c r="G233" s="825">
        <v>1</v>
      </c>
      <c r="H233" s="825">
        <v>1</v>
      </c>
      <c r="I233" s="825">
        <v>1</v>
      </c>
      <c r="J233" s="825">
        <v>1</v>
      </c>
      <c r="K233" s="825">
        <v>1</v>
      </c>
      <c r="L233" s="825">
        <v>1</v>
      </c>
      <c r="M233" s="825">
        <v>1</v>
      </c>
      <c r="N233" s="825">
        <v>1</v>
      </c>
      <c r="O233" s="825">
        <v>1</v>
      </c>
      <c r="P233" s="825">
        <v>1</v>
      </c>
      <c r="Q233" s="825">
        <v>1</v>
      </c>
      <c r="T233" s="825">
        <v>1</v>
      </c>
      <c r="U233" s="825">
        <v>1</v>
      </c>
      <c r="V233" s="825">
        <v>1</v>
      </c>
      <c r="W233" s="825">
        <v>1</v>
      </c>
      <c r="X233" s="825">
        <v>1</v>
      </c>
      <c r="Y233" s="825">
        <v>1</v>
      </c>
    </row>
    <row r="234" spans="2:25" outlineLevel="1">
      <c r="B234" s="735"/>
      <c r="C234" s="740" t="s">
        <v>309</v>
      </c>
      <c r="D234" s="716">
        <f t="shared" ref="D234:D256" si="36">+D233+1</f>
        <v>2</v>
      </c>
      <c r="E234" s="825">
        <f>+'[6]입력 시트(0124)'!E232</f>
        <v>0</v>
      </c>
      <c r="F234" s="825">
        <f>+'[6]입력 시트(0124)'!F232</f>
        <v>0</v>
      </c>
      <c r="G234" s="825">
        <f>+'[6]입력 시트(0124)'!G232</f>
        <v>0</v>
      </c>
      <c r="H234" s="825">
        <f>+'[6]입력 시트(0124)'!H232</f>
        <v>0</v>
      </c>
      <c r="I234" s="825">
        <f>+'[6]입력 시트(0124)'!I232</f>
        <v>0</v>
      </c>
      <c r="J234" s="825">
        <v>0</v>
      </c>
      <c r="K234" s="825">
        <v>0</v>
      </c>
      <c r="L234" s="825">
        <v>0</v>
      </c>
      <c r="M234" s="825">
        <v>0</v>
      </c>
      <c r="N234" s="825">
        <v>0</v>
      </c>
      <c r="O234" s="825">
        <v>0</v>
      </c>
      <c r="P234" s="825">
        <v>0</v>
      </c>
      <c r="Q234" s="825">
        <v>0</v>
      </c>
      <c r="T234" s="825" t="e">
        <f>+'[6]입력 시트(0124)'!T232</f>
        <v>#REF!</v>
      </c>
      <c r="U234" s="825" t="e">
        <f>+'[6]입력 시트(0124)'!U232</f>
        <v>#REF!</v>
      </c>
      <c r="V234" s="825" t="e">
        <f>+'[6]입력 시트(0124)'!V232</f>
        <v>#REF!</v>
      </c>
      <c r="W234" s="825" t="e">
        <f>+'[6]입력 시트(0124)'!W232</f>
        <v>#REF!</v>
      </c>
      <c r="X234" s="825" t="e">
        <f>+'[6]입력 시트(0124)'!X232</f>
        <v>#REF!</v>
      </c>
      <c r="Y234" s="825">
        <v>0</v>
      </c>
    </row>
    <row r="235" spans="2:25" outlineLevel="1">
      <c r="B235" s="735"/>
      <c r="C235" s="740" t="s">
        <v>309</v>
      </c>
      <c r="D235" s="716">
        <f t="shared" si="36"/>
        <v>3</v>
      </c>
      <c r="E235" s="825">
        <f>+'[6]입력 시트(0124)'!E233</f>
        <v>0</v>
      </c>
      <c r="F235" s="825">
        <f>+'[6]입력 시트(0124)'!F233</f>
        <v>0</v>
      </c>
      <c r="G235" s="825">
        <f>+'[6]입력 시트(0124)'!G233</f>
        <v>0</v>
      </c>
      <c r="H235" s="825">
        <f>+'[6]입력 시트(0124)'!H233</f>
        <v>0</v>
      </c>
      <c r="I235" s="825">
        <f>+'[6]입력 시트(0124)'!I233</f>
        <v>0</v>
      </c>
      <c r="J235" s="825">
        <v>0</v>
      </c>
      <c r="K235" s="825">
        <v>0</v>
      </c>
      <c r="L235" s="825">
        <v>0</v>
      </c>
      <c r="M235" s="825">
        <v>0</v>
      </c>
      <c r="N235" s="825">
        <v>0</v>
      </c>
      <c r="O235" s="825">
        <v>0</v>
      </c>
      <c r="P235" s="825">
        <v>0</v>
      </c>
      <c r="Q235" s="825">
        <v>0</v>
      </c>
      <c r="T235" s="825" t="e">
        <f>+'[6]입력 시트(0124)'!T233</f>
        <v>#REF!</v>
      </c>
      <c r="U235" s="825" t="e">
        <f>+'[6]입력 시트(0124)'!U233</f>
        <v>#REF!</v>
      </c>
      <c r="V235" s="825" t="e">
        <f>+'[6]입력 시트(0124)'!V233</f>
        <v>#REF!</v>
      </c>
      <c r="W235" s="825" t="e">
        <f>+'[6]입력 시트(0124)'!W233</f>
        <v>#REF!</v>
      </c>
      <c r="X235" s="825" t="e">
        <f>+'[6]입력 시트(0124)'!X233</f>
        <v>#REF!</v>
      </c>
      <c r="Y235" s="825">
        <v>0</v>
      </c>
    </row>
    <row r="236" spans="2:25" outlineLevel="1">
      <c r="B236" s="735"/>
      <c r="C236" s="740" t="s">
        <v>309</v>
      </c>
      <c r="D236" s="716">
        <f t="shared" si="36"/>
        <v>4</v>
      </c>
      <c r="E236" s="825">
        <f>+'[6]입력 시트(0124)'!E234</f>
        <v>0</v>
      </c>
      <c r="F236" s="825">
        <f>+'[6]입력 시트(0124)'!F234</f>
        <v>0</v>
      </c>
      <c r="G236" s="825">
        <f>+'[6]입력 시트(0124)'!G234</f>
        <v>0</v>
      </c>
      <c r="H236" s="825">
        <f>+'[6]입력 시트(0124)'!H234</f>
        <v>0</v>
      </c>
      <c r="I236" s="825">
        <f>+'[6]입력 시트(0124)'!I234</f>
        <v>0</v>
      </c>
      <c r="J236" s="825">
        <v>0</v>
      </c>
      <c r="K236" s="825">
        <v>0</v>
      </c>
      <c r="L236" s="825">
        <v>0</v>
      </c>
      <c r="M236" s="825">
        <v>0</v>
      </c>
      <c r="N236" s="825">
        <v>0</v>
      </c>
      <c r="O236" s="825">
        <v>0</v>
      </c>
      <c r="P236" s="825">
        <v>0</v>
      </c>
      <c r="Q236" s="825">
        <v>0</v>
      </c>
      <c r="T236" s="825" t="e">
        <f>+'[6]입력 시트(0124)'!T234</f>
        <v>#REF!</v>
      </c>
      <c r="U236" s="825" t="e">
        <f>+'[6]입력 시트(0124)'!U234</f>
        <v>#REF!</v>
      </c>
      <c r="V236" s="825" t="e">
        <f>+'[6]입력 시트(0124)'!V234</f>
        <v>#REF!</v>
      </c>
      <c r="W236" s="825" t="e">
        <f>+'[6]입력 시트(0124)'!W234</f>
        <v>#REF!</v>
      </c>
      <c r="X236" s="825" t="e">
        <f>+'[6]입력 시트(0124)'!X234</f>
        <v>#REF!</v>
      </c>
      <c r="Y236" s="825">
        <v>0</v>
      </c>
    </row>
    <row r="237" spans="2:25" outlineLevel="1">
      <c r="B237" s="735"/>
      <c r="C237" s="740" t="s">
        <v>309</v>
      </c>
      <c r="D237" s="716">
        <f t="shared" si="36"/>
        <v>5</v>
      </c>
      <c r="E237" s="825">
        <f>+'[6]입력 시트(0124)'!E235</f>
        <v>0</v>
      </c>
      <c r="F237" s="825">
        <f>+'[6]입력 시트(0124)'!F235</f>
        <v>0</v>
      </c>
      <c r="G237" s="825">
        <f>+'[6]입력 시트(0124)'!G235</f>
        <v>0</v>
      </c>
      <c r="H237" s="825">
        <f>+'[6]입력 시트(0124)'!H235</f>
        <v>0</v>
      </c>
      <c r="I237" s="825">
        <f>+'[6]입력 시트(0124)'!I235</f>
        <v>0</v>
      </c>
      <c r="J237" s="825">
        <v>0</v>
      </c>
      <c r="K237" s="825">
        <v>0</v>
      </c>
      <c r="L237" s="825">
        <v>0</v>
      </c>
      <c r="M237" s="825">
        <v>0</v>
      </c>
      <c r="N237" s="825">
        <v>0</v>
      </c>
      <c r="O237" s="825">
        <v>0</v>
      </c>
      <c r="P237" s="825">
        <v>0</v>
      </c>
      <c r="Q237" s="825">
        <v>0</v>
      </c>
      <c r="T237" s="825" t="e">
        <f>+'[6]입력 시트(0124)'!T235</f>
        <v>#REF!</v>
      </c>
      <c r="U237" s="825" t="e">
        <f>+'[6]입력 시트(0124)'!U235</f>
        <v>#REF!</v>
      </c>
      <c r="V237" s="825" t="e">
        <f>+'[6]입력 시트(0124)'!V235</f>
        <v>#REF!</v>
      </c>
      <c r="W237" s="825" t="e">
        <f>+'[6]입력 시트(0124)'!W235</f>
        <v>#REF!</v>
      </c>
      <c r="X237" s="825" t="e">
        <f>+'[6]입력 시트(0124)'!X235</f>
        <v>#REF!</v>
      </c>
      <c r="Y237" s="825">
        <v>0</v>
      </c>
    </row>
    <row r="238" spans="2:25" outlineLevel="1">
      <c r="B238" s="735"/>
      <c r="C238" s="740" t="s">
        <v>309</v>
      </c>
      <c r="D238" s="716">
        <f t="shared" si="36"/>
        <v>6</v>
      </c>
      <c r="E238" s="825">
        <f>+'[6]입력 시트(0124)'!E236</f>
        <v>0</v>
      </c>
      <c r="F238" s="825">
        <f>+'[6]입력 시트(0124)'!F236</f>
        <v>0</v>
      </c>
      <c r="G238" s="825">
        <f>+'[6]입력 시트(0124)'!G236</f>
        <v>0</v>
      </c>
      <c r="H238" s="825">
        <f>+'[6]입력 시트(0124)'!H236</f>
        <v>0</v>
      </c>
      <c r="I238" s="825">
        <f>+'[6]입력 시트(0124)'!I236</f>
        <v>0</v>
      </c>
      <c r="J238" s="825">
        <v>0</v>
      </c>
      <c r="K238" s="825">
        <v>0</v>
      </c>
      <c r="L238" s="825">
        <v>0</v>
      </c>
      <c r="M238" s="825">
        <v>0</v>
      </c>
      <c r="N238" s="825">
        <v>0</v>
      </c>
      <c r="O238" s="825">
        <v>0</v>
      </c>
      <c r="P238" s="825">
        <v>0</v>
      </c>
      <c r="Q238" s="825">
        <v>0</v>
      </c>
      <c r="T238" s="825" t="e">
        <f>+'[6]입력 시트(0124)'!T236</f>
        <v>#REF!</v>
      </c>
      <c r="U238" s="825" t="e">
        <f>+'[6]입력 시트(0124)'!U236</f>
        <v>#REF!</v>
      </c>
      <c r="V238" s="825" t="e">
        <f>+'[6]입력 시트(0124)'!V236</f>
        <v>#REF!</v>
      </c>
      <c r="W238" s="825" t="e">
        <f>+'[6]입력 시트(0124)'!W236</f>
        <v>#REF!</v>
      </c>
      <c r="X238" s="825" t="e">
        <f>+'[6]입력 시트(0124)'!X236</f>
        <v>#REF!</v>
      </c>
      <c r="Y238" s="825">
        <v>0</v>
      </c>
    </row>
    <row r="239" spans="2:25" outlineLevel="1">
      <c r="B239" s="735"/>
      <c r="C239" s="740" t="s">
        <v>309</v>
      </c>
      <c r="D239" s="716">
        <f t="shared" si="36"/>
        <v>7</v>
      </c>
      <c r="E239" s="825">
        <f>+'[6]입력 시트(0124)'!E237</f>
        <v>0</v>
      </c>
      <c r="F239" s="825">
        <f>+'[6]입력 시트(0124)'!F237</f>
        <v>0</v>
      </c>
      <c r="G239" s="825">
        <f>+'[6]입력 시트(0124)'!G237</f>
        <v>0</v>
      </c>
      <c r="H239" s="825">
        <f>+'[6]입력 시트(0124)'!H237</f>
        <v>0</v>
      </c>
      <c r="I239" s="825">
        <f>+'[6]입력 시트(0124)'!I237</f>
        <v>0</v>
      </c>
      <c r="J239" s="825">
        <v>0</v>
      </c>
      <c r="K239" s="825">
        <v>0</v>
      </c>
      <c r="L239" s="825">
        <v>0</v>
      </c>
      <c r="M239" s="825">
        <v>0</v>
      </c>
      <c r="N239" s="825">
        <v>0</v>
      </c>
      <c r="O239" s="825">
        <v>0</v>
      </c>
      <c r="P239" s="825">
        <v>0</v>
      </c>
      <c r="Q239" s="825">
        <v>0</v>
      </c>
      <c r="T239" s="825" t="e">
        <f>+'[6]입력 시트(0124)'!T237</f>
        <v>#REF!</v>
      </c>
      <c r="U239" s="825" t="e">
        <f>+'[6]입력 시트(0124)'!U237</f>
        <v>#REF!</v>
      </c>
      <c r="V239" s="825" t="e">
        <f>+'[6]입력 시트(0124)'!V237</f>
        <v>#REF!</v>
      </c>
      <c r="W239" s="825" t="e">
        <f>+'[6]입력 시트(0124)'!W237</f>
        <v>#REF!</v>
      </c>
      <c r="X239" s="825" t="e">
        <f>+'[6]입력 시트(0124)'!X237</f>
        <v>#REF!</v>
      </c>
      <c r="Y239" s="825">
        <v>0</v>
      </c>
    </row>
    <row r="240" spans="2:25" outlineLevel="1">
      <c r="B240" s="735"/>
      <c r="C240" s="740" t="s">
        <v>309</v>
      </c>
      <c r="D240" s="716">
        <f t="shared" si="36"/>
        <v>8</v>
      </c>
      <c r="E240" s="825">
        <f>+'[6]입력 시트(0124)'!E238</f>
        <v>0</v>
      </c>
      <c r="F240" s="825">
        <f>+'[6]입력 시트(0124)'!F238</f>
        <v>0</v>
      </c>
      <c r="G240" s="825">
        <f>+'[6]입력 시트(0124)'!G238</f>
        <v>0</v>
      </c>
      <c r="H240" s="825">
        <f>+'[6]입력 시트(0124)'!H238</f>
        <v>0</v>
      </c>
      <c r="I240" s="825">
        <f>+'[6]입력 시트(0124)'!I238</f>
        <v>0</v>
      </c>
      <c r="J240" s="825">
        <v>0</v>
      </c>
      <c r="K240" s="825">
        <v>0</v>
      </c>
      <c r="L240" s="825">
        <v>0</v>
      </c>
      <c r="M240" s="825">
        <v>0</v>
      </c>
      <c r="N240" s="825">
        <v>0</v>
      </c>
      <c r="O240" s="825">
        <v>0</v>
      </c>
      <c r="P240" s="825">
        <v>0</v>
      </c>
      <c r="Q240" s="825">
        <v>0</v>
      </c>
      <c r="T240" s="825" t="e">
        <f>+'[6]입력 시트(0124)'!T238</f>
        <v>#REF!</v>
      </c>
      <c r="U240" s="825" t="e">
        <f>+'[6]입력 시트(0124)'!U238</f>
        <v>#REF!</v>
      </c>
      <c r="V240" s="825" t="e">
        <f>+'[6]입력 시트(0124)'!V238</f>
        <v>#REF!</v>
      </c>
      <c r="W240" s="825" t="e">
        <f>+'[6]입력 시트(0124)'!W238</f>
        <v>#REF!</v>
      </c>
      <c r="X240" s="825" t="e">
        <f>+'[6]입력 시트(0124)'!X238</f>
        <v>#REF!</v>
      </c>
      <c r="Y240" s="825">
        <v>0</v>
      </c>
    </row>
    <row r="241" spans="2:25" outlineLevel="1">
      <c r="B241" s="735"/>
      <c r="C241" s="740" t="s">
        <v>309</v>
      </c>
      <c r="D241" s="716">
        <f t="shared" si="36"/>
        <v>9</v>
      </c>
      <c r="E241" s="825">
        <f>+'[6]입력 시트(0124)'!E239</f>
        <v>0</v>
      </c>
      <c r="F241" s="825">
        <f>+'[6]입력 시트(0124)'!F239</f>
        <v>0</v>
      </c>
      <c r="G241" s="825">
        <f>+'[6]입력 시트(0124)'!G239</f>
        <v>0</v>
      </c>
      <c r="H241" s="825">
        <f>+'[6]입력 시트(0124)'!H239</f>
        <v>0</v>
      </c>
      <c r="I241" s="825">
        <f>+'[6]입력 시트(0124)'!I239</f>
        <v>0</v>
      </c>
      <c r="J241" s="825">
        <v>0</v>
      </c>
      <c r="K241" s="825">
        <v>0</v>
      </c>
      <c r="L241" s="825">
        <v>0</v>
      </c>
      <c r="M241" s="825">
        <v>0</v>
      </c>
      <c r="N241" s="825">
        <v>0</v>
      </c>
      <c r="O241" s="825">
        <v>0</v>
      </c>
      <c r="P241" s="825">
        <v>0</v>
      </c>
      <c r="Q241" s="825">
        <v>0</v>
      </c>
      <c r="T241" s="825" t="e">
        <f>+'[6]입력 시트(0124)'!T239</f>
        <v>#REF!</v>
      </c>
      <c r="U241" s="825" t="e">
        <f>+'[6]입력 시트(0124)'!U239</f>
        <v>#REF!</v>
      </c>
      <c r="V241" s="825" t="e">
        <f>+'[6]입력 시트(0124)'!V239</f>
        <v>#REF!</v>
      </c>
      <c r="W241" s="825" t="e">
        <f>+'[6]입력 시트(0124)'!W239</f>
        <v>#REF!</v>
      </c>
      <c r="X241" s="825" t="e">
        <f>+'[6]입력 시트(0124)'!X239</f>
        <v>#REF!</v>
      </c>
      <c r="Y241" s="825">
        <v>0</v>
      </c>
    </row>
    <row r="242" spans="2:25" outlineLevel="1">
      <c r="B242" s="735"/>
      <c r="C242" s="740" t="s">
        <v>309</v>
      </c>
      <c r="D242" s="716">
        <f t="shared" si="36"/>
        <v>10</v>
      </c>
      <c r="E242" s="825">
        <f>+'[6]입력 시트(0124)'!E240</f>
        <v>0</v>
      </c>
      <c r="F242" s="825">
        <f>+'[6]입력 시트(0124)'!F240</f>
        <v>0</v>
      </c>
      <c r="G242" s="825">
        <f>+'[6]입력 시트(0124)'!G240</f>
        <v>0</v>
      </c>
      <c r="H242" s="825">
        <f>+'[6]입력 시트(0124)'!H240</f>
        <v>0</v>
      </c>
      <c r="I242" s="825">
        <f>+'[6]입력 시트(0124)'!I240</f>
        <v>0</v>
      </c>
      <c r="J242" s="825">
        <v>0</v>
      </c>
      <c r="K242" s="825">
        <v>0</v>
      </c>
      <c r="L242" s="825">
        <v>0</v>
      </c>
      <c r="M242" s="825">
        <v>0</v>
      </c>
      <c r="N242" s="825">
        <v>0</v>
      </c>
      <c r="O242" s="825">
        <v>0</v>
      </c>
      <c r="P242" s="825">
        <v>0</v>
      </c>
      <c r="Q242" s="825">
        <v>0</v>
      </c>
      <c r="T242" s="825" t="e">
        <f>+'[6]입력 시트(0124)'!T240</f>
        <v>#REF!</v>
      </c>
      <c r="U242" s="825" t="e">
        <f>+'[6]입력 시트(0124)'!U240</f>
        <v>#REF!</v>
      </c>
      <c r="V242" s="825" t="e">
        <f>+'[6]입력 시트(0124)'!V240</f>
        <v>#REF!</v>
      </c>
      <c r="W242" s="825" t="e">
        <f>+'[6]입력 시트(0124)'!W240</f>
        <v>#REF!</v>
      </c>
      <c r="X242" s="825" t="e">
        <f>+'[6]입력 시트(0124)'!X240</f>
        <v>#REF!</v>
      </c>
      <c r="Y242" s="825">
        <v>0</v>
      </c>
    </row>
    <row r="243" spans="2:25" outlineLevel="1">
      <c r="B243" s="735"/>
      <c r="C243" s="740" t="s">
        <v>309</v>
      </c>
      <c r="D243" s="716">
        <f t="shared" si="36"/>
        <v>11</v>
      </c>
      <c r="E243" s="825">
        <f>+'[6]입력 시트(0124)'!E241</f>
        <v>0</v>
      </c>
      <c r="F243" s="825">
        <f>+'[6]입력 시트(0124)'!F241</f>
        <v>0</v>
      </c>
      <c r="G243" s="825">
        <f>+'[6]입력 시트(0124)'!G241</f>
        <v>0</v>
      </c>
      <c r="H243" s="825">
        <f>+'[6]입력 시트(0124)'!H241</f>
        <v>0</v>
      </c>
      <c r="I243" s="825">
        <f>+'[6]입력 시트(0124)'!I241</f>
        <v>0</v>
      </c>
      <c r="J243" s="825">
        <v>0</v>
      </c>
      <c r="K243" s="825">
        <v>0</v>
      </c>
      <c r="L243" s="825">
        <v>0</v>
      </c>
      <c r="M243" s="825">
        <v>0</v>
      </c>
      <c r="N243" s="825">
        <v>0</v>
      </c>
      <c r="O243" s="825">
        <v>0</v>
      </c>
      <c r="P243" s="825">
        <v>0</v>
      </c>
      <c r="Q243" s="825">
        <v>0</v>
      </c>
      <c r="T243" s="825" t="e">
        <f>+'[6]입력 시트(0124)'!T241</f>
        <v>#REF!</v>
      </c>
      <c r="U243" s="825" t="e">
        <f>+'[6]입력 시트(0124)'!U241</f>
        <v>#REF!</v>
      </c>
      <c r="V243" s="825" t="e">
        <f>+'[6]입력 시트(0124)'!V241</f>
        <v>#REF!</v>
      </c>
      <c r="W243" s="825" t="e">
        <f>+'[6]입력 시트(0124)'!W241</f>
        <v>#REF!</v>
      </c>
      <c r="X243" s="825" t="e">
        <f>+'[6]입력 시트(0124)'!X241</f>
        <v>#REF!</v>
      </c>
      <c r="Y243" s="825">
        <v>0</v>
      </c>
    </row>
    <row r="244" spans="2:25" outlineLevel="1">
      <c r="B244" s="735"/>
      <c r="C244" s="740" t="s">
        <v>309</v>
      </c>
      <c r="D244" s="716">
        <f t="shared" si="36"/>
        <v>12</v>
      </c>
      <c r="E244" s="825">
        <f>+'[6]입력 시트(0124)'!E242</f>
        <v>0</v>
      </c>
      <c r="F244" s="825">
        <f>+'[6]입력 시트(0124)'!F242</f>
        <v>0</v>
      </c>
      <c r="G244" s="825">
        <f>+'[6]입력 시트(0124)'!G242</f>
        <v>0</v>
      </c>
      <c r="H244" s="825">
        <f>+'[6]입력 시트(0124)'!H242</f>
        <v>0</v>
      </c>
      <c r="I244" s="825">
        <f>+'[6]입력 시트(0124)'!I242</f>
        <v>0</v>
      </c>
      <c r="J244" s="825">
        <v>0</v>
      </c>
      <c r="K244" s="825">
        <v>0</v>
      </c>
      <c r="L244" s="825">
        <v>0</v>
      </c>
      <c r="M244" s="825">
        <v>0</v>
      </c>
      <c r="N244" s="825">
        <v>0</v>
      </c>
      <c r="O244" s="825">
        <v>0</v>
      </c>
      <c r="P244" s="825">
        <v>0</v>
      </c>
      <c r="Q244" s="825">
        <v>0</v>
      </c>
      <c r="T244" s="825" t="e">
        <f>+'[6]입력 시트(0124)'!T242</f>
        <v>#REF!</v>
      </c>
      <c r="U244" s="825" t="e">
        <f>+'[6]입력 시트(0124)'!U242</f>
        <v>#REF!</v>
      </c>
      <c r="V244" s="825" t="e">
        <f>+'[6]입력 시트(0124)'!V242</f>
        <v>#REF!</v>
      </c>
      <c r="W244" s="825" t="e">
        <f>+'[6]입력 시트(0124)'!W242</f>
        <v>#REF!</v>
      </c>
      <c r="X244" s="825" t="e">
        <f>+'[6]입력 시트(0124)'!X242</f>
        <v>#REF!</v>
      </c>
      <c r="Y244" s="825">
        <v>0</v>
      </c>
    </row>
    <row r="245" spans="2:25" outlineLevel="1">
      <c r="B245" s="735"/>
      <c r="C245" s="740" t="s">
        <v>309</v>
      </c>
      <c r="D245" s="716">
        <f t="shared" si="36"/>
        <v>13</v>
      </c>
      <c r="E245" s="825">
        <f>+'[6]입력 시트(0124)'!E243</f>
        <v>0</v>
      </c>
      <c r="F245" s="825">
        <f>+'[6]입력 시트(0124)'!F243</f>
        <v>0</v>
      </c>
      <c r="G245" s="825">
        <f>+'[6]입력 시트(0124)'!G243</f>
        <v>0</v>
      </c>
      <c r="H245" s="825">
        <f>+'[6]입력 시트(0124)'!H243</f>
        <v>0</v>
      </c>
      <c r="I245" s="825">
        <f>+'[6]입력 시트(0124)'!I243</f>
        <v>0</v>
      </c>
      <c r="J245" s="825">
        <v>0</v>
      </c>
      <c r="K245" s="825">
        <v>0</v>
      </c>
      <c r="L245" s="825">
        <v>0</v>
      </c>
      <c r="M245" s="825">
        <v>0</v>
      </c>
      <c r="N245" s="825">
        <v>0</v>
      </c>
      <c r="O245" s="825">
        <v>0</v>
      </c>
      <c r="P245" s="825">
        <v>0</v>
      </c>
      <c r="Q245" s="825">
        <v>0</v>
      </c>
      <c r="T245" s="825" t="e">
        <f>+'[6]입력 시트(0124)'!T243</f>
        <v>#REF!</v>
      </c>
      <c r="U245" s="825" t="e">
        <f>+'[6]입력 시트(0124)'!U243</f>
        <v>#REF!</v>
      </c>
      <c r="V245" s="825" t="e">
        <f>+'[6]입력 시트(0124)'!V243</f>
        <v>#REF!</v>
      </c>
      <c r="W245" s="825" t="e">
        <f>+'[6]입력 시트(0124)'!W243</f>
        <v>#REF!</v>
      </c>
      <c r="X245" s="825" t="e">
        <f>+'[6]입력 시트(0124)'!X243</f>
        <v>#REF!</v>
      </c>
      <c r="Y245" s="825">
        <v>0</v>
      </c>
    </row>
    <row r="246" spans="2:25" outlineLevel="1">
      <c r="B246" s="735"/>
      <c r="C246" s="740" t="s">
        <v>309</v>
      </c>
      <c r="D246" s="716">
        <f t="shared" si="36"/>
        <v>14</v>
      </c>
      <c r="E246" s="825">
        <f>+'[6]입력 시트(0124)'!E244</f>
        <v>0</v>
      </c>
      <c r="F246" s="825">
        <f>+'[6]입력 시트(0124)'!F244</f>
        <v>0</v>
      </c>
      <c r="G246" s="825">
        <f>+'[6]입력 시트(0124)'!G244</f>
        <v>0</v>
      </c>
      <c r="H246" s="825">
        <f>+'[6]입력 시트(0124)'!H244</f>
        <v>0</v>
      </c>
      <c r="I246" s="825">
        <f>+'[6]입력 시트(0124)'!I244</f>
        <v>0</v>
      </c>
      <c r="J246" s="825">
        <v>0</v>
      </c>
      <c r="K246" s="825">
        <v>0</v>
      </c>
      <c r="L246" s="825">
        <v>0</v>
      </c>
      <c r="M246" s="825">
        <v>0</v>
      </c>
      <c r="N246" s="825">
        <v>0</v>
      </c>
      <c r="O246" s="825">
        <v>0</v>
      </c>
      <c r="P246" s="825">
        <v>0</v>
      </c>
      <c r="Q246" s="825">
        <v>0</v>
      </c>
      <c r="T246" s="825" t="e">
        <f>+'[6]입력 시트(0124)'!T244</f>
        <v>#REF!</v>
      </c>
      <c r="U246" s="825" t="e">
        <f>+'[6]입력 시트(0124)'!U244</f>
        <v>#REF!</v>
      </c>
      <c r="V246" s="825" t="e">
        <f>+'[6]입력 시트(0124)'!V244</f>
        <v>#REF!</v>
      </c>
      <c r="W246" s="825" t="e">
        <f>+'[6]입력 시트(0124)'!W244</f>
        <v>#REF!</v>
      </c>
      <c r="X246" s="825" t="e">
        <f>+'[6]입력 시트(0124)'!X244</f>
        <v>#REF!</v>
      </c>
      <c r="Y246" s="825">
        <v>0</v>
      </c>
    </row>
    <row r="247" spans="2:25" outlineLevel="1">
      <c r="B247" s="735"/>
      <c r="C247" s="740" t="s">
        <v>309</v>
      </c>
      <c r="D247" s="716">
        <f t="shared" si="36"/>
        <v>15</v>
      </c>
      <c r="E247" s="825">
        <f>+'[6]입력 시트(0124)'!E245</f>
        <v>0</v>
      </c>
      <c r="F247" s="825">
        <f>+'[6]입력 시트(0124)'!F245</f>
        <v>0</v>
      </c>
      <c r="G247" s="825">
        <f>+'[6]입력 시트(0124)'!G245</f>
        <v>0</v>
      </c>
      <c r="H247" s="825">
        <f>+'[6]입력 시트(0124)'!H245</f>
        <v>0</v>
      </c>
      <c r="I247" s="825">
        <f>+'[6]입력 시트(0124)'!I245</f>
        <v>0</v>
      </c>
      <c r="J247" s="825">
        <v>0</v>
      </c>
      <c r="K247" s="825">
        <v>0</v>
      </c>
      <c r="L247" s="825">
        <v>0</v>
      </c>
      <c r="M247" s="825">
        <v>0</v>
      </c>
      <c r="N247" s="825">
        <v>0</v>
      </c>
      <c r="O247" s="825">
        <v>0</v>
      </c>
      <c r="P247" s="825">
        <v>0</v>
      </c>
      <c r="Q247" s="825">
        <v>0</v>
      </c>
      <c r="T247" s="825" t="e">
        <f>+'[6]입력 시트(0124)'!T245</f>
        <v>#REF!</v>
      </c>
      <c r="U247" s="825" t="e">
        <f>+'[6]입력 시트(0124)'!U245</f>
        <v>#REF!</v>
      </c>
      <c r="V247" s="825" t="e">
        <f>+'[6]입력 시트(0124)'!V245</f>
        <v>#REF!</v>
      </c>
      <c r="W247" s="825" t="e">
        <f>+'[6]입력 시트(0124)'!W245</f>
        <v>#REF!</v>
      </c>
      <c r="X247" s="825" t="e">
        <f>+'[6]입력 시트(0124)'!X245</f>
        <v>#REF!</v>
      </c>
      <c r="Y247" s="825">
        <v>0</v>
      </c>
    </row>
    <row r="248" spans="2:25" outlineLevel="1">
      <c r="B248" s="735"/>
      <c r="C248" s="740" t="s">
        <v>309</v>
      </c>
      <c r="D248" s="716">
        <f t="shared" si="36"/>
        <v>16</v>
      </c>
      <c r="E248" s="825">
        <f>+'[6]입력 시트(0124)'!E246</f>
        <v>0</v>
      </c>
      <c r="F248" s="825">
        <f>+'[6]입력 시트(0124)'!F246</f>
        <v>0</v>
      </c>
      <c r="G248" s="825">
        <f>+'[6]입력 시트(0124)'!G246</f>
        <v>0</v>
      </c>
      <c r="H248" s="825">
        <f>+'[6]입력 시트(0124)'!H246</f>
        <v>0</v>
      </c>
      <c r="I248" s="825">
        <f>+'[6]입력 시트(0124)'!I246</f>
        <v>0</v>
      </c>
      <c r="J248" s="825">
        <v>0</v>
      </c>
      <c r="K248" s="825">
        <v>0</v>
      </c>
      <c r="L248" s="825">
        <v>0</v>
      </c>
      <c r="M248" s="825">
        <v>0</v>
      </c>
      <c r="N248" s="825">
        <v>0</v>
      </c>
      <c r="O248" s="825">
        <v>0</v>
      </c>
      <c r="P248" s="825">
        <v>0</v>
      </c>
      <c r="Q248" s="825">
        <v>0</v>
      </c>
      <c r="T248" s="825" t="e">
        <f>+'[6]입력 시트(0124)'!T246</f>
        <v>#REF!</v>
      </c>
      <c r="U248" s="825" t="e">
        <f>+'[6]입력 시트(0124)'!U246</f>
        <v>#REF!</v>
      </c>
      <c r="V248" s="825" t="e">
        <f>+'[6]입력 시트(0124)'!V246</f>
        <v>#REF!</v>
      </c>
      <c r="W248" s="825" t="e">
        <f>+'[6]입력 시트(0124)'!W246</f>
        <v>#REF!</v>
      </c>
      <c r="X248" s="825" t="e">
        <f>+'[6]입력 시트(0124)'!X246</f>
        <v>#REF!</v>
      </c>
      <c r="Y248" s="825">
        <v>0</v>
      </c>
    </row>
    <row r="249" spans="2:25" outlineLevel="1">
      <c r="B249" s="735"/>
      <c r="C249" s="740" t="s">
        <v>309</v>
      </c>
      <c r="D249" s="716">
        <f t="shared" si="36"/>
        <v>17</v>
      </c>
      <c r="E249" s="825">
        <f>+'[6]입력 시트(0124)'!E247</f>
        <v>0</v>
      </c>
      <c r="F249" s="825">
        <f>+'[6]입력 시트(0124)'!F247</f>
        <v>0</v>
      </c>
      <c r="G249" s="825">
        <f>+'[6]입력 시트(0124)'!G247</f>
        <v>0</v>
      </c>
      <c r="H249" s="825">
        <f>+'[6]입력 시트(0124)'!H247</f>
        <v>0</v>
      </c>
      <c r="I249" s="825">
        <f>+'[6]입력 시트(0124)'!I247</f>
        <v>0</v>
      </c>
      <c r="J249" s="825">
        <v>0</v>
      </c>
      <c r="K249" s="825">
        <v>0</v>
      </c>
      <c r="L249" s="825">
        <v>0</v>
      </c>
      <c r="M249" s="825">
        <v>0</v>
      </c>
      <c r="N249" s="825">
        <v>0</v>
      </c>
      <c r="O249" s="825">
        <v>0</v>
      </c>
      <c r="P249" s="825">
        <v>0</v>
      </c>
      <c r="Q249" s="825">
        <v>0</v>
      </c>
      <c r="T249" s="825" t="e">
        <f>+'[6]입력 시트(0124)'!T247</f>
        <v>#REF!</v>
      </c>
      <c r="U249" s="825" t="e">
        <f>+'[6]입력 시트(0124)'!U247</f>
        <v>#REF!</v>
      </c>
      <c r="V249" s="825" t="e">
        <f>+'[6]입력 시트(0124)'!V247</f>
        <v>#REF!</v>
      </c>
      <c r="W249" s="825" t="e">
        <f>+'[6]입력 시트(0124)'!W247</f>
        <v>#REF!</v>
      </c>
      <c r="X249" s="825" t="e">
        <f>+'[6]입력 시트(0124)'!X247</f>
        <v>#REF!</v>
      </c>
      <c r="Y249" s="825">
        <v>0</v>
      </c>
    </row>
    <row r="250" spans="2:25" outlineLevel="1">
      <c r="B250" s="735"/>
      <c r="C250" s="740" t="s">
        <v>309</v>
      </c>
      <c r="D250" s="716">
        <f t="shared" si="36"/>
        <v>18</v>
      </c>
      <c r="E250" s="825">
        <f>+'[6]입력 시트(0124)'!E248</f>
        <v>0</v>
      </c>
      <c r="F250" s="825">
        <f>+'[6]입력 시트(0124)'!F248</f>
        <v>0</v>
      </c>
      <c r="G250" s="825">
        <f>+'[6]입력 시트(0124)'!G248</f>
        <v>0</v>
      </c>
      <c r="H250" s="825">
        <f>+'[6]입력 시트(0124)'!H248</f>
        <v>0</v>
      </c>
      <c r="I250" s="825">
        <f>+'[6]입력 시트(0124)'!I248</f>
        <v>0</v>
      </c>
      <c r="J250" s="825">
        <v>0</v>
      </c>
      <c r="K250" s="825">
        <v>0</v>
      </c>
      <c r="L250" s="825">
        <v>0</v>
      </c>
      <c r="M250" s="825">
        <v>0</v>
      </c>
      <c r="N250" s="825">
        <v>0</v>
      </c>
      <c r="O250" s="825">
        <v>0</v>
      </c>
      <c r="P250" s="825">
        <v>0</v>
      </c>
      <c r="Q250" s="825">
        <v>0</v>
      </c>
      <c r="T250" s="825" t="e">
        <f>+'[6]입력 시트(0124)'!T248</f>
        <v>#REF!</v>
      </c>
      <c r="U250" s="825" t="e">
        <f>+'[6]입력 시트(0124)'!U248</f>
        <v>#REF!</v>
      </c>
      <c r="V250" s="825" t="e">
        <f>+'[6]입력 시트(0124)'!V248</f>
        <v>#REF!</v>
      </c>
      <c r="W250" s="825" t="e">
        <f>+'[6]입력 시트(0124)'!W248</f>
        <v>#REF!</v>
      </c>
      <c r="X250" s="825" t="e">
        <f>+'[6]입력 시트(0124)'!X248</f>
        <v>#REF!</v>
      </c>
      <c r="Y250" s="825">
        <v>0</v>
      </c>
    </row>
    <row r="251" spans="2:25" outlineLevel="1">
      <c r="B251" s="735"/>
      <c r="C251" s="740" t="s">
        <v>309</v>
      </c>
      <c r="D251" s="716">
        <f t="shared" si="36"/>
        <v>19</v>
      </c>
      <c r="E251" s="825">
        <f>+'[6]입력 시트(0124)'!E249</f>
        <v>0</v>
      </c>
      <c r="F251" s="825">
        <f>+'[6]입력 시트(0124)'!F249</f>
        <v>0</v>
      </c>
      <c r="G251" s="825">
        <f>+'[6]입력 시트(0124)'!G249</f>
        <v>0</v>
      </c>
      <c r="H251" s="825">
        <f>+'[6]입력 시트(0124)'!H249</f>
        <v>0</v>
      </c>
      <c r="I251" s="825">
        <f>+'[6]입력 시트(0124)'!I249</f>
        <v>0</v>
      </c>
      <c r="J251" s="825">
        <v>0</v>
      </c>
      <c r="K251" s="825">
        <v>0</v>
      </c>
      <c r="L251" s="825">
        <v>0</v>
      </c>
      <c r="M251" s="825">
        <v>0</v>
      </c>
      <c r="N251" s="825">
        <v>0</v>
      </c>
      <c r="O251" s="825">
        <v>0</v>
      </c>
      <c r="P251" s="825">
        <v>0</v>
      </c>
      <c r="Q251" s="825">
        <v>0</v>
      </c>
      <c r="T251" s="825" t="e">
        <f>+'[6]입력 시트(0124)'!T249</f>
        <v>#REF!</v>
      </c>
      <c r="U251" s="825" t="e">
        <f>+'[6]입력 시트(0124)'!U249</f>
        <v>#REF!</v>
      </c>
      <c r="V251" s="825" t="e">
        <f>+'[6]입력 시트(0124)'!V249</f>
        <v>#REF!</v>
      </c>
      <c r="W251" s="825" t="e">
        <f>+'[6]입력 시트(0124)'!W249</f>
        <v>#REF!</v>
      </c>
      <c r="X251" s="825" t="e">
        <f>+'[6]입력 시트(0124)'!X249</f>
        <v>#REF!</v>
      </c>
      <c r="Y251" s="825">
        <v>0</v>
      </c>
    </row>
    <row r="252" spans="2:25" outlineLevel="1">
      <c r="B252" s="735"/>
      <c r="C252" s="740" t="s">
        <v>309</v>
      </c>
      <c r="D252" s="716">
        <f t="shared" si="36"/>
        <v>20</v>
      </c>
      <c r="E252" s="825">
        <f>+'[6]입력 시트(0124)'!E250</f>
        <v>0</v>
      </c>
      <c r="F252" s="825">
        <f>+'[6]입력 시트(0124)'!F250</f>
        <v>0</v>
      </c>
      <c r="G252" s="825">
        <f>+'[6]입력 시트(0124)'!G250</f>
        <v>0</v>
      </c>
      <c r="H252" s="825">
        <f>+'[6]입력 시트(0124)'!H250</f>
        <v>0</v>
      </c>
      <c r="I252" s="825">
        <f>+'[6]입력 시트(0124)'!I250</f>
        <v>0</v>
      </c>
      <c r="J252" s="825">
        <v>0</v>
      </c>
      <c r="K252" s="825">
        <v>0</v>
      </c>
      <c r="L252" s="825">
        <v>0</v>
      </c>
      <c r="M252" s="825">
        <v>0</v>
      </c>
      <c r="N252" s="825">
        <v>0</v>
      </c>
      <c r="O252" s="825">
        <v>0</v>
      </c>
      <c r="P252" s="825">
        <v>0</v>
      </c>
      <c r="Q252" s="825">
        <v>0</v>
      </c>
      <c r="T252" s="825" t="e">
        <f>+'[6]입력 시트(0124)'!T250</f>
        <v>#REF!</v>
      </c>
      <c r="U252" s="825" t="e">
        <f>+'[6]입력 시트(0124)'!U250</f>
        <v>#REF!</v>
      </c>
      <c r="V252" s="825" t="e">
        <f>+'[6]입력 시트(0124)'!V250</f>
        <v>#REF!</v>
      </c>
      <c r="W252" s="825" t="e">
        <f>+'[6]입력 시트(0124)'!W250</f>
        <v>#REF!</v>
      </c>
      <c r="X252" s="825" t="e">
        <f>+'[6]입력 시트(0124)'!X250</f>
        <v>#REF!</v>
      </c>
      <c r="Y252" s="825">
        <v>0</v>
      </c>
    </row>
    <row r="253" spans="2:25" outlineLevel="1">
      <c r="B253" s="735"/>
      <c r="C253" s="740" t="s">
        <v>309</v>
      </c>
      <c r="D253" s="716">
        <f t="shared" si="36"/>
        <v>21</v>
      </c>
      <c r="E253" s="825">
        <f>+'[6]입력 시트(0124)'!E251</f>
        <v>0</v>
      </c>
      <c r="F253" s="825">
        <f>+'[6]입력 시트(0124)'!F251</f>
        <v>0</v>
      </c>
      <c r="G253" s="825">
        <f>+'[6]입력 시트(0124)'!G251</f>
        <v>0</v>
      </c>
      <c r="H253" s="825">
        <f>+'[6]입력 시트(0124)'!H251</f>
        <v>0</v>
      </c>
      <c r="I253" s="825">
        <f>+'[6]입력 시트(0124)'!I251</f>
        <v>0</v>
      </c>
      <c r="J253" s="825">
        <v>0</v>
      </c>
      <c r="K253" s="825">
        <v>0</v>
      </c>
      <c r="L253" s="825">
        <v>0</v>
      </c>
      <c r="M253" s="825">
        <v>0</v>
      </c>
      <c r="N253" s="825">
        <v>0</v>
      </c>
      <c r="O253" s="825">
        <v>0</v>
      </c>
      <c r="P253" s="825">
        <v>0</v>
      </c>
      <c r="Q253" s="825">
        <v>0</v>
      </c>
      <c r="T253" s="825" t="e">
        <f>+'[6]입력 시트(0124)'!T251</f>
        <v>#REF!</v>
      </c>
      <c r="U253" s="825" t="e">
        <f>+'[6]입력 시트(0124)'!U251</f>
        <v>#REF!</v>
      </c>
      <c r="V253" s="825" t="e">
        <f>+'[6]입력 시트(0124)'!V251</f>
        <v>#REF!</v>
      </c>
      <c r="W253" s="825" t="e">
        <f>+'[6]입력 시트(0124)'!W251</f>
        <v>#REF!</v>
      </c>
      <c r="X253" s="825" t="e">
        <f>+'[6]입력 시트(0124)'!X251</f>
        <v>#REF!</v>
      </c>
      <c r="Y253" s="825">
        <v>0</v>
      </c>
    </row>
    <row r="254" spans="2:25" outlineLevel="1">
      <c r="B254" s="735"/>
      <c r="C254" s="740" t="s">
        <v>309</v>
      </c>
      <c r="D254" s="716">
        <f t="shared" si="36"/>
        <v>22</v>
      </c>
      <c r="E254" s="825">
        <f>+'[6]입력 시트(0124)'!E252</f>
        <v>0</v>
      </c>
      <c r="F254" s="825">
        <f>+'[6]입력 시트(0124)'!F252</f>
        <v>0</v>
      </c>
      <c r="G254" s="825">
        <f>+'[6]입력 시트(0124)'!G252</f>
        <v>0</v>
      </c>
      <c r="H254" s="825">
        <f>+'[6]입력 시트(0124)'!H252</f>
        <v>0</v>
      </c>
      <c r="I254" s="825">
        <f>+'[6]입력 시트(0124)'!I252</f>
        <v>0</v>
      </c>
      <c r="J254" s="825">
        <v>0</v>
      </c>
      <c r="K254" s="825">
        <v>0</v>
      </c>
      <c r="L254" s="825">
        <v>0</v>
      </c>
      <c r="M254" s="825">
        <v>0</v>
      </c>
      <c r="N254" s="825">
        <v>0</v>
      </c>
      <c r="O254" s="825">
        <v>0</v>
      </c>
      <c r="P254" s="825">
        <v>0</v>
      </c>
      <c r="Q254" s="825">
        <v>0</v>
      </c>
      <c r="T254" s="825" t="e">
        <f>+'[6]입력 시트(0124)'!T252</f>
        <v>#REF!</v>
      </c>
      <c r="U254" s="825" t="e">
        <f>+'[6]입력 시트(0124)'!U252</f>
        <v>#REF!</v>
      </c>
      <c r="V254" s="825" t="e">
        <f>+'[6]입력 시트(0124)'!V252</f>
        <v>#REF!</v>
      </c>
      <c r="W254" s="825" t="e">
        <f>+'[6]입력 시트(0124)'!W252</f>
        <v>#REF!</v>
      </c>
      <c r="X254" s="825" t="e">
        <f>+'[6]입력 시트(0124)'!X252</f>
        <v>#REF!</v>
      </c>
      <c r="Y254" s="825">
        <v>0</v>
      </c>
    </row>
    <row r="255" spans="2:25" outlineLevel="1">
      <c r="B255" s="735"/>
      <c r="C255" s="740" t="s">
        <v>309</v>
      </c>
      <c r="D255" s="716">
        <f t="shared" si="36"/>
        <v>23</v>
      </c>
      <c r="E255" s="825">
        <f>+'[6]입력 시트(0124)'!E253</f>
        <v>0</v>
      </c>
      <c r="F255" s="825">
        <f>+'[6]입력 시트(0124)'!F253</f>
        <v>0</v>
      </c>
      <c r="G255" s="825">
        <f>+'[6]입력 시트(0124)'!G253</f>
        <v>0</v>
      </c>
      <c r="H255" s="825">
        <f>+'[6]입력 시트(0124)'!H253</f>
        <v>0</v>
      </c>
      <c r="I255" s="825">
        <f>+'[6]입력 시트(0124)'!I253</f>
        <v>0</v>
      </c>
      <c r="J255" s="825">
        <v>0</v>
      </c>
      <c r="K255" s="825">
        <v>0</v>
      </c>
      <c r="L255" s="825">
        <v>0</v>
      </c>
      <c r="M255" s="825">
        <v>0</v>
      </c>
      <c r="N255" s="825">
        <v>0</v>
      </c>
      <c r="O255" s="825">
        <v>0</v>
      </c>
      <c r="P255" s="825">
        <v>0</v>
      </c>
      <c r="Q255" s="825">
        <v>0</v>
      </c>
      <c r="T255" s="825" t="e">
        <f>+'[6]입력 시트(0124)'!T253</f>
        <v>#REF!</v>
      </c>
      <c r="U255" s="825" t="e">
        <f>+'[6]입력 시트(0124)'!U253</f>
        <v>#REF!</v>
      </c>
      <c r="V255" s="825" t="e">
        <f>+'[6]입력 시트(0124)'!V253</f>
        <v>#REF!</v>
      </c>
      <c r="W255" s="825" t="e">
        <f>+'[6]입력 시트(0124)'!W253</f>
        <v>#REF!</v>
      </c>
      <c r="X255" s="825" t="e">
        <f>+'[6]입력 시트(0124)'!X253</f>
        <v>#REF!</v>
      </c>
      <c r="Y255" s="825">
        <v>0</v>
      </c>
    </row>
    <row r="256" spans="2:25" outlineLevel="1">
      <c r="B256" s="735"/>
      <c r="C256" s="740" t="s">
        <v>309</v>
      </c>
      <c r="D256" s="716">
        <f t="shared" si="36"/>
        <v>24</v>
      </c>
      <c r="E256" s="825">
        <f>+'[6]입력 시트(0124)'!E254</f>
        <v>0</v>
      </c>
      <c r="F256" s="825">
        <f>+'[6]입력 시트(0124)'!F254</f>
        <v>0</v>
      </c>
      <c r="G256" s="825">
        <f>+'[6]입력 시트(0124)'!G254</f>
        <v>0</v>
      </c>
      <c r="H256" s="825">
        <f>+'[6]입력 시트(0124)'!H254</f>
        <v>0</v>
      </c>
      <c r="I256" s="825">
        <f>+'[6]입력 시트(0124)'!I254</f>
        <v>0</v>
      </c>
      <c r="J256" s="825">
        <v>0</v>
      </c>
      <c r="K256" s="825">
        <v>0</v>
      </c>
      <c r="L256" s="825">
        <v>0</v>
      </c>
      <c r="M256" s="825">
        <v>0</v>
      </c>
      <c r="N256" s="825">
        <v>0</v>
      </c>
      <c r="O256" s="825">
        <v>0</v>
      </c>
      <c r="P256" s="825">
        <v>0</v>
      </c>
      <c r="Q256" s="825">
        <v>0</v>
      </c>
      <c r="T256" s="825" t="e">
        <f>+'[6]입력 시트(0124)'!T254</f>
        <v>#REF!</v>
      </c>
      <c r="U256" s="825" t="e">
        <f>+'[6]입력 시트(0124)'!U254</f>
        <v>#REF!</v>
      </c>
      <c r="V256" s="825" t="e">
        <f>+'[6]입력 시트(0124)'!V254</f>
        <v>#REF!</v>
      </c>
      <c r="W256" s="825" t="e">
        <f>+'[6]입력 시트(0124)'!W254</f>
        <v>#REF!</v>
      </c>
      <c r="X256" s="825" t="e">
        <f>+'[6]입력 시트(0124)'!X254</f>
        <v>#REF!</v>
      </c>
      <c r="Y256" s="825">
        <v>0</v>
      </c>
    </row>
    <row r="257" spans="2:25" outlineLevel="1">
      <c r="B257" s="735" t="s">
        <v>540</v>
      </c>
      <c r="C257" s="1367"/>
      <c r="D257" s="1368"/>
      <c r="E257" s="826"/>
      <c r="F257" s="826"/>
      <c r="G257" s="826"/>
      <c r="H257" s="826"/>
      <c r="I257" s="826"/>
      <c r="J257" s="826"/>
      <c r="K257" s="826"/>
      <c r="L257" s="826"/>
      <c r="M257" s="826"/>
      <c r="N257" s="826"/>
      <c r="O257" s="826"/>
      <c r="P257" s="826"/>
      <c r="Q257" s="826"/>
      <c r="T257" s="826"/>
      <c r="U257" s="826"/>
      <c r="V257" s="826"/>
      <c r="W257" s="826"/>
      <c r="X257" s="826"/>
      <c r="Y257" s="826"/>
    </row>
    <row r="258" spans="2:25" outlineLevel="1">
      <c r="E258" s="763" t="e">
        <f>+SUM(#REF!)=E261</f>
        <v>#REF!</v>
      </c>
      <c r="F258" s="763" t="e">
        <f>+SUM(#REF!)=F261</f>
        <v>#REF!</v>
      </c>
      <c r="G258" s="763" t="e">
        <f>+SUM(#REF!)=G261</f>
        <v>#REF!</v>
      </c>
      <c r="H258" s="763" t="e">
        <f>+SUM(#REF!)=H261</f>
        <v>#REF!</v>
      </c>
      <c r="I258" s="763" t="e">
        <f>+SUM(#REF!)=I261</f>
        <v>#REF!</v>
      </c>
      <c r="J258" s="763" t="e">
        <f>+SUM(#REF!)=J261</f>
        <v>#REF!</v>
      </c>
      <c r="K258" s="763" t="e">
        <f>+SUM(#REF!)=K261</f>
        <v>#REF!</v>
      </c>
      <c r="L258" s="763" t="e">
        <f>+SUM(#REF!)=L261</f>
        <v>#REF!</v>
      </c>
      <c r="M258" s="763" t="e">
        <f>+SUM(#REF!)=M261</f>
        <v>#REF!</v>
      </c>
      <c r="N258" s="763" t="e">
        <f>+SUM(#REF!)=N261</f>
        <v>#REF!</v>
      </c>
      <c r="O258" s="763" t="e">
        <f>+SUM(#REF!)=O261</f>
        <v>#REF!</v>
      </c>
      <c r="P258" s="763" t="e">
        <f>+SUM(#REF!)=P261</f>
        <v>#REF!</v>
      </c>
      <c r="Q258" s="763" t="e">
        <f>+SUM(#REF!)=Q261</f>
        <v>#REF!</v>
      </c>
      <c r="T258" s="959" t="e">
        <f>+SUM(#REF!)=T261</f>
        <v>#REF!</v>
      </c>
      <c r="U258" s="959" t="e">
        <f>+SUM(#REF!)=U261</f>
        <v>#REF!</v>
      </c>
      <c r="V258" s="959" t="e">
        <f>+SUM(#REF!)=V261</f>
        <v>#REF!</v>
      </c>
      <c r="W258" s="959" t="e">
        <f>+SUM(#REF!)=W261</f>
        <v>#REF!</v>
      </c>
      <c r="X258" s="959" t="e">
        <f>+SUM(#REF!)=X261</f>
        <v>#REF!</v>
      </c>
      <c r="Y258" s="959" t="e">
        <f>+SUM(#REF!)=Y261</f>
        <v>#REF!</v>
      </c>
    </row>
    <row r="259" spans="2:25" outlineLevel="1">
      <c r="B259" s="803" t="s">
        <v>575</v>
      </c>
      <c r="D259" s="749"/>
      <c r="E259" s="755" t="b">
        <f>620000000*E24=E261</f>
        <v>0</v>
      </c>
      <c r="F259" s="755" t="b">
        <f t="shared" ref="F259:M259" si="37">620000000*F24=F261</f>
        <v>0</v>
      </c>
      <c r="G259" s="755" t="b">
        <f t="shared" si="37"/>
        <v>0</v>
      </c>
      <c r="H259" s="755" t="b">
        <f t="shared" si="37"/>
        <v>0</v>
      </c>
      <c r="I259" s="755" t="b">
        <f t="shared" si="37"/>
        <v>0</v>
      </c>
      <c r="J259" s="755" t="b">
        <f t="shared" si="37"/>
        <v>0</v>
      </c>
      <c r="K259" s="755" t="b">
        <f t="shared" si="37"/>
        <v>0</v>
      </c>
      <c r="L259" s="755" t="b">
        <f t="shared" si="37"/>
        <v>0</v>
      </c>
      <c r="M259" s="755" t="b">
        <f t="shared" si="37"/>
        <v>0</v>
      </c>
      <c r="N259" s="755" t="b">
        <f>620000000*N24=N261</f>
        <v>0</v>
      </c>
      <c r="O259" s="755" t="b">
        <f>620000000*O24=O261</f>
        <v>0</v>
      </c>
      <c r="P259" s="755" t="b">
        <f>620000000*P24=P261</f>
        <v>0</v>
      </c>
      <c r="Q259" s="755" t="b">
        <f>620000000*Q24=Q261</f>
        <v>0</v>
      </c>
      <c r="T259" s="956" t="b">
        <f t="shared" ref="T259:Y259" si="38">620000000*T24=T261</f>
        <v>0</v>
      </c>
      <c r="U259" s="956" t="b">
        <f t="shared" si="38"/>
        <v>0</v>
      </c>
      <c r="V259" s="956" t="b">
        <f t="shared" si="38"/>
        <v>0</v>
      </c>
      <c r="W259" s="956" t="b">
        <f t="shared" si="38"/>
        <v>0</v>
      </c>
      <c r="X259" s="956" t="b">
        <f t="shared" si="38"/>
        <v>0</v>
      </c>
      <c r="Y259" s="956" t="b">
        <f t="shared" si="38"/>
        <v>0</v>
      </c>
    </row>
    <row r="260" spans="2:25" ht="16.5" customHeight="1" outlineLevel="1">
      <c r="B260" s="735" t="s">
        <v>487</v>
      </c>
      <c r="C260" s="760"/>
      <c r="D260" s="759"/>
      <c r="E260" s="801"/>
      <c r="F260" s="801"/>
      <c r="G260" s="801"/>
      <c r="H260" s="801"/>
      <c r="I260" s="801"/>
      <c r="J260" s="801"/>
      <c r="K260" s="801"/>
      <c r="L260" s="801"/>
      <c r="M260" s="801"/>
      <c r="N260" s="801"/>
      <c r="O260" s="801"/>
      <c r="P260" s="801"/>
      <c r="Q260" s="801"/>
      <c r="T260" s="801"/>
      <c r="U260" s="801"/>
      <c r="V260" s="801"/>
      <c r="W260" s="801"/>
      <c r="X260" s="801"/>
      <c r="Y260" s="801"/>
    </row>
    <row r="261" spans="2:25" outlineLevel="1">
      <c r="B261" s="735" t="s">
        <v>528</v>
      </c>
      <c r="D261" s="813" t="s">
        <v>571</v>
      </c>
      <c r="E261" s="821">
        <f>+'Input 기초'!F84</f>
        <v>286023500</v>
      </c>
      <c r="F261" s="821">
        <f>+'Input 기초'!G84</f>
        <v>84241500</v>
      </c>
      <c r="G261" s="821">
        <f>+'Input 기초'!H84</f>
        <v>173808000</v>
      </c>
      <c r="H261" s="821">
        <f>+'Input 기초'!I84</f>
        <v>94500000</v>
      </c>
      <c r="I261" s="821">
        <f>+'Input 기초'!J84</f>
        <v>54900000</v>
      </c>
      <c r="J261" s="821">
        <f>+'Input 기초'!K84</f>
        <v>197100000</v>
      </c>
      <c r="K261" s="821">
        <f>+'Input 기초'!L84</f>
        <v>76950000</v>
      </c>
      <c r="L261" s="821">
        <f>+'Input 기초'!M84</f>
        <v>237150000</v>
      </c>
      <c r="M261" s="821">
        <f>+'Input 기초'!N84</f>
        <v>105300000</v>
      </c>
      <c r="N261" s="821">
        <f>+'Input 기초'!O84</f>
        <v>225000000</v>
      </c>
      <c r="O261" s="821">
        <f>+'Input 기초'!P84</f>
        <v>57150000</v>
      </c>
      <c r="P261" s="821">
        <f>+'Input 기초'!Q84</f>
        <v>72450000</v>
      </c>
      <c r="Q261" s="821">
        <f>+'Input 기초'!R84</f>
        <v>134500000</v>
      </c>
      <c r="T261" s="821">
        <f>+'Input 기초'!U84</f>
        <v>0</v>
      </c>
      <c r="U261" s="821">
        <f>+'Input 기초'!V84</f>
        <v>0</v>
      </c>
      <c r="V261" s="821">
        <f>+'Input 기초'!W84</f>
        <v>0</v>
      </c>
      <c r="W261" s="821">
        <f>+'Input 기초'!X84</f>
        <v>0</v>
      </c>
      <c r="X261" s="821">
        <f>+'Input 기초'!Y84</f>
        <v>0</v>
      </c>
      <c r="Y261" s="821">
        <f>+'Input 기초'!Z84</f>
        <v>0</v>
      </c>
    </row>
    <row r="262" spans="2:25" ht="16.5" customHeight="1" outlineLevel="1">
      <c r="B262" s="735" t="s">
        <v>542</v>
      </c>
      <c r="C262" s="764"/>
      <c r="D262" s="721" t="s">
        <v>533</v>
      </c>
      <c r="E262" s="822">
        <v>0</v>
      </c>
      <c r="F262" s="822">
        <v>0</v>
      </c>
      <c r="G262" s="822">
        <v>0</v>
      </c>
      <c r="H262" s="822">
        <v>0</v>
      </c>
      <c r="I262" s="822">
        <v>0</v>
      </c>
      <c r="J262" s="822">
        <v>0</v>
      </c>
      <c r="K262" s="822">
        <v>0</v>
      </c>
      <c r="L262" s="822">
        <v>0</v>
      </c>
      <c r="M262" s="822">
        <v>0</v>
      </c>
      <c r="N262" s="822">
        <v>0</v>
      </c>
      <c r="O262" s="822">
        <v>0</v>
      </c>
      <c r="P262" s="822">
        <v>0</v>
      </c>
      <c r="Q262" s="822">
        <v>0</v>
      </c>
      <c r="T262" s="822">
        <v>0</v>
      </c>
      <c r="U262" s="822">
        <v>0</v>
      </c>
      <c r="V262" s="822">
        <v>0</v>
      </c>
      <c r="W262" s="822">
        <v>0</v>
      </c>
      <c r="X262" s="822">
        <v>0</v>
      </c>
      <c r="Y262" s="822">
        <v>0</v>
      </c>
    </row>
    <row r="263" spans="2:25" ht="16.5" customHeight="1" outlineLevel="1">
      <c r="B263" s="735" t="s">
        <v>534</v>
      </c>
      <c r="D263" s="721" t="s">
        <v>301</v>
      </c>
      <c r="E263" s="823"/>
      <c r="F263" s="823"/>
      <c r="G263" s="823"/>
      <c r="H263" s="823"/>
      <c r="I263" s="823"/>
      <c r="J263" s="823"/>
      <c r="K263" s="823"/>
      <c r="L263" s="823"/>
      <c r="M263" s="823"/>
      <c r="N263" s="823"/>
      <c r="O263" s="823"/>
      <c r="P263" s="823"/>
      <c r="Q263" s="823"/>
      <c r="T263" s="823"/>
      <c r="U263" s="823"/>
      <c r="V263" s="823"/>
      <c r="W263" s="823"/>
      <c r="X263" s="823"/>
      <c r="Y263" s="823"/>
    </row>
    <row r="264" spans="2:25" ht="16.5" customHeight="1" outlineLevel="1">
      <c r="B264" s="735" t="s">
        <v>536</v>
      </c>
      <c r="D264" s="721" t="s">
        <v>309</v>
      </c>
      <c r="E264" s="824"/>
      <c r="F264" s="824"/>
      <c r="G264" s="824"/>
      <c r="H264" s="824"/>
      <c r="I264" s="824"/>
      <c r="J264" s="824"/>
      <c r="K264" s="824"/>
      <c r="L264" s="824"/>
      <c r="M264" s="824"/>
      <c r="N264" s="824"/>
      <c r="O264" s="824"/>
      <c r="P264" s="824"/>
      <c r="Q264" s="824"/>
      <c r="T264" s="824"/>
      <c r="U264" s="824"/>
      <c r="V264" s="824"/>
      <c r="W264" s="824"/>
      <c r="X264" s="824"/>
      <c r="Y264" s="824"/>
    </row>
    <row r="265" spans="2:25" outlineLevel="1">
      <c r="B265" s="735" t="s">
        <v>568</v>
      </c>
      <c r="C265" s="740" t="s">
        <v>569</v>
      </c>
      <c r="D265" s="716">
        <v>1</v>
      </c>
      <c r="E265" s="825">
        <v>0.3</v>
      </c>
      <c r="F265" s="825">
        <v>0.3</v>
      </c>
      <c r="G265" s="825">
        <v>0.3</v>
      </c>
      <c r="H265" s="825">
        <v>0.3</v>
      </c>
      <c r="I265" s="825">
        <v>0.3</v>
      </c>
      <c r="J265" s="825">
        <v>0.3</v>
      </c>
      <c r="K265" s="825">
        <v>0.3</v>
      </c>
      <c r="L265" s="825">
        <v>0.3</v>
      </c>
      <c r="M265" s="825">
        <v>0.3</v>
      </c>
      <c r="N265" s="825">
        <v>0.3</v>
      </c>
      <c r="O265" s="825">
        <v>0.3</v>
      </c>
      <c r="P265" s="825">
        <v>0.3</v>
      </c>
      <c r="Q265" s="825">
        <v>0.3</v>
      </c>
      <c r="T265" s="825">
        <v>0.3</v>
      </c>
      <c r="U265" s="825">
        <v>0.3</v>
      </c>
      <c r="V265" s="825">
        <v>0.3</v>
      </c>
      <c r="W265" s="825">
        <v>0.3</v>
      </c>
      <c r="X265" s="825">
        <v>0.3</v>
      </c>
      <c r="Y265" s="825">
        <v>0.3</v>
      </c>
    </row>
    <row r="266" spans="2:25" outlineLevel="1">
      <c r="B266" s="735"/>
      <c r="C266" s="740" t="s">
        <v>309</v>
      </c>
      <c r="D266" s="716">
        <f>+D265+1</f>
        <v>2</v>
      </c>
      <c r="E266" s="825">
        <f>+'[6]입력 시트(0124)'!E264</f>
        <v>0</v>
      </c>
      <c r="F266" s="825">
        <f>+'[6]입력 시트(0124)'!F264</f>
        <v>0</v>
      </c>
      <c r="G266" s="825">
        <f>+'[6]입력 시트(0124)'!G264</f>
        <v>0</v>
      </c>
      <c r="H266" s="825">
        <f>+'[6]입력 시트(0124)'!H264</f>
        <v>0</v>
      </c>
      <c r="I266" s="825">
        <f>+'[6]입력 시트(0124)'!I264</f>
        <v>0</v>
      </c>
      <c r="J266" s="825">
        <v>0</v>
      </c>
      <c r="K266" s="825">
        <v>0</v>
      </c>
      <c r="L266" s="825">
        <v>0</v>
      </c>
      <c r="M266" s="825">
        <v>0</v>
      </c>
      <c r="N266" s="825">
        <v>0</v>
      </c>
      <c r="O266" s="825">
        <v>0</v>
      </c>
      <c r="P266" s="825">
        <v>0</v>
      </c>
      <c r="Q266" s="825">
        <v>0</v>
      </c>
      <c r="T266" s="825" t="e">
        <f>+'[6]입력 시트(0124)'!T264</f>
        <v>#REF!</v>
      </c>
      <c r="U266" s="825" t="e">
        <f>+'[6]입력 시트(0124)'!U264</f>
        <v>#REF!</v>
      </c>
      <c r="V266" s="825" t="e">
        <f>+'[6]입력 시트(0124)'!V264</f>
        <v>#REF!</v>
      </c>
      <c r="W266" s="825" t="e">
        <f>+'[6]입력 시트(0124)'!W264</f>
        <v>#REF!</v>
      </c>
      <c r="X266" s="825" t="e">
        <f>+'[6]입력 시트(0124)'!X264</f>
        <v>#REF!</v>
      </c>
      <c r="Y266" s="825">
        <v>0</v>
      </c>
    </row>
    <row r="267" spans="2:25" outlineLevel="1">
      <c r="B267" s="735"/>
      <c r="C267" s="740" t="s">
        <v>309</v>
      </c>
      <c r="D267" s="716">
        <f t="shared" ref="D267:D288" si="39">+D266+1</f>
        <v>3</v>
      </c>
      <c r="E267" s="825">
        <v>0.1</v>
      </c>
      <c r="F267" s="825">
        <v>0.1</v>
      </c>
      <c r="G267" s="825">
        <v>0.1</v>
      </c>
      <c r="H267" s="825">
        <v>0.1</v>
      </c>
      <c r="I267" s="825">
        <v>0.1</v>
      </c>
      <c r="J267" s="825">
        <v>0.1</v>
      </c>
      <c r="K267" s="825">
        <v>0.1</v>
      </c>
      <c r="L267" s="825">
        <v>0.1</v>
      </c>
      <c r="M267" s="825">
        <v>0.1</v>
      </c>
      <c r="N267" s="825">
        <v>0.1</v>
      </c>
      <c r="O267" s="825">
        <v>0.1</v>
      </c>
      <c r="P267" s="825">
        <v>0.1</v>
      </c>
      <c r="Q267" s="825">
        <v>0.1</v>
      </c>
      <c r="T267" s="825">
        <v>0.1</v>
      </c>
      <c r="U267" s="825">
        <v>0.1</v>
      </c>
      <c r="V267" s="825">
        <v>0.1</v>
      </c>
      <c r="W267" s="825">
        <v>0.1</v>
      </c>
      <c r="X267" s="825">
        <v>0.1</v>
      </c>
      <c r="Y267" s="825">
        <v>0.1</v>
      </c>
    </row>
    <row r="268" spans="2:25" outlineLevel="1">
      <c r="B268" s="735"/>
      <c r="C268" s="740" t="s">
        <v>309</v>
      </c>
      <c r="D268" s="716">
        <f t="shared" si="39"/>
        <v>4</v>
      </c>
      <c r="E268" s="825">
        <v>0.5</v>
      </c>
      <c r="F268" s="825">
        <v>0.5</v>
      </c>
      <c r="G268" s="825">
        <v>0.5</v>
      </c>
      <c r="H268" s="825">
        <v>0.5</v>
      </c>
      <c r="I268" s="825">
        <v>0.5</v>
      </c>
      <c r="J268" s="825">
        <v>0.5</v>
      </c>
      <c r="K268" s="825">
        <v>0.5</v>
      </c>
      <c r="L268" s="825">
        <v>0.5</v>
      </c>
      <c r="M268" s="825">
        <v>0.5</v>
      </c>
      <c r="N268" s="825">
        <v>0.5</v>
      </c>
      <c r="O268" s="825">
        <v>0.5</v>
      </c>
      <c r="P268" s="825">
        <v>0.5</v>
      </c>
      <c r="Q268" s="825">
        <v>0.5</v>
      </c>
      <c r="T268" s="825">
        <v>0.5</v>
      </c>
      <c r="U268" s="825">
        <v>0.5</v>
      </c>
      <c r="V268" s="825">
        <v>0.5</v>
      </c>
      <c r="W268" s="825">
        <v>0.5</v>
      </c>
      <c r="X268" s="825">
        <v>0.5</v>
      </c>
      <c r="Y268" s="825">
        <v>0.5</v>
      </c>
    </row>
    <row r="269" spans="2:25" outlineLevel="1">
      <c r="B269" s="735"/>
      <c r="C269" s="740" t="s">
        <v>309</v>
      </c>
      <c r="D269" s="716">
        <f t="shared" si="39"/>
        <v>5</v>
      </c>
      <c r="E269" s="825">
        <f>+'[6]입력 시트(0124)'!E267</f>
        <v>0</v>
      </c>
      <c r="F269" s="825">
        <f>+'[6]입력 시트(0124)'!F267</f>
        <v>0</v>
      </c>
      <c r="G269" s="825">
        <f>+'[6]입력 시트(0124)'!G267</f>
        <v>0</v>
      </c>
      <c r="H269" s="825">
        <f>+'[6]입력 시트(0124)'!H267</f>
        <v>0</v>
      </c>
      <c r="I269" s="825">
        <f>+'[6]입력 시트(0124)'!I267</f>
        <v>0</v>
      </c>
      <c r="J269" s="825">
        <v>0</v>
      </c>
      <c r="K269" s="825">
        <v>0</v>
      </c>
      <c r="L269" s="825">
        <v>0</v>
      </c>
      <c r="M269" s="825">
        <v>0</v>
      </c>
      <c r="N269" s="825">
        <v>0</v>
      </c>
      <c r="O269" s="825">
        <v>0</v>
      </c>
      <c r="P269" s="825">
        <v>0</v>
      </c>
      <c r="Q269" s="825">
        <v>0</v>
      </c>
      <c r="T269" s="825" t="e">
        <f>+'[6]입력 시트(0124)'!T267</f>
        <v>#REF!</v>
      </c>
      <c r="U269" s="825" t="e">
        <f>+'[6]입력 시트(0124)'!U267</f>
        <v>#REF!</v>
      </c>
      <c r="V269" s="825" t="e">
        <f>+'[6]입력 시트(0124)'!V267</f>
        <v>#REF!</v>
      </c>
      <c r="W269" s="825" t="e">
        <f>+'[6]입력 시트(0124)'!W267</f>
        <v>#REF!</v>
      </c>
      <c r="X269" s="825" t="e">
        <f>+'[6]입력 시트(0124)'!X267</f>
        <v>#REF!</v>
      </c>
      <c r="Y269" s="825">
        <v>0</v>
      </c>
    </row>
    <row r="270" spans="2:25" outlineLevel="1">
      <c r="B270" s="735"/>
      <c r="C270" s="740" t="s">
        <v>309</v>
      </c>
      <c r="D270" s="716">
        <f t="shared" si="39"/>
        <v>6</v>
      </c>
      <c r="E270" s="825">
        <v>0</v>
      </c>
      <c r="F270" s="825">
        <v>0</v>
      </c>
      <c r="G270" s="825">
        <v>0</v>
      </c>
      <c r="H270" s="825">
        <v>0</v>
      </c>
      <c r="I270" s="825">
        <v>0</v>
      </c>
      <c r="J270" s="825">
        <v>0</v>
      </c>
      <c r="K270" s="825">
        <v>0</v>
      </c>
      <c r="L270" s="825">
        <v>0</v>
      </c>
      <c r="M270" s="825">
        <v>0</v>
      </c>
      <c r="N270" s="825">
        <v>0</v>
      </c>
      <c r="O270" s="825">
        <v>0</v>
      </c>
      <c r="P270" s="825">
        <v>0</v>
      </c>
      <c r="Q270" s="825">
        <v>0</v>
      </c>
      <c r="T270" s="825">
        <v>0</v>
      </c>
      <c r="U270" s="825">
        <v>0</v>
      </c>
      <c r="V270" s="825">
        <v>0</v>
      </c>
      <c r="W270" s="825">
        <v>0</v>
      </c>
      <c r="X270" s="825">
        <v>0</v>
      </c>
      <c r="Y270" s="825">
        <v>0</v>
      </c>
    </row>
    <row r="271" spans="2:25" outlineLevel="1">
      <c r="B271" s="735"/>
      <c r="C271" s="740" t="s">
        <v>309</v>
      </c>
      <c r="D271" s="716">
        <f t="shared" si="39"/>
        <v>7</v>
      </c>
      <c r="E271" s="825">
        <f>+'[6]입력 시트(0124)'!E269</f>
        <v>0</v>
      </c>
      <c r="F271" s="825">
        <f>+'[6]입력 시트(0124)'!F269</f>
        <v>0</v>
      </c>
      <c r="G271" s="825">
        <f>+'[6]입력 시트(0124)'!G269</f>
        <v>0</v>
      </c>
      <c r="H271" s="825">
        <f>+'[6]입력 시트(0124)'!H269</f>
        <v>0</v>
      </c>
      <c r="I271" s="825">
        <f>+'[6]입력 시트(0124)'!I269</f>
        <v>0</v>
      </c>
      <c r="J271" s="825">
        <v>0</v>
      </c>
      <c r="K271" s="825">
        <v>0</v>
      </c>
      <c r="L271" s="825">
        <v>0</v>
      </c>
      <c r="M271" s="825">
        <v>0</v>
      </c>
      <c r="N271" s="825">
        <v>0</v>
      </c>
      <c r="O271" s="825">
        <v>0</v>
      </c>
      <c r="P271" s="825">
        <v>0</v>
      </c>
      <c r="Q271" s="825">
        <v>0</v>
      </c>
      <c r="T271" s="825" t="e">
        <f>+'[6]입력 시트(0124)'!T269</f>
        <v>#REF!</v>
      </c>
      <c r="U271" s="825" t="e">
        <f>+'[6]입력 시트(0124)'!U269</f>
        <v>#REF!</v>
      </c>
      <c r="V271" s="825" t="e">
        <f>+'[6]입력 시트(0124)'!V269</f>
        <v>#REF!</v>
      </c>
      <c r="W271" s="825" t="e">
        <f>+'[6]입력 시트(0124)'!W269</f>
        <v>#REF!</v>
      </c>
      <c r="X271" s="825" t="e">
        <f>+'[6]입력 시트(0124)'!X269</f>
        <v>#REF!</v>
      </c>
      <c r="Y271" s="825">
        <v>0</v>
      </c>
    </row>
    <row r="272" spans="2:25" outlineLevel="1">
      <c r="B272" s="735"/>
      <c r="C272" s="740" t="s">
        <v>309</v>
      </c>
      <c r="D272" s="716">
        <f t="shared" si="39"/>
        <v>8</v>
      </c>
      <c r="E272" s="825">
        <f>+'[6]입력 시트(0124)'!E270</f>
        <v>0</v>
      </c>
      <c r="F272" s="825">
        <f>+'[6]입력 시트(0124)'!F270</f>
        <v>0</v>
      </c>
      <c r="G272" s="825">
        <f>+'[6]입력 시트(0124)'!G270</f>
        <v>0</v>
      </c>
      <c r="H272" s="825">
        <f>+'[6]입력 시트(0124)'!H270</f>
        <v>0</v>
      </c>
      <c r="I272" s="825">
        <f>+'[6]입력 시트(0124)'!I270</f>
        <v>0</v>
      </c>
      <c r="J272" s="825">
        <v>0</v>
      </c>
      <c r="K272" s="825">
        <v>0</v>
      </c>
      <c r="L272" s="825">
        <v>0</v>
      </c>
      <c r="M272" s="825">
        <v>0</v>
      </c>
      <c r="N272" s="825">
        <v>0</v>
      </c>
      <c r="O272" s="825">
        <v>0</v>
      </c>
      <c r="P272" s="825">
        <v>0</v>
      </c>
      <c r="Q272" s="825">
        <v>0</v>
      </c>
      <c r="T272" s="825" t="e">
        <f>+'[6]입력 시트(0124)'!T270</f>
        <v>#REF!</v>
      </c>
      <c r="U272" s="825" t="e">
        <f>+'[6]입력 시트(0124)'!U270</f>
        <v>#REF!</v>
      </c>
      <c r="V272" s="825" t="e">
        <f>+'[6]입력 시트(0124)'!V270</f>
        <v>#REF!</v>
      </c>
      <c r="W272" s="825" t="e">
        <f>+'[6]입력 시트(0124)'!W270</f>
        <v>#REF!</v>
      </c>
      <c r="X272" s="825" t="e">
        <f>+'[6]입력 시트(0124)'!X270</f>
        <v>#REF!</v>
      </c>
      <c r="Y272" s="825">
        <v>0</v>
      </c>
    </row>
    <row r="273" spans="2:25" outlineLevel="1">
      <c r="B273" s="735"/>
      <c r="C273" s="740" t="s">
        <v>309</v>
      </c>
      <c r="D273" s="716">
        <f t="shared" si="39"/>
        <v>9</v>
      </c>
      <c r="E273" s="825">
        <v>0.1</v>
      </c>
      <c r="F273" s="825">
        <v>0.1</v>
      </c>
      <c r="G273" s="825">
        <v>0.1</v>
      </c>
      <c r="H273" s="825">
        <v>0.1</v>
      </c>
      <c r="I273" s="825">
        <v>0.1</v>
      </c>
      <c r="J273" s="825">
        <v>0.1</v>
      </c>
      <c r="K273" s="825">
        <v>0.1</v>
      </c>
      <c r="L273" s="825">
        <v>0.1</v>
      </c>
      <c r="M273" s="825">
        <v>0.1</v>
      </c>
      <c r="N273" s="825">
        <v>0.1</v>
      </c>
      <c r="O273" s="825">
        <v>0.1</v>
      </c>
      <c r="P273" s="825">
        <v>0.1</v>
      </c>
      <c r="Q273" s="825">
        <v>0.1</v>
      </c>
      <c r="T273" s="825">
        <v>0.1</v>
      </c>
      <c r="U273" s="825">
        <v>0.1</v>
      </c>
      <c r="V273" s="825">
        <v>0.1</v>
      </c>
      <c r="W273" s="825">
        <v>0.1</v>
      </c>
      <c r="X273" s="825">
        <v>0.1</v>
      </c>
      <c r="Y273" s="825">
        <v>0.1</v>
      </c>
    </row>
    <row r="274" spans="2:25" outlineLevel="1">
      <c r="B274" s="735"/>
      <c r="C274" s="740" t="s">
        <v>309</v>
      </c>
      <c r="D274" s="716">
        <f t="shared" si="39"/>
        <v>10</v>
      </c>
      <c r="E274" s="825">
        <f>+'[6]입력 시트(0124)'!E272</f>
        <v>0</v>
      </c>
      <c r="F274" s="825">
        <f>+'[6]입력 시트(0124)'!F272</f>
        <v>0</v>
      </c>
      <c r="G274" s="825">
        <f>+'[6]입력 시트(0124)'!G272</f>
        <v>0</v>
      </c>
      <c r="H274" s="825">
        <f>+'[6]입력 시트(0124)'!H272</f>
        <v>0</v>
      </c>
      <c r="I274" s="825">
        <f>+'[6]입력 시트(0124)'!I272</f>
        <v>0</v>
      </c>
      <c r="J274" s="825">
        <v>0</v>
      </c>
      <c r="K274" s="825">
        <v>0</v>
      </c>
      <c r="L274" s="825">
        <v>0</v>
      </c>
      <c r="M274" s="825">
        <v>0</v>
      </c>
      <c r="N274" s="825">
        <v>0</v>
      </c>
      <c r="O274" s="825">
        <v>0</v>
      </c>
      <c r="P274" s="825">
        <v>0</v>
      </c>
      <c r="Q274" s="825">
        <v>0</v>
      </c>
      <c r="T274" s="825" t="e">
        <f>+'[6]입력 시트(0124)'!T272</f>
        <v>#REF!</v>
      </c>
      <c r="U274" s="825" t="e">
        <f>+'[6]입력 시트(0124)'!U272</f>
        <v>#REF!</v>
      </c>
      <c r="V274" s="825" t="e">
        <f>+'[6]입력 시트(0124)'!V272</f>
        <v>#REF!</v>
      </c>
      <c r="W274" s="825" t="e">
        <f>+'[6]입력 시트(0124)'!W272</f>
        <v>#REF!</v>
      </c>
      <c r="X274" s="825" t="e">
        <f>+'[6]입력 시트(0124)'!X272</f>
        <v>#REF!</v>
      </c>
      <c r="Y274" s="825">
        <v>0</v>
      </c>
    </row>
    <row r="275" spans="2:25" outlineLevel="1">
      <c r="B275" s="735"/>
      <c r="C275" s="740" t="s">
        <v>309</v>
      </c>
      <c r="D275" s="716">
        <f t="shared" si="39"/>
        <v>11</v>
      </c>
      <c r="E275" s="825">
        <f>+'[6]입력 시트(0124)'!E273</f>
        <v>0</v>
      </c>
      <c r="F275" s="825">
        <f>+'[6]입력 시트(0124)'!F273</f>
        <v>0</v>
      </c>
      <c r="G275" s="825">
        <f>+'[6]입력 시트(0124)'!G273</f>
        <v>0</v>
      </c>
      <c r="H275" s="825">
        <f>+'[6]입력 시트(0124)'!H273</f>
        <v>0</v>
      </c>
      <c r="I275" s="825">
        <f>+'[6]입력 시트(0124)'!I273</f>
        <v>0</v>
      </c>
      <c r="J275" s="825">
        <v>0</v>
      </c>
      <c r="K275" s="825">
        <v>0</v>
      </c>
      <c r="L275" s="825">
        <v>0</v>
      </c>
      <c r="M275" s="825">
        <v>0</v>
      </c>
      <c r="N275" s="825">
        <v>0</v>
      </c>
      <c r="O275" s="825">
        <v>0</v>
      </c>
      <c r="P275" s="825">
        <v>0</v>
      </c>
      <c r="Q275" s="825">
        <v>0</v>
      </c>
      <c r="T275" s="825" t="e">
        <f>+'[6]입력 시트(0124)'!T273</f>
        <v>#REF!</v>
      </c>
      <c r="U275" s="825" t="e">
        <f>+'[6]입력 시트(0124)'!U273</f>
        <v>#REF!</v>
      </c>
      <c r="V275" s="825" t="e">
        <f>+'[6]입력 시트(0124)'!V273</f>
        <v>#REF!</v>
      </c>
      <c r="W275" s="825" t="e">
        <f>+'[6]입력 시트(0124)'!W273</f>
        <v>#REF!</v>
      </c>
      <c r="X275" s="825" t="e">
        <f>+'[6]입력 시트(0124)'!X273</f>
        <v>#REF!</v>
      </c>
      <c r="Y275" s="825">
        <v>0</v>
      </c>
    </row>
    <row r="276" spans="2:25" outlineLevel="1">
      <c r="B276" s="735"/>
      <c r="C276" s="740" t="s">
        <v>309</v>
      </c>
      <c r="D276" s="716">
        <f t="shared" si="39"/>
        <v>12</v>
      </c>
      <c r="E276" s="825">
        <f>+'[6]입력 시트(0124)'!E274</f>
        <v>0</v>
      </c>
      <c r="F276" s="825">
        <f>+'[6]입력 시트(0124)'!F274</f>
        <v>0</v>
      </c>
      <c r="G276" s="825">
        <f>+'[6]입력 시트(0124)'!G274</f>
        <v>0</v>
      </c>
      <c r="H276" s="825">
        <f>+'[6]입력 시트(0124)'!H274</f>
        <v>0</v>
      </c>
      <c r="I276" s="825">
        <f>+'[6]입력 시트(0124)'!I274</f>
        <v>0</v>
      </c>
      <c r="J276" s="825">
        <v>0</v>
      </c>
      <c r="K276" s="825">
        <v>0</v>
      </c>
      <c r="L276" s="825">
        <v>0</v>
      </c>
      <c r="M276" s="825">
        <v>0</v>
      </c>
      <c r="N276" s="825">
        <v>0</v>
      </c>
      <c r="O276" s="825">
        <v>0</v>
      </c>
      <c r="P276" s="825">
        <v>0</v>
      </c>
      <c r="Q276" s="825">
        <v>0</v>
      </c>
      <c r="T276" s="825" t="e">
        <f>+'[6]입력 시트(0124)'!T274</f>
        <v>#REF!</v>
      </c>
      <c r="U276" s="825" t="e">
        <f>+'[6]입력 시트(0124)'!U274</f>
        <v>#REF!</v>
      </c>
      <c r="V276" s="825" t="e">
        <f>+'[6]입력 시트(0124)'!V274</f>
        <v>#REF!</v>
      </c>
      <c r="W276" s="825" t="e">
        <f>+'[6]입력 시트(0124)'!W274</f>
        <v>#REF!</v>
      </c>
      <c r="X276" s="825" t="e">
        <f>+'[6]입력 시트(0124)'!X274</f>
        <v>#REF!</v>
      </c>
      <c r="Y276" s="825">
        <v>0</v>
      </c>
    </row>
    <row r="277" spans="2:25" outlineLevel="1">
      <c r="B277" s="735"/>
      <c r="C277" s="740" t="s">
        <v>309</v>
      </c>
      <c r="D277" s="716">
        <f t="shared" si="39"/>
        <v>13</v>
      </c>
      <c r="E277" s="825">
        <f>+'[6]입력 시트(0124)'!E275</f>
        <v>0</v>
      </c>
      <c r="F277" s="825">
        <f>+'[6]입력 시트(0124)'!F275</f>
        <v>0</v>
      </c>
      <c r="G277" s="825">
        <f>+'[6]입력 시트(0124)'!G275</f>
        <v>0</v>
      </c>
      <c r="H277" s="825">
        <f>+'[6]입력 시트(0124)'!H275</f>
        <v>0</v>
      </c>
      <c r="I277" s="825">
        <f>+'[6]입력 시트(0124)'!I275</f>
        <v>0</v>
      </c>
      <c r="J277" s="825">
        <v>0</v>
      </c>
      <c r="K277" s="825">
        <v>0</v>
      </c>
      <c r="L277" s="825">
        <v>0</v>
      </c>
      <c r="M277" s="825">
        <v>0</v>
      </c>
      <c r="N277" s="825">
        <v>0</v>
      </c>
      <c r="O277" s="825">
        <v>0</v>
      </c>
      <c r="P277" s="825">
        <v>0</v>
      </c>
      <c r="Q277" s="825">
        <v>0</v>
      </c>
      <c r="T277" s="825" t="e">
        <f>+'[6]입력 시트(0124)'!T275</f>
        <v>#REF!</v>
      </c>
      <c r="U277" s="825" t="e">
        <f>+'[6]입력 시트(0124)'!U275</f>
        <v>#REF!</v>
      </c>
      <c r="V277" s="825" t="e">
        <f>+'[6]입력 시트(0124)'!V275</f>
        <v>#REF!</v>
      </c>
      <c r="W277" s="825" t="e">
        <f>+'[6]입력 시트(0124)'!W275</f>
        <v>#REF!</v>
      </c>
      <c r="X277" s="825" t="e">
        <f>+'[6]입력 시트(0124)'!X275</f>
        <v>#REF!</v>
      </c>
      <c r="Y277" s="825">
        <v>0</v>
      </c>
    </row>
    <row r="278" spans="2:25" outlineLevel="1">
      <c r="B278" s="735"/>
      <c r="C278" s="740" t="s">
        <v>309</v>
      </c>
      <c r="D278" s="716">
        <f t="shared" si="39"/>
        <v>14</v>
      </c>
      <c r="E278" s="825">
        <f>+'[6]입력 시트(0124)'!E276</f>
        <v>0</v>
      </c>
      <c r="F278" s="825">
        <f>+'[6]입력 시트(0124)'!F276</f>
        <v>0</v>
      </c>
      <c r="G278" s="825">
        <f>+'[6]입력 시트(0124)'!G276</f>
        <v>0</v>
      </c>
      <c r="H278" s="825">
        <f>+'[6]입력 시트(0124)'!H276</f>
        <v>0</v>
      </c>
      <c r="I278" s="825">
        <f>+'[6]입력 시트(0124)'!I276</f>
        <v>0</v>
      </c>
      <c r="J278" s="825">
        <v>0</v>
      </c>
      <c r="K278" s="825">
        <v>0</v>
      </c>
      <c r="L278" s="825">
        <v>0</v>
      </c>
      <c r="M278" s="825">
        <v>0</v>
      </c>
      <c r="N278" s="825">
        <v>0</v>
      </c>
      <c r="O278" s="825">
        <v>0</v>
      </c>
      <c r="P278" s="825">
        <v>0</v>
      </c>
      <c r="Q278" s="825">
        <v>0</v>
      </c>
      <c r="T278" s="825" t="e">
        <f>+'[6]입력 시트(0124)'!T276</f>
        <v>#REF!</v>
      </c>
      <c r="U278" s="825" t="e">
        <f>+'[6]입력 시트(0124)'!U276</f>
        <v>#REF!</v>
      </c>
      <c r="V278" s="825" t="e">
        <f>+'[6]입력 시트(0124)'!V276</f>
        <v>#REF!</v>
      </c>
      <c r="W278" s="825" t="e">
        <f>+'[6]입력 시트(0124)'!W276</f>
        <v>#REF!</v>
      </c>
      <c r="X278" s="825" t="e">
        <f>+'[6]입력 시트(0124)'!X276</f>
        <v>#REF!</v>
      </c>
      <c r="Y278" s="825">
        <v>0</v>
      </c>
    </row>
    <row r="279" spans="2:25" outlineLevel="1">
      <c r="B279" s="735"/>
      <c r="C279" s="740" t="s">
        <v>309</v>
      </c>
      <c r="D279" s="716">
        <f t="shared" si="39"/>
        <v>15</v>
      </c>
      <c r="E279" s="825">
        <f>+'[6]입력 시트(0124)'!E277</f>
        <v>0</v>
      </c>
      <c r="F279" s="825">
        <f>+'[6]입력 시트(0124)'!F277</f>
        <v>0</v>
      </c>
      <c r="G279" s="825">
        <f>+'[6]입력 시트(0124)'!G277</f>
        <v>0</v>
      </c>
      <c r="H279" s="825">
        <f>+'[6]입력 시트(0124)'!H277</f>
        <v>0</v>
      </c>
      <c r="I279" s="825">
        <f>+'[6]입력 시트(0124)'!I277</f>
        <v>0</v>
      </c>
      <c r="J279" s="825">
        <v>0</v>
      </c>
      <c r="K279" s="825">
        <v>0</v>
      </c>
      <c r="L279" s="825">
        <v>0</v>
      </c>
      <c r="M279" s="825">
        <v>0</v>
      </c>
      <c r="N279" s="825">
        <v>0</v>
      </c>
      <c r="O279" s="825">
        <v>0</v>
      </c>
      <c r="P279" s="825">
        <v>0</v>
      </c>
      <c r="Q279" s="825">
        <v>0</v>
      </c>
      <c r="T279" s="825" t="e">
        <f>+'[6]입력 시트(0124)'!T277</f>
        <v>#REF!</v>
      </c>
      <c r="U279" s="825" t="e">
        <f>+'[6]입력 시트(0124)'!U277</f>
        <v>#REF!</v>
      </c>
      <c r="V279" s="825" t="e">
        <f>+'[6]입력 시트(0124)'!V277</f>
        <v>#REF!</v>
      </c>
      <c r="W279" s="825" t="e">
        <f>+'[6]입력 시트(0124)'!W277</f>
        <v>#REF!</v>
      </c>
      <c r="X279" s="825" t="e">
        <f>+'[6]입력 시트(0124)'!X277</f>
        <v>#REF!</v>
      </c>
      <c r="Y279" s="825">
        <v>0</v>
      </c>
    </row>
    <row r="280" spans="2:25" outlineLevel="1">
      <c r="B280" s="735"/>
      <c r="C280" s="740" t="s">
        <v>309</v>
      </c>
      <c r="D280" s="716">
        <f t="shared" si="39"/>
        <v>16</v>
      </c>
      <c r="E280" s="825">
        <f>+'[6]입력 시트(0124)'!E278</f>
        <v>0</v>
      </c>
      <c r="F280" s="825">
        <f>+'[6]입력 시트(0124)'!F278</f>
        <v>0</v>
      </c>
      <c r="G280" s="825">
        <f>+'[6]입력 시트(0124)'!G278</f>
        <v>0</v>
      </c>
      <c r="H280" s="825">
        <f>+'[6]입력 시트(0124)'!H278</f>
        <v>0</v>
      </c>
      <c r="I280" s="825">
        <f>+'[6]입력 시트(0124)'!I278</f>
        <v>0</v>
      </c>
      <c r="J280" s="825">
        <v>0</v>
      </c>
      <c r="K280" s="825">
        <v>0</v>
      </c>
      <c r="L280" s="825">
        <v>0</v>
      </c>
      <c r="M280" s="825">
        <v>0</v>
      </c>
      <c r="N280" s="825">
        <v>0</v>
      </c>
      <c r="O280" s="825">
        <v>0</v>
      </c>
      <c r="P280" s="825">
        <v>0</v>
      </c>
      <c r="Q280" s="825">
        <v>0</v>
      </c>
      <c r="T280" s="825" t="e">
        <f>+'[6]입력 시트(0124)'!T278</f>
        <v>#REF!</v>
      </c>
      <c r="U280" s="825" t="e">
        <f>+'[6]입력 시트(0124)'!U278</f>
        <v>#REF!</v>
      </c>
      <c r="V280" s="825" t="e">
        <f>+'[6]입력 시트(0124)'!V278</f>
        <v>#REF!</v>
      </c>
      <c r="W280" s="825" t="e">
        <f>+'[6]입력 시트(0124)'!W278</f>
        <v>#REF!</v>
      </c>
      <c r="X280" s="825" t="e">
        <f>+'[6]입력 시트(0124)'!X278</f>
        <v>#REF!</v>
      </c>
      <c r="Y280" s="825">
        <v>0</v>
      </c>
    </row>
    <row r="281" spans="2:25" outlineLevel="1">
      <c r="B281" s="735"/>
      <c r="C281" s="740" t="s">
        <v>309</v>
      </c>
      <c r="D281" s="716">
        <f t="shared" si="39"/>
        <v>17</v>
      </c>
      <c r="E281" s="825">
        <f>+'[6]입력 시트(0124)'!E279</f>
        <v>0</v>
      </c>
      <c r="F281" s="825">
        <f>+'[6]입력 시트(0124)'!F279</f>
        <v>0</v>
      </c>
      <c r="G281" s="825">
        <f>+'[6]입력 시트(0124)'!G279</f>
        <v>0</v>
      </c>
      <c r="H281" s="825">
        <f>+'[6]입력 시트(0124)'!H279</f>
        <v>0</v>
      </c>
      <c r="I281" s="825">
        <f>+'[6]입력 시트(0124)'!I279</f>
        <v>0</v>
      </c>
      <c r="J281" s="825">
        <v>0</v>
      </c>
      <c r="K281" s="825">
        <v>0</v>
      </c>
      <c r="L281" s="825">
        <v>0</v>
      </c>
      <c r="M281" s="825">
        <v>0</v>
      </c>
      <c r="N281" s="825">
        <v>0</v>
      </c>
      <c r="O281" s="825">
        <v>0</v>
      </c>
      <c r="P281" s="825">
        <v>0</v>
      </c>
      <c r="Q281" s="825">
        <v>0</v>
      </c>
      <c r="T281" s="825" t="e">
        <f>+'[6]입력 시트(0124)'!T279</f>
        <v>#REF!</v>
      </c>
      <c r="U281" s="825" t="e">
        <f>+'[6]입력 시트(0124)'!U279</f>
        <v>#REF!</v>
      </c>
      <c r="V281" s="825" t="e">
        <f>+'[6]입력 시트(0124)'!V279</f>
        <v>#REF!</v>
      </c>
      <c r="W281" s="825" t="e">
        <f>+'[6]입력 시트(0124)'!W279</f>
        <v>#REF!</v>
      </c>
      <c r="X281" s="825" t="e">
        <f>+'[6]입력 시트(0124)'!X279</f>
        <v>#REF!</v>
      </c>
      <c r="Y281" s="825">
        <v>0</v>
      </c>
    </row>
    <row r="282" spans="2:25" outlineLevel="1">
      <c r="B282" s="735"/>
      <c r="C282" s="740" t="s">
        <v>309</v>
      </c>
      <c r="D282" s="716">
        <f t="shared" si="39"/>
        <v>18</v>
      </c>
      <c r="E282" s="825">
        <f>+'[6]입력 시트(0124)'!E280</f>
        <v>0</v>
      </c>
      <c r="F282" s="825">
        <f>+'[6]입력 시트(0124)'!F280</f>
        <v>0</v>
      </c>
      <c r="G282" s="825">
        <f>+'[6]입력 시트(0124)'!G280</f>
        <v>0</v>
      </c>
      <c r="H282" s="825">
        <f>+'[6]입력 시트(0124)'!H280</f>
        <v>0</v>
      </c>
      <c r="I282" s="825">
        <f>+'[6]입력 시트(0124)'!I280</f>
        <v>0</v>
      </c>
      <c r="J282" s="825">
        <v>0</v>
      </c>
      <c r="K282" s="825">
        <v>0</v>
      </c>
      <c r="L282" s="825">
        <v>0</v>
      </c>
      <c r="M282" s="825">
        <v>0</v>
      </c>
      <c r="N282" s="825">
        <v>0</v>
      </c>
      <c r="O282" s="825">
        <v>0</v>
      </c>
      <c r="P282" s="825">
        <v>0</v>
      </c>
      <c r="Q282" s="825">
        <v>0</v>
      </c>
      <c r="T282" s="825" t="e">
        <f>+'[6]입력 시트(0124)'!T280</f>
        <v>#REF!</v>
      </c>
      <c r="U282" s="825" t="e">
        <f>+'[6]입력 시트(0124)'!U280</f>
        <v>#REF!</v>
      </c>
      <c r="V282" s="825" t="e">
        <f>+'[6]입력 시트(0124)'!V280</f>
        <v>#REF!</v>
      </c>
      <c r="W282" s="825" t="e">
        <f>+'[6]입력 시트(0124)'!W280</f>
        <v>#REF!</v>
      </c>
      <c r="X282" s="825" t="e">
        <f>+'[6]입력 시트(0124)'!X280</f>
        <v>#REF!</v>
      </c>
      <c r="Y282" s="825">
        <v>0</v>
      </c>
    </row>
    <row r="283" spans="2:25" outlineLevel="1">
      <c r="B283" s="735"/>
      <c r="C283" s="740" t="s">
        <v>309</v>
      </c>
      <c r="D283" s="716">
        <f t="shared" si="39"/>
        <v>19</v>
      </c>
      <c r="E283" s="825">
        <f>+'[6]입력 시트(0124)'!E281</f>
        <v>0</v>
      </c>
      <c r="F283" s="825">
        <f>+'[6]입력 시트(0124)'!F281</f>
        <v>0</v>
      </c>
      <c r="G283" s="825">
        <f>+'[6]입력 시트(0124)'!G281</f>
        <v>0</v>
      </c>
      <c r="H283" s="825">
        <f>+'[6]입력 시트(0124)'!H281</f>
        <v>0</v>
      </c>
      <c r="I283" s="825">
        <f>+'[6]입력 시트(0124)'!I281</f>
        <v>0</v>
      </c>
      <c r="J283" s="825">
        <v>0</v>
      </c>
      <c r="K283" s="825">
        <v>0</v>
      </c>
      <c r="L283" s="825">
        <v>0</v>
      </c>
      <c r="M283" s="825">
        <v>0</v>
      </c>
      <c r="N283" s="825">
        <v>0</v>
      </c>
      <c r="O283" s="825">
        <v>0</v>
      </c>
      <c r="P283" s="825">
        <v>0</v>
      </c>
      <c r="Q283" s="825">
        <v>0</v>
      </c>
      <c r="T283" s="825" t="e">
        <f>+'[6]입력 시트(0124)'!T281</f>
        <v>#REF!</v>
      </c>
      <c r="U283" s="825" t="e">
        <f>+'[6]입력 시트(0124)'!U281</f>
        <v>#REF!</v>
      </c>
      <c r="V283" s="825" t="e">
        <f>+'[6]입력 시트(0124)'!V281</f>
        <v>#REF!</v>
      </c>
      <c r="W283" s="825" t="e">
        <f>+'[6]입력 시트(0124)'!W281</f>
        <v>#REF!</v>
      </c>
      <c r="X283" s="825" t="e">
        <f>+'[6]입력 시트(0124)'!X281</f>
        <v>#REF!</v>
      </c>
      <c r="Y283" s="825">
        <v>0</v>
      </c>
    </row>
    <row r="284" spans="2:25" outlineLevel="1">
      <c r="B284" s="735"/>
      <c r="C284" s="740" t="s">
        <v>309</v>
      </c>
      <c r="D284" s="716">
        <f t="shared" si="39"/>
        <v>20</v>
      </c>
      <c r="E284" s="825">
        <f>+'[6]입력 시트(0124)'!E282</f>
        <v>0</v>
      </c>
      <c r="F284" s="825">
        <f>+'[6]입력 시트(0124)'!F282</f>
        <v>0</v>
      </c>
      <c r="G284" s="825">
        <f>+'[6]입력 시트(0124)'!G282</f>
        <v>0</v>
      </c>
      <c r="H284" s="825">
        <f>+'[6]입력 시트(0124)'!H282</f>
        <v>0</v>
      </c>
      <c r="I284" s="825">
        <f>+'[6]입력 시트(0124)'!I282</f>
        <v>0</v>
      </c>
      <c r="J284" s="825">
        <v>0</v>
      </c>
      <c r="K284" s="825">
        <v>0</v>
      </c>
      <c r="L284" s="825">
        <v>0</v>
      </c>
      <c r="M284" s="825">
        <v>0</v>
      </c>
      <c r="N284" s="825">
        <v>0</v>
      </c>
      <c r="O284" s="825">
        <v>0</v>
      </c>
      <c r="P284" s="825">
        <v>0</v>
      </c>
      <c r="Q284" s="825">
        <v>0</v>
      </c>
      <c r="T284" s="825" t="e">
        <f>+'[6]입력 시트(0124)'!T282</f>
        <v>#REF!</v>
      </c>
      <c r="U284" s="825" t="e">
        <f>+'[6]입력 시트(0124)'!U282</f>
        <v>#REF!</v>
      </c>
      <c r="V284" s="825" t="e">
        <f>+'[6]입력 시트(0124)'!V282</f>
        <v>#REF!</v>
      </c>
      <c r="W284" s="825" t="e">
        <f>+'[6]입력 시트(0124)'!W282</f>
        <v>#REF!</v>
      </c>
      <c r="X284" s="825" t="e">
        <f>+'[6]입력 시트(0124)'!X282</f>
        <v>#REF!</v>
      </c>
      <c r="Y284" s="825">
        <v>0</v>
      </c>
    </row>
    <row r="285" spans="2:25" outlineLevel="1">
      <c r="B285" s="735"/>
      <c r="C285" s="740" t="s">
        <v>309</v>
      </c>
      <c r="D285" s="716">
        <f t="shared" si="39"/>
        <v>21</v>
      </c>
      <c r="E285" s="825">
        <f>+'[6]입력 시트(0124)'!E283</f>
        <v>0</v>
      </c>
      <c r="F285" s="825">
        <f>+'[6]입력 시트(0124)'!F283</f>
        <v>0</v>
      </c>
      <c r="G285" s="825">
        <f>+'[6]입력 시트(0124)'!G283</f>
        <v>0</v>
      </c>
      <c r="H285" s="825">
        <f>+'[6]입력 시트(0124)'!H283</f>
        <v>0</v>
      </c>
      <c r="I285" s="825">
        <f>+'[6]입력 시트(0124)'!I283</f>
        <v>0</v>
      </c>
      <c r="J285" s="825">
        <v>0</v>
      </c>
      <c r="K285" s="825">
        <v>0</v>
      </c>
      <c r="L285" s="825">
        <v>0</v>
      </c>
      <c r="M285" s="825">
        <v>0</v>
      </c>
      <c r="N285" s="825">
        <v>0</v>
      </c>
      <c r="O285" s="825">
        <v>0</v>
      </c>
      <c r="P285" s="825">
        <v>0</v>
      </c>
      <c r="Q285" s="825">
        <v>0</v>
      </c>
      <c r="T285" s="825" t="e">
        <f>+'[6]입력 시트(0124)'!T283</f>
        <v>#REF!</v>
      </c>
      <c r="U285" s="825" t="e">
        <f>+'[6]입력 시트(0124)'!U283</f>
        <v>#REF!</v>
      </c>
      <c r="V285" s="825" t="e">
        <f>+'[6]입력 시트(0124)'!V283</f>
        <v>#REF!</v>
      </c>
      <c r="W285" s="825" t="e">
        <f>+'[6]입력 시트(0124)'!W283</f>
        <v>#REF!</v>
      </c>
      <c r="X285" s="825" t="e">
        <f>+'[6]입력 시트(0124)'!X283</f>
        <v>#REF!</v>
      </c>
      <c r="Y285" s="825">
        <v>0</v>
      </c>
    </row>
    <row r="286" spans="2:25" outlineLevel="1">
      <c r="B286" s="735"/>
      <c r="C286" s="740" t="s">
        <v>309</v>
      </c>
      <c r="D286" s="716">
        <f t="shared" si="39"/>
        <v>22</v>
      </c>
      <c r="E286" s="825">
        <f>+'[6]입력 시트(0124)'!E284</f>
        <v>0</v>
      </c>
      <c r="F286" s="825">
        <f>+'[6]입력 시트(0124)'!F284</f>
        <v>0</v>
      </c>
      <c r="G286" s="825">
        <f>+'[6]입력 시트(0124)'!G284</f>
        <v>0</v>
      </c>
      <c r="H286" s="825">
        <f>+'[6]입력 시트(0124)'!H284</f>
        <v>0</v>
      </c>
      <c r="I286" s="825">
        <f>+'[6]입력 시트(0124)'!I284</f>
        <v>0</v>
      </c>
      <c r="J286" s="825">
        <v>0</v>
      </c>
      <c r="K286" s="825">
        <v>0</v>
      </c>
      <c r="L286" s="825">
        <v>0</v>
      </c>
      <c r="M286" s="825">
        <v>0</v>
      </c>
      <c r="N286" s="825">
        <v>0</v>
      </c>
      <c r="O286" s="825">
        <v>0</v>
      </c>
      <c r="P286" s="825">
        <v>0</v>
      </c>
      <c r="Q286" s="825">
        <v>0</v>
      </c>
      <c r="T286" s="825" t="e">
        <f>+'[6]입력 시트(0124)'!T284</f>
        <v>#REF!</v>
      </c>
      <c r="U286" s="825" t="e">
        <f>+'[6]입력 시트(0124)'!U284</f>
        <v>#REF!</v>
      </c>
      <c r="V286" s="825" t="e">
        <f>+'[6]입력 시트(0124)'!V284</f>
        <v>#REF!</v>
      </c>
      <c r="W286" s="825" t="e">
        <f>+'[6]입력 시트(0124)'!W284</f>
        <v>#REF!</v>
      </c>
      <c r="X286" s="825" t="e">
        <f>+'[6]입력 시트(0124)'!X284</f>
        <v>#REF!</v>
      </c>
      <c r="Y286" s="825">
        <v>0</v>
      </c>
    </row>
    <row r="287" spans="2:25" outlineLevel="1">
      <c r="B287" s="735"/>
      <c r="C287" s="740" t="s">
        <v>309</v>
      </c>
      <c r="D287" s="716">
        <f t="shared" si="39"/>
        <v>23</v>
      </c>
      <c r="E287" s="825">
        <f>+'[6]입력 시트(0124)'!E285</f>
        <v>0</v>
      </c>
      <c r="F287" s="825">
        <f>+'[6]입력 시트(0124)'!F285</f>
        <v>0</v>
      </c>
      <c r="G287" s="825">
        <f>+'[6]입력 시트(0124)'!G285</f>
        <v>0</v>
      </c>
      <c r="H287" s="825">
        <f>+'[6]입력 시트(0124)'!H285</f>
        <v>0</v>
      </c>
      <c r="I287" s="825">
        <f>+'[6]입력 시트(0124)'!I285</f>
        <v>0</v>
      </c>
      <c r="J287" s="825">
        <v>0</v>
      </c>
      <c r="K287" s="825">
        <v>0</v>
      </c>
      <c r="L287" s="825">
        <v>0</v>
      </c>
      <c r="M287" s="825">
        <v>0</v>
      </c>
      <c r="N287" s="825">
        <v>0</v>
      </c>
      <c r="O287" s="825">
        <v>0</v>
      </c>
      <c r="P287" s="825">
        <v>0</v>
      </c>
      <c r="Q287" s="825">
        <v>0</v>
      </c>
      <c r="T287" s="825" t="e">
        <f>+'[6]입력 시트(0124)'!T285</f>
        <v>#REF!</v>
      </c>
      <c r="U287" s="825" t="e">
        <f>+'[6]입력 시트(0124)'!U285</f>
        <v>#REF!</v>
      </c>
      <c r="V287" s="825" t="e">
        <f>+'[6]입력 시트(0124)'!V285</f>
        <v>#REF!</v>
      </c>
      <c r="W287" s="825" t="e">
        <f>+'[6]입력 시트(0124)'!W285</f>
        <v>#REF!</v>
      </c>
      <c r="X287" s="825" t="e">
        <f>+'[6]입력 시트(0124)'!X285</f>
        <v>#REF!</v>
      </c>
      <c r="Y287" s="825">
        <v>0</v>
      </c>
    </row>
    <row r="288" spans="2:25" outlineLevel="1">
      <c r="B288" s="735"/>
      <c r="C288" s="740" t="s">
        <v>309</v>
      </c>
      <c r="D288" s="716">
        <f t="shared" si="39"/>
        <v>24</v>
      </c>
      <c r="E288" s="825">
        <f>+'[6]입력 시트(0124)'!E286</f>
        <v>0</v>
      </c>
      <c r="F288" s="825">
        <f>+'[6]입력 시트(0124)'!F286</f>
        <v>0</v>
      </c>
      <c r="G288" s="825">
        <f>+'[6]입력 시트(0124)'!G286</f>
        <v>0</v>
      </c>
      <c r="H288" s="825">
        <f>+'[6]입력 시트(0124)'!H286</f>
        <v>0</v>
      </c>
      <c r="I288" s="825">
        <f>+'[6]입력 시트(0124)'!I286</f>
        <v>0</v>
      </c>
      <c r="J288" s="825">
        <v>0</v>
      </c>
      <c r="K288" s="825">
        <v>0</v>
      </c>
      <c r="L288" s="825">
        <v>0</v>
      </c>
      <c r="M288" s="825">
        <v>0</v>
      </c>
      <c r="N288" s="825">
        <v>0</v>
      </c>
      <c r="O288" s="825">
        <v>0</v>
      </c>
      <c r="P288" s="825">
        <v>0</v>
      </c>
      <c r="Q288" s="825">
        <v>0</v>
      </c>
      <c r="T288" s="825" t="e">
        <f>+'[6]입력 시트(0124)'!T286</f>
        <v>#REF!</v>
      </c>
      <c r="U288" s="825" t="e">
        <f>+'[6]입력 시트(0124)'!U286</f>
        <v>#REF!</v>
      </c>
      <c r="V288" s="825" t="e">
        <f>+'[6]입력 시트(0124)'!V286</f>
        <v>#REF!</v>
      </c>
      <c r="W288" s="825" t="e">
        <f>+'[6]입력 시트(0124)'!W286</f>
        <v>#REF!</v>
      </c>
      <c r="X288" s="825" t="e">
        <f>+'[6]입력 시트(0124)'!X286</f>
        <v>#REF!</v>
      </c>
      <c r="Y288" s="825">
        <v>0</v>
      </c>
    </row>
    <row r="289" spans="2:25" ht="54" customHeight="1" outlineLevel="1">
      <c r="B289" s="735" t="s">
        <v>540</v>
      </c>
      <c r="C289" s="1369"/>
      <c r="D289" s="1370"/>
      <c r="E289" s="826"/>
      <c r="F289" s="826"/>
      <c r="G289" s="826"/>
      <c r="H289" s="826"/>
      <c r="I289" s="826"/>
      <c r="J289" s="826"/>
      <c r="K289" s="826"/>
      <c r="L289" s="826"/>
      <c r="M289" s="826"/>
      <c r="N289" s="826"/>
      <c r="O289" s="826"/>
      <c r="P289" s="826"/>
      <c r="Q289" s="826"/>
      <c r="T289" s="826"/>
      <c r="U289" s="826"/>
      <c r="V289" s="826"/>
      <c r="W289" s="826"/>
      <c r="X289" s="826"/>
      <c r="Y289" s="826"/>
    </row>
    <row r="290" spans="2:25" outlineLevel="1">
      <c r="B290" s="735"/>
      <c r="T290" s="777"/>
      <c r="U290" s="777"/>
      <c r="V290" s="777"/>
      <c r="W290" s="777"/>
      <c r="X290" s="777"/>
      <c r="Y290" s="777"/>
    </row>
    <row r="291" spans="2:25" ht="54.75" customHeight="1" outlineLevel="1">
      <c r="B291" s="735" t="s">
        <v>540</v>
      </c>
      <c r="C291" s="1371"/>
      <c r="D291" s="1372"/>
      <c r="E291" s="826"/>
      <c r="F291" s="826"/>
      <c r="G291" s="826"/>
      <c r="H291" s="826"/>
      <c r="I291" s="826"/>
      <c r="J291" s="826"/>
      <c r="K291" s="826"/>
      <c r="L291" s="826"/>
      <c r="M291" s="826"/>
      <c r="N291" s="826"/>
      <c r="O291" s="826"/>
      <c r="P291" s="826"/>
      <c r="Q291" s="826"/>
      <c r="T291" s="826"/>
      <c r="U291" s="826"/>
      <c r="V291" s="826"/>
      <c r="W291" s="826"/>
      <c r="X291" s="826"/>
      <c r="Y291" s="826"/>
    </row>
    <row r="292" spans="2:25" outlineLevel="1">
      <c r="E292" s="745"/>
      <c r="F292" s="745"/>
      <c r="G292" s="745"/>
      <c r="H292" s="745"/>
      <c r="I292" s="745"/>
      <c r="J292" s="745"/>
      <c r="K292" s="745"/>
      <c r="L292" s="745"/>
      <c r="M292" s="745"/>
      <c r="N292" s="745"/>
      <c r="O292" s="745"/>
      <c r="P292" s="745"/>
      <c r="Q292" s="745"/>
      <c r="T292" s="960"/>
      <c r="U292" s="960"/>
      <c r="V292" s="960"/>
      <c r="W292" s="960"/>
      <c r="X292" s="960"/>
      <c r="Y292" s="960"/>
    </row>
    <row r="293" spans="2:25" hidden="1" outlineLevel="1">
      <c r="B293" s="803" t="s">
        <v>576</v>
      </c>
      <c r="D293" s="749"/>
      <c r="E293" s="750"/>
      <c r="F293" s="750"/>
      <c r="G293" s="750"/>
      <c r="H293" s="750"/>
      <c r="I293" s="750"/>
      <c r="J293" s="750"/>
      <c r="K293" s="750"/>
      <c r="L293" s="750"/>
      <c r="M293" s="750"/>
      <c r="N293" s="750"/>
      <c r="O293" s="750"/>
      <c r="P293" s="750"/>
      <c r="Q293" s="750"/>
      <c r="T293" s="953"/>
      <c r="U293" s="953"/>
      <c r="V293" s="953"/>
      <c r="W293" s="953"/>
      <c r="X293" s="953"/>
      <c r="Y293" s="953"/>
    </row>
    <row r="294" spans="2:25" ht="16.5" hidden="1" customHeight="1" outlineLevel="1">
      <c r="B294" s="735" t="s">
        <v>487</v>
      </c>
      <c r="C294" s="760"/>
      <c r="D294" s="759"/>
      <c r="E294" s="801"/>
      <c r="F294" s="801"/>
      <c r="G294" s="801"/>
      <c r="H294" s="801"/>
      <c r="I294" s="801"/>
      <c r="J294" s="801"/>
      <c r="K294" s="801"/>
      <c r="L294" s="801"/>
      <c r="M294" s="801"/>
      <c r="N294" s="801"/>
      <c r="O294" s="801"/>
      <c r="P294" s="801"/>
      <c r="Q294" s="801"/>
      <c r="T294" s="801"/>
      <c r="U294" s="801"/>
      <c r="V294" s="801"/>
      <c r="W294" s="801"/>
      <c r="X294" s="801"/>
      <c r="Y294" s="801"/>
    </row>
    <row r="295" spans="2:25" hidden="1" outlineLevel="1">
      <c r="B295" s="735" t="s">
        <v>528</v>
      </c>
      <c r="D295" s="813" t="s">
        <v>571</v>
      </c>
      <c r="E295" s="821"/>
      <c r="F295" s="821"/>
      <c r="G295" s="821"/>
      <c r="H295" s="821"/>
      <c r="I295" s="821"/>
      <c r="J295" s="821"/>
      <c r="K295" s="821"/>
      <c r="L295" s="821"/>
      <c r="M295" s="821"/>
      <c r="N295" s="821"/>
      <c r="O295" s="821"/>
      <c r="P295" s="821"/>
      <c r="Q295" s="821"/>
      <c r="T295" s="821"/>
      <c r="U295" s="821"/>
      <c r="V295" s="821"/>
      <c r="W295" s="821"/>
      <c r="X295" s="821"/>
      <c r="Y295" s="821"/>
    </row>
    <row r="296" spans="2:25" ht="16.5" hidden="1" customHeight="1" outlineLevel="1">
      <c r="B296" s="735" t="s">
        <v>542</v>
      </c>
      <c r="D296" s="721" t="s">
        <v>533</v>
      </c>
      <c r="E296" s="822">
        <v>0</v>
      </c>
      <c r="F296" s="822">
        <v>0</v>
      </c>
      <c r="G296" s="822">
        <v>0</v>
      </c>
      <c r="H296" s="822">
        <v>0</v>
      </c>
      <c r="I296" s="822">
        <v>0</v>
      </c>
      <c r="J296" s="822">
        <v>0</v>
      </c>
      <c r="K296" s="822">
        <v>0</v>
      </c>
      <c r="L296" s="822">
        <v>0</v>
      </c>
      <c r="M296" s="822">
        <v>0</v>
      </c>
      <c r="N296" s="822">
        <v>0</v>
      </c>
      <c r="O296" s="822">
        <v>0</v>
      </c>
      <c r="P296" s="822">
        <v>0</v>
      </c>
      <c r="Q296" s="822">
        <v>0</v>
      </c>
      <c r="T296" s="822">
        <v>0</v>
      </c>
      <c r="U296" s="822">
        <v>0</v>
      </c>
      <c r="V296" s="822">
        <v>0</v>
      </c>
      <c r="W296" s="822">
        <v>0</v>
      </c>
      <c r="X296" s="822">
        <v>0</v>
      </c>
      <c r="Y296" s="822">
        <v>0</v>
      </c>
    </row>
    <row r="297" spans="2:25" ht="16.5" hidden="1" customHeight="1" outlineLevel="1">
      <c r="B297" s="735" t="s">
        <v>534</v>
      </c>
      <c r="D297" s="721" t="s">
        <v>301</v>
      </c>
      <c r="E297" s="823"/>
      <c r="F297" s="823"/>
      <c r="G297" s="823"/>
      <c r="H297" s="823"/>
      <c r="I297" s="823"/>
      <c r="J297" s="823"/>
      <c r="K297" s="823"/>
      <c r="L297" s="823"/>
      <c r="M297" s="823"/>
      <c r="N297" s="823"/>
      <c r="O297" s="823"/>
      <c r="P297" s="823"/>
      <c r="Q297" s="823"/>
      <c r="T297" s="823"/>
      <c r="U297" s="823"/>
      <c r="V297" s="823"/>
      <c r="W297" s="823"/>
      <c r="X297" s="823"/>
      <c r="Y297" s="823"/>
    </row>
    <row r="298" spans="2:25" ht="16.5" hidden="1" customHeight="1" outlineLevel="1">
      <c r="B298" s="735" t="s">
        <v>536</v>
      </c>
      <c r="D298" s="721" t="s">
        <v>309</v>
      </c>
      <c r="E298" s="824"/>
      <c r="F298" s="824"/>
      <c r="G298" s="824"/>
      <c r="H298" s="824"/>
      <c r="I298" s="824"/>
      <c r="J298" s="824"/>
      <c r="K298" s="824"/>
      <c r="L298" s="824"/>
      <c r="M298" s="824"/>
      <c r="N298" s="824"/>
      <c r="O298" s="824"/>
      <c r="P298" s="824"/>
      <c r="Q298" s="824"/>
      <c r="T298" s="824"/>
      <c r="U298" s="824"/>
      <c r="V298" s="824"/>
      <c r="W298" s="824"/>
      <c r="X298" s="824"/>
      <c r="Y298" s="824"/>
    </row>
    <row r="299" spans="2:25" hidden="1" outlineLevel="1">
      <c r="B299" s="735" t="s">
        <v>568</v>
      </c>
      <c r="C299" s="740" t="s">
        <v>569</v>
      </c>
      <c r="D299" s="716">
        <v>1</v>
      </c>
      <c r="E299" s="824">
        <v>0</v>
      </c>
      <c r="F299" s="824">
        <v>0</v>
      </c>
      <c r="G299" s="824">
        <v>0</v>
      </c>
      <c r="H299" s="824">
        <v>0</v>
      </c>
      <c r="I299" s="824">
        <v>0</v>
      </c>
      <c r="J299" s="824">
        <v>0</v>
      </c>
      <c r="K299" s="824">
        <v>0</v>
      </c>
      <c r="L299" s="824">
        <v>0</v>
      </c>
      <c r="M299" s="824">
        <v>0</v>
      </c>
      <c r="N299" s="824">
        <v>0</v>
      </c>
      <c r="O299" s="824">
        <v>0</v>
      </c>
      <c r="P299" s="824">
        <v>0</v>
      </c>
      <c r="Q299" s="824">
        <v>0</v>
      </c>
      <c r="T299" s="824">
        <v>0</v>
      </c>
      <c r="U299" s="824">
        <v>0</v>
      </c>
      <c r="V299" s="824">
        <v>0</v>
      </c>
      <c r="W299" s="824">
        <v>0</v>
      </c>
      <c r="X299" s="824">
        <v>0</v>
      </c>
      <c r="Y299" s="824">
        <v>0</v>
      </c>
    </row>
    <row r="300" spans="2:25" hidden="1" outlineLevel="1">
      <c r="B300" s="735"/>
      <c r="C300" s="740" t="s">
        <v>309</v>
      </c>
      <c r="D300" s="716">
        <f t="shared" ref="D300:D322" si="40">+D299+1</f>
        <v>2</v>
      </c>
      <c r="E300" s="824">
        <f>+'[6]입력 시트(0124)'!E307</f>
        <v>0</v>
      </c>
      <c r="F300" s="824">
        <f>+'[6]입력 시트(0124)'!F307</f>
        <v>0</v>
      </c>
      <c r="G300" s="824">
        <f>+'[6]입력 시트(0124)'!G307</f>
        <v>0</v>
      </c>
      <c r="H300" s="824">
        <f>+'[6]입력 시트(0124)'!H307</f>
        <v>0</v>
      </c>
      <c r="I300" s="824">
        <f>+'[6]입력 시트(0124)'!I307</f>
        <v>0</v>
      </c>
      <c r="J300" s="824">
        <v>0</v>
      </c>
      <c r="K300" s="824">
        <v>0</v>
      </c>
      <c r="L300" s="824">
        <v>0</v>
      </c>
      <c r="M300" s="824">
        <v>0</v>
      </c>
      <c r="N300" s="824">
        <v>0</v>
      </c>
      <c r="O300" s="824">
        <v>0</v>
      </c>
      <c r="P300" s="824">
        <v>0</v>
      </c>
      <c r="Q300" s="824">
        <v>0</v>
      </c>
      <c r="T300" s="824" t="e">
        <f>+'[6]입력 시트(0124)'!T307</f>
        <v>#REF!</v>
      </c>
      <c r="U300" s="824" t="e">
        <f>+'[6]입력 시트(0124)'!U307</f>
        <v>#REF!</v>
      </c>
      <c r="V300" s="824" t="e">
        <f>+'[6]입력 시트(0124)'!V307</f>
        <v>#REF!</v>
      </c>
      <c r="W300" s="824" t="e">
        <f>+'[6]입력 시트(0124)'!W307</f>
        <v>#REF!</v>
      </c>
      <c r="X300" s="824" t="e">
        <f>+'[6]입력 시트(0124)'!X307</f>
        <v>#REF!</v>
      </c>
      <c r="Y300" s="824">
        <v>0</v>
      </c>
    </row>
    <row r="301" spans="2:25" hidden="1" outlineLevel="1">
      <c r="B301" s="735"/>
      <c r="C301" s="740" t="s">
        <v>309</v>
      </c>
      <c r="D301" s="716">
        <f t="shared" si="40"/>
        <v>3</v>
      </c>
      <c r="E301" s="824">
        <f>+'[6]입력 시트(0124)'!E308</f>
        <v>0</v>
      </c>
      <c r="F301" s="824">
        <f>+'[6]입력 시트(0124)'!F308</f>
        <v>0</v>
      </c>
      <c r="G301" s="824">
        <f>+'[6]입력 시트(0124)'!G308</f>
        <v>0</v>
      </c>
      <c r="H301" s="824">
        <f>+'[6]입력 시트(0124)'!H308</f>
        <v>0</v>
      </c>
      <c r="I301" s="824">
        <f>+'[6]입력 시트(0124)'!I308</f>
        <v>0</v>
      </c>
      <c r="J301" s="824">
        <v>0</v>
      </c>
      <c r="K301" s="824">
        <v>0</v>
      </c>
      <c r="L301" s="824">
        <v>0</v>
      </c>
      <c r="M301" s="824">
        <v>0</v>
      </c>
      <c r="N301" s="824">
        <v>0</v>
      </c>
      <c r="O301" s="824">
        <v>0</v>
      </c>
      <c r="P301" s="824">
        <v>0</v>
      </c>
      <c r="Q301" s="824">
        <v>0</v>
      </c>
      <c r="T301" s="824" t="e">
        <f>+'[6]입력 시트(0124)'!T308</f>
        <v>#REF!</v>
      </c>
      <c r="U301" s="824" t="e">
        <f>+'[6]입력 시트(0124)'!U308</f>
        <v>#REF!</v>
      </c>
      <c r="V301" s="824" t="e">
        <f>+'[6]입력 시트(0124)'!V308</f>
        <v>#REF!</v>
      </c>
      <c r="W301" s="824" t="e">
        <f>+'[6]입력 시트(0124)'!W308</f>
        <v>#REF!</v>
      </c>
      <c r="X301" s="824" t="e">
        <f>+'[6]입력 시트(0124)'!X308</f>
        <v>#REF!</v>
      </c>
      <c r="Y301" s="824">
        <v>0</v>
      </c>
    </row>
    <row r="302" spans="2:25" hidden="1" outlineLevel="1">
      <c r="B302" s="735"/>
      <c r="C302" s="740" t="s">
        <v>309</v>
      </c>
      <c r="D302" s="716">
        <f t="shared" si="40"/>
        <v>4</v>
      </c>
      <c r="E302" s="824">
        <f>+'[6]입력 시트(0124)'!E309</f>
        <v>0</v>
      </c>
      <c r="F302" s="824">
        <f>+'[6]입력 시트(0124)'!F309</f>
        <v>0</v>
      </c>
      <c r="G302" s="824">
        <f>+'[6]입력 시트(0124)'!G309</f>
        <v>0</v>
      </c>
      <c r="H302" s="824">
        <f>+'[6]입력 시트(0124)'!H309</f>
        <v>0</v>
      </c>
      <c r="I302" s="824">
        <f>+'[6]입력 시트(0124)'!I309</f>
        <v>0</v>
      </c>
      <c r="J302" s="824">
        <v>0</v>
      </c>
      <c r="K302" s="824">
        <v>0</v>
      </c>
      <c r="L302" s="824">
        <v>0</v>
      </c>
      <c r="M302" s="824">
        <v>0</v>
      </c>
      <c r="N302" s="824">
        <v>0</v>
      </c>
      <c r="O302" s="824">
        <v>0</v>
      </c>
      <c r="P302" s="824">
        <v>0</v>
      </c>
      <c r="Q302" s="824">
        <v>0</v>
      </c>
      <c r="T302" s="824" t="e">
        <f>+'[6]입력 시트(0124)'!T309</f>
        <v>#REF!</v>
      </c>
      <c r="U302" s="824" t="e">
        <f>+'[6]입력 시트(0124)'!U309</f>
        <v>#REF!</v>
      </c>
      <c r="V302" s="824" t="e">
        <f>+'[6]입력 시트(0124)'!V309</f>
        <v>#REF!</v>
      </c>
      <c r="W302" s="824" t="e">
        <f>+'[6]입력 시트(0124)'!W309</f>
        <v>#REF!</v>
      </c>
      <c r="X302" s="824" t="e">
        <f>+'[6]입력 시트(0124)'!X309</f>
        <v>#REF!</v>
      </c>
      <c r="Y302" s="824">
        <v>0</v>
      </c>
    </row>
    <row r="303" spans="2:25" hidden="1" outlineLevel="1">
      <c r="B303" s="735"/>
      <c r="C303" s="740" t="s">
        <v>309</v>
      </c>
      <c r="D303" s="716">
        <f t="shared" si="40"/>
        <v>5</v>
      </c>
      <c r="E303" s="824">
        <f>+'[6]입력 시트(0124)'!E310</f>
        <v>0</v>
      </c>
      <c r="F303" s="824">
        <f>+'[6]입력 시트(0124)'!F310</f>
        <v>0</v>
      </c>
      <c r="G303" s="824">
        <f>+'[6]입력 시트(0124)'!G310</f>
        <v>0</v>
      </c>
      <c r="H303" s="824">
        <f>+'[6]입력 시트(0124)'!H310</f>
        <v>0</v>
      </c>
      <c r="I303" s="824">
        <f>+'[6]입력 시트(0124)'!I310</f>
        <v>0</v>
      </c>
      <c r="J303" s="824">
        <v>0</v>
      </c>
      <c r="K303" s="824">
        <v>0</v>
      </c>
      <c r="L303" s="824">
        <v>0</v>
      </c>
      <c r="M303" s="824">
        <v>0</v>
      </c>
      <c r="N303" s="824">
        <v>0</v>
      </c>
      <c r="O303" s="824">
        <v>0</v>
      </c>
      <c r="P303" s="824">
        <v>0</v>
      </c>
      <c r="Q303" s="824">
        <v>0</v>
      </c>
      <c r="T303" s="824" t="e">
        <f>+'[6]입력 시트(0124)'!T310</f>
        <v>#REF!</v>
      </c>
      <c r="U303" s="824" t="e">
        <f>+'[6]입력 시트(0124)'!U310</f>
        <v>#REF!</v>
      </c>
      <c r="V303" s="824" t="e">
        <f>+'[6]입력 시트(0124)'!V310</f>
        <v>#REF!</v>
      </c>
      <c r="W303" s="824" t="e">
        <f>+'[6]입력 시트(0124)'!W310</f>
        <v>#REF!</v>
      </c>
      <c r="X303" s="824" t="e">
        <f>+'[6]입력 시트(0124)'!X310</f>
        <v>#REF!</v>
      </c>
      <c r="Y303" s="824">
        <v>0</v>
      </c>
    </row>
    <row r="304" spans="2:25" hidden="1" outlineLevel="1">
      <c r="B304" s="735"/>
      <c r="C304" s="740" t="s">
        <v>309</v>
      </c>
      <c r="D304" s="716">
        <f t="shared" si="40"/>
        <v>6</v>
      </c>
      <c r="E304" s="824">
        <f>+'[6]입력 시트(0124)'!E311</f>
        <v>0</v>
      </c>
      <c r="F304" s="824">
        <f>+'[6]입력 시트(0124)'!F311</f>
        <v>0</v>
      </c>
      <c r="G304" s="824">
        <f>+'[6]입력 시트(0124)'!G311</f>
        <v>0</v>
      </c>
      <c r="H304" s="824">
        <f>+'[6]입력 시트(0124)'!H311</f>
        <v>0</v>
      </c>
      <c r="I304" s="824">
        <f>+'[6]입력 시트(0124)'!I311</f>
        <v>0</v>
      </c>
      <c r="J304" s="824">
        <v>0</v>
      </c>
      <c r="K304" s="824">
        <v>0</v>
      </c>
      <c r="L304" s="824">
        <v>0</v>
      </c>
      <c r="M304" s="824">
        <v>0</v>
      </c>
      <c r="N304" s="824">
        <v>0</v>
      </c>
      <c r="O304" s="824">
        <v>0</v>
      </c>
      <c r="P304" s="824">
        <v>0</v>
      </c>
      <c r="Q304" s="824">
        <v>0</v>
      </c>
      <c r="T304" s="824" t="e">
        <f>+'[6]입력 시트(0124)'!T311</f>
        <v>#REF!</v>
      </c>
      <c r="U304" s="824" t="e">
        <f>+'[6]입력 시트(0124)'!U311</f>
        <v>#REF!</v>
      </c>
      <c r="V304" s="824" t="e">
        <f>+'[6]입력 시트(0124)'!V311</f>
        <v>#REF!</v>
      </c>
      <c r="W304" s="824" t="e">
        <f>+'[6]입력 시트(0124)'!W311</f>
        <v>#REF!</v>
      </c>
      <c r="X304" s="824" t="e">
        <f>+'[6]입력 시트(0124)'!X311</f>
        <v>#REF!</v>
      </c>
      <c r="Y304" s="824">
        <v>0</v>
      </c>
    </row>
    <row r="305" spans="2:25" hidden="1" outlineLevel="1">
      <c r="B305" s="735"/>
      <c r="C305" s="740" t="s">
        <v>309</v>
      </c>
      <c r="D305" s="716">
        <f t="shared" si="40"/>
        <v>7</v>
      </c>
      <c r="E305" s="824">
        <f>+'[6]입력 시트(0124)'!E312</f>
        <v>0</v>
      </c>
      <c r="F305" s="824">
        <f>+'[6]입력 시트(0124)'!F312</f>
        <v>0</v>
      </c>
      <c r="G305" s="824">
        <f>+'[6]입력 시트(0124)'!G312</f>
        <v>0</v>
      </c>
      <c r="H305" s="824">
        <f>+'[6]입력 시트(0124)'!H312</f>
        <v>0</v>
      </c>
      <c r="I305" s="824">
        <f>+'[6]입력 시트(0124)'!I312</f>
        <v>0</v>
      </c>
      <c r="J305" s="824">
        <v>0</v>
      </c>
      <c r="K305" s="824">
        <v>0</v>
      </c>
      <c r="L305" s="824">
        <v>0</v>
      </c>
      <c r="M305" s="824">
        <v>0</v>
      </c>
      <c r="N305" s="824">
        <v>0</v>
      </c>
      <c r="O305" s="824">
        <v>0</v>
      </c>
      <c r="P305" s="824">
        <v>0</v>
      </c>
      <c r="Q305" s="824">
        <v>0</v>
      </c>
      <c r="T305" s="824" t="e">
        <f>+'[6]입력 시트(0124)'!T312</f>
        <v>#REF!</v>
      </c>
      <c r="U305" s="824" t="e">
        <f>+'[6]입력 시트(0124)'!U312</f>
        <v>#REF!</v>
      </c>
      <c r="V305" s="824" t="e">
        <f>+'[6]입력 시트(0124)'!V312</f>
        <v>#REF!</v>
      </c>
      <c r="W305" s="824" t="e">
        <f>+'[6]입력 시트(0124)'!W312</f>
        <v>#REF!</v>
      </c>
      <c r="X305" s="824" t="e">
        <f>+'[6]입력 시트(0124)'!X312</f>
        <v>#REF!</v>
      </c>
      <c r="Y305" s="824">
        <v>0</v>
      </c>
    </row>
    <row r="306" spans="2:25" hidden="1" outlineLevel="1">
      <c r="B306" s="735"/>
      <c r="C306" s="740" t="s">
        <v>309</v>
      </c>
      <c r="D306" s="716">
        <f t="shared" si="40"/>
        <v>8</v>
      </c>
      <c r="E306" s="824">
        <f>+'[6]입력 시트(0124)'!E313</f>
        <v>0</v>
      </c>
      <c r="F306" s="824">
        <f>+'[6]입력 시트(0124)'!F313</f>
        <v>0</v>
      </c>
      <c r="G306" s="824">
        <f>+'[6]입력 시트(0124)'!G313</f>
        <v>0</v>
      </c>
      <c r="H306" s="824">
        <f>+'[6]입력 시트(0124)'!H313</f>
        <v>0</v>
      </c>
      <c r="I306" s="824">
        <f>+'[6]입력 시트(0124)'!I313</f>
        <v>0</v>
      </c>
      <c r="J306" s="824">
        <v>0</v>
      </c>
      <c r="K306" s="824">
        <v>0</v>
      </c>
      <c r="L306" s="824">
        <v>0</v>
      </c>
      <c r="M306" s="824">
        <v>0</v>
      </c>
      <c r="N306" s="824">
        <v>0</v>
      </c>
      <c r="O306" s="824">
        <v>0</v>
      </c>
      <c r="P306" s="824">
        <v>0</v>
      </c>
      <c r="Q306" s="824">
        <v>0</v>
      </c>
      <c r="T306" s="824" t="e">
        <f>+'[6]입력 시트(0124)'!T313</f>
        <v>#REF!</v>
      </c>
      <c r="U306" s="824" t="e">
        <f>+'[6]입력 시트(0124)'!U313</f>
        <v>#REF!</v>
      </c>
      <c r="V306" s="824" t="e">
        <f>+'[6]입력 시트(0124)'!V313</f>
        <v>#REF!</v>
      </c>
      <c r="W306" s="824" t="e">
        <f>+'[6]입력 시트(0124)'!W313</f>
        <v>#REF!</v>
      </c>
      <c r="X306" s="824" t="e">
        <f>+'[6]입력 시트(0124)'!X313</f>
        <v>#REF!</v>
      </c>
      <c r="Y306" s="824">
        <v>0</v>
      </c>
    </row>
    <row r="307" spans="2:25" hidden="1" outlineLevel="1">
      <c r="B307" s="735"/>
      <c r="C307" s="740" t="s">
        <v>309</v>
      </c>
      <c r="D307" s="716">
        <f t="shared" si="40"/>
        <v>9</v>
      </c>
      <c r="E307" s="824">
        <f>+'[6]입력 시트(0124)'!E314</f>
        <v>0</v>
      </c>
      <c r="F307" s="824">
        <f>+'[6]입력 시트(0124)'!F314</f>
        <v>0</v>
      </c>
      <c r="G307" s="824">
        <f>+'[6]입력 시트(0124)'!G314</f>
        <v>0</v>
      </c>
      <c r="H307" s="824">
        <f>+'[6]입력 시트(0124)'!H314</f>
        <v>0</v>
      </c>
      <c r="I307" s="824">
        <f>+'[6]입력 시트(0124)'!I314</f>
        <v>0</v>
      </c>
      <c r="J307" s="824">
        <v>0</v>
      </c>
      <c r="K307" s="824">
        <v>0</v>
      </c>
      <c r="L307" s="824">
        <v>0</v>
      </c>
      <c r="M307" s="824">
        <v>0</v>
      </c>
      <c r="N307" s="824">
        <v>0</v>
      </c>
      <c r="O307" s="824">
        <v>0</v>
      </c>
      <c r="P307" s="824">
        <v>0</v>
      </c>
      <c r="Q307" s="824">
        <v>0</v>
      </c>
      <c r="T307" s="824" t="e">
        <f>+'[6]입력 시트(0124)'!T314</f>
        <v>#REF!</v>
      </c>
      <c r="U307" s="824" t="e">
        <f>+'[6]입력 시트(0124)'!U314</f>
        <v>#REF!</v>
      </c>
      <c r="V307" s="824" t="e">
        <f>+'[6]입력 시트(0124)'!V314</f>
        <v>#REF!</v>
      </c>
      <c r="W307" s="824" t="e">
        <f>+'[6]입력 시트(0124)'!W314</f>
        <v>#REF!</v>
      </c>
      <c r="X307" s="824" t="e">
        <f>+'[6]입력 시트(0124)'!X314</f>
        <v>#REF!</v>
      </c>
      <c r="Y307" s="824">
        <v>0</v>
      </c>
    </row>
    <row r="308" spans="2:25" hidden="1" outlineLevel="1">
      <c r="B308" s="735"/>
      <c r="C308" s="740" t="s">
        <v>309</v>
      </c>
      <c r="D308" s="716">
        <f t="shared" si="40"/>
        <v>10</v>
      </c>
      <c r="E308" s="824">
        <f>+'[6]입력 시트(0124)'!E315</f>
        <v>0</v>
      </c>
      <c r="F308" s="824">
        <f>+'[6]입력 시트(0124)'!F315</f>
        <v>0</v>
      </c>
      <c r="G308" s="824">
        <f>+'[6]입력 시트(0124)'!G315</f>
        <v>0</v>
      </c>
      <c r="H308" s="824">
        <f>+'[6]입력 시트(0124)'!H315</f>
        <v>0</v>
      </c>
      <c r="I308" s="824">
        <f>+'[6]입력 시트(0124)'!I315</f>
        <v>0</v>
      </c>
      <c r="J308" s="824">
        <v>0</v>
      </c>
      <c r="K308" s="824">
        <v>0</v>
      </c>
      <c r="L308" s="824">
        <v>0</v>
      </c>
      <c r="M308" s="824">
        <v>0</v>
      </c>
      <c r="N308" s="824">
        <v>0</v>
      </c>
      <c r="O308" s="824">
        <v>0</v>
      </c>
      <c r="P308" s="824">
        <v>0</v>
      </c>
      <c r="Q308" s="824">
        <v>0</v>
      </c>
      <c r="T308" s="824" t="e">
        <f>+'[6]입력 시트(0124)'!T315</f>
        <v>#REF!</v>
      </c>
      <c r="U308" s="824" t="e">
        <f>+'[6]입력 시트(0124)'!U315</f>
        <v>#REF!</v>
      </c>
      <c r="V308" s="824" t="e">
        <f>+'[6]입력 시트(0124)'!V315</f>
        <v>#REF!</v>
      </c>
      <c r="W308" s="824" t="e">
        <f>+'[6]입력 시트(0124)'!W315</f>
        <v>#REF!</v>
      </c>
      <c r="X308" s="824" t="e">
        <f>+'[6]입력 시트(0124)'!X315</f>
        <v>#REF!</v>
      </c>
      <c r="Y308" s="824">
        <v>0</v>
      </c>
    </row>
    <row r="309" spans="2:25" hidden="1" outlineLevel="1">
      <c r="B309" s="735"/>
      <c r="C309" s="740" t="s">
        <v>309</v>
      </c>
      <c r="D309" s="716">
        <f t="shared" si="40"/>
        <v>11</v>
      </c>
      <c r="E309" s="824">
        <f>+'[6]입력 시트(0124)'!E316</f>
        <v>0</v>
      </c>
      <c r="F309" s="824">
        <f>+'[6]입력 시트(0124)'!F316</f>
        <v>0</v>
      </c>
      <c r="G309" s="824">
        <f>+'[6]입력 시트(0124)'!G316</f>
        <v>0</v>
      </c>
      <c r="H309" s="824">
        <f>+'[6]입력 시트(0124)'!H316</f>
        <v>0</v>
      </c>
      <c r="I309" s="824">
        <f>+'[6]입력 시트(0124)'!I316</f>
        <v>0</v>
      </c>
      <c r="J309" s="824">
        <v>0</v>
      </c>
      <c r="K309" s="824">
        <v>0</v>
      </c>
      <c r="L309" s="824">
        <v>0</v>
      </c>
      <c r="M309" s="824">
        <v>0</v>
      </c>
      <c r="N309" s="824">
        <v>0</v>
      </c>
      <c r="O309" s="824">
        <v>0</v>
      </c>
      <c r="P309" s="824">
        <v>0</v>
      </c>
      <c r="Q309" s="824">
        <v>0</v>
      </c>
      <c r="T309" s="824" t="e">
        <f>+'[6]입력 시트(0124)'!T316</f>
        <v>#REF!</v>
      </c>
      <c r="U309" s="824" t="e">
        <f>+'[6]입력 시트(0124)'!U316</f>
        <v>#REF!</v>
      </c>
      <c r="V309" s="824" t="e">
        <f>+'[6]입력 시트(0124)'!V316</f>
        <v>#REF!</v>
      </c>
      <c r="W309" s="824" t="e">
        <f>+'[6]입력 시트(0124)'!W316</f>
        <v>#REF!</v>
      </c>
      <c r="X309" s="824" t="e">
        <f>+'[6]입력 시트(0124)'!X316</f>
        <v>#REF!</v>
      </c>
      <c r="Y309" s="824">
        <v>0</v>
      </c>
    </row>
    <row r="310" spans="2:25" hidden="1" outlineLevel="1">
      <c r="B310" s="735"/>
      <c r="C310" s="740" t="s">
        <v>309</v>
      </c>
      <c r="D310" s="716">
        <f t="shared" si="40"/>
        <v>12</v>
      </c>
      <c r="E310" s="824">
        <f>+'[6]입력 시트(0124)'!E317</f>
        <v>0</v>
      </c>
      <c r="F310" s="824">
        <f>+'[6]입력 시트(0124)'!F317</f>
        <v>0</v>
      </c>
      <c r="G310" s="824">
        <f>+'[6]입력 시트(0124)'!G317</f>
        <v>0</v>
      </c>
      <c r="H310" s="824">
        <f>+'[6]입력 시트(0124)'!H317</f>
        <v>0</v>
      </c>
      <c r="I310" s="824">
        <f>+'[6]입력 시트(0124)'!I317</f>
        <v>0</v>
      </c>
      <c r="J310" s="824">
        <v>0</v>
      </c>
      <c r="K310" s="824">
        <v>0</v>
      </c>
      <c r="L310" s="824">
        <v>0</v>
      </c>
      <c r="M310" s="824">
        <v>0</v>
      </c>
      <c r="N310" s="824">
        <v>0</v>
      </c>
      <c r="O310" s="824">
        <v>0</v>
      </c>
      <c r="P310" s="824">
        <v>0</v>
      </c>
      <c r="Q310" s="824">
        <v>0</v>
      </c>
      <c r="T310" s="824" t="e">
        <f>+'[6]입력 시트(0124)'!T317</f>
        <v>#REF!</v>
      </c>
      <c r="U310" s="824" t="e">
        <f>+'[6]입력 시트(0124)'!U317</f>
        <v>#REF!</v>
      </c>
      <c r="V310" s="824" t="e">
        <f>+'[6]입력 시트(0124)'!V317</f>
        <v>#REF!</v>
      </c>
      <c r="W310" s="824" t="e">
        <f>+'[6]입력 시트(0124)'!W317</f>
        <v>#REF!</v>
      </c>
      <c r="X310" s="824" t="e">
        <f>+'[6]입력 시트(0124)'!X317</f>
        <v>#REF!</v>
      </c>
      <c r="Y310" s="824">
        <v>0</v>
      </c>
    </row>
    <row r="311" spans="2:25" hidden="1" outlineLevel="1">
      <c r="B311" s="735"/>
      <c r="C311" s="740" t="s">
        <v>309</v>
      </c>
      <c r="D311" s="716">
        <f t="shared" si="40"/>
        <v>13</v>
      </c>
      <c r="E311" s="824">
        <f>+'[6]입력 시트(0124)'!E318</f>
        <v>0</v>
      </c>
      <c r="F311" s="824">
        <f>+'[6]입력 시트(0124)'!F318</f>
        <v>0</v>
      </c>
      <c r="G311" s="824">
        <f>+'[6]입력 시트(0124)'!G318</f>
        <v>0</v>
      </c>
      <c r="H311" s="824">
        <f>+'[6]입력 시트(0124)'!H318</f>
        <v>0</v>
      </c>
      <c r="I311" s="824">
        <f>+'[6]입력 시트(0124)'!I318</f>
        <v>0</v>
      </c>
      <c r="J311" s="824">
        <v>0</v>
      </c>
      <c r="K311" s="824">
        <v>0</v>
      </c>
      <c r="L311" s="824">
        <v>0</v>
      </c>
      <c r="M311" s="824">
        <v>0</v>
      </c>
      <c r="N311" s="824">
        <v>0</v>
      </c>
      <c r="O311" s="824">
        <v>0</v>
      </c>
      <c r="P311" s="824">
        <v>0</v>
      </c>
      <c r="Q311" s="824">
        <v>0</v>
      </c>
      <c r="T311" s="824" t="e">
        <f>+'[6]입력 시트(0124)'!T318</f>
        <v>#REF!</v>
      </c>
      <c r="U311" s="824" t="e">
        <f>+'[6]입력 시트(0124)'!U318</f>
        <v>#REF!</v>
      </c>
      <c r="V311" s="824" t="e">
        <f>+'[6]입력 시트(0124)'!V318</f>
        <v>#REF!</v>
      </c>
      <c r="W311" s="824" t="e">
        <f>+'[6]입력 시트(0124)'!W318</f>
        <v>#REF!</v>
      </c>
      <c r="X311" s="824" t="e">
        <f>+'[6]입력 시트(0124)'!X318</f>
        <v>#REF!</v>
      </c>
      <c r="Y311" s="824">
        <v>0</v>
      </c>
    </row>
    <row r="312" spans="2:25" hidden="1" outlineLevel="1">
      <c r="B312" s="735"/>
      <c r="C312" s="740" t="s">
        <v>309</v>
      </c>
      <c r="D312" s="716">
        <f t="shared" si="40"/>
        <v>14</v>
      </c>
      <c r="E312" s="824">
        <f>+'[6]입력 시트(0124)'!E319</f>
        <v>0</v>
      </c>
      <c r="F312" s="824">
        <f>+'[6]입력 시트(0124)'!F319</f>
        <v>0</v>
      </c>
      <c r="G312" s="824">
        <f>+'[6]입력 시트(0124)'!G319</f>
        <v>0</v>
      </c>
      <c r="H312" s="824">
        <f>+'[6]입력 시트(0124)'!H319</f>
        <v>0</v>
      </c>
      <c r="I312" s="824">
        <f>+'[6]입력 시트(0124)'!I319</f>
        <v>0</v>
      </c>
      <c r="J312" s="824">
        <v>0</v>
      </c>
      <c r="K312" s="824">
        <v>0</v>
      </c>
      <c r="L312" s="824">
        <v>0</v>
      </c>
      <c r="M312" s="824">
        <v>0</v>
      </c>
      <c r="N312" s="824">
        <v>0</v>
      </c>
      <c r="O312" s="824">
        <v>0</v>
      </c>
      <c r="P312" s="824">
        <v>0</v>
      </c>
      <c r="Q312" s="824">
        <v>0</v>
      </c>
      <c r="T312" s="824" t="e">
        <f>+'[6]입력 시트(0124)'!T319</f>
        <v>#REF!</v>
      </c>
      <c r="U312" s="824" t="e">
        <f>+'[6]입력 시트(0124)'!U319</f>
        <v>#REF!</v>
      </c>
      <c r="V312" s="824" t="e">
        <f>+'[6]입력 시트(0124)'!V319</f>
        <v>#REF!</v>
      </c>
      <c r="W312" s="824" t="e">
        <f>+'[6]입력 시트(0124)'!W319</f>
        <v>#REF!</v>
      </c>
      <c r="X312" s="824" t="e">
        <f>+'[6]입력 시트(0124)'!X319</f>
        <v>#REF!</v>
      </c>
      <c r="Y312" s="824">
        <v>0</v>
      </c>
    </row>
    <row r="313" spans="2:25" hidden="1" outlineLevel="1">
      <c r="B313" s="735"/>
      <c r="C313" s="740" t="s">
        <v>309</v>
      </c>
      <c r="D313" s="716">
        <f t="shared" si="40"/>
        <v>15</v>
      </c>
      <c r="E313" s="824">
        <f>+'[6]입력 시트(0124)'!E320</f>
        <v>0</v>
      </c>
      <c r="F313" s="824">
        <f>+'[6]입력 시트(0124)'!F320</f>
        <v>0</v>
      </c>
      <c r="G313" s="824">
        <f>+'[6]입력 시트(0124)'!G320</f>
        <v>0</v>
      </c>
      <c r="H313" s="824">
        <f>+'[6]입력 시트(0124)'!H320</f>
        <v>0</v>
      </c>
      <c r="I313" s="824">
        <f>+'[6]입력 시트(0124)'!I320</f>
        <v>0</v>
      </c>
      <c r="J313" s="824">
        <v>0</v>
      </c>
      <c r="K313" s="824">
        <v>0</v>
      </c>
      <c r="L313" s="824">
        <v>0</v>
      </c>
      <c r="M313" s="824">
        <v>0</v>
      </c>
      <c r="N313" s="824">
        <v>0</v>
      </c>
      <c r="O313" s="824">
        <v>0</v>
      </c>
      <c r="P313" s="824">
        <v>0</v>
      </c>
      <c r="Q313" s="824">
        <v>0</v>
      </c>
      <c r="T313" s="824" t="e">
        <f>+'[6]입력 시트(0124)'!T320</f>
        <v>#REF!</v>
      </c>
      <c r="U313" s="824" t="e">
        <f>+'[6]입력 시트(0124)'!U320</f>
        <v>#REF!</v>
      </c>
      <c r="V313" s="824" t="e">
        <f>+'[6]입력 시트(0124)'!V320</f>
        <v>#REF!</v>
      </c>
      <c r="W313" s="824" t="e">
        <f>+'[6]입력 시트(0124)'!W320</f>
        <v>#REF!</v>
      </c>
      <c r="X313" s="824" t="e">
        <f>+'[6]입력 시트(0124)'!X320</f>
        <v>#REF!</v>
      </c>
      <c r="Y313" s="824">
        <v>0</v>
      </c>
    </row>
    <row r="314" spans="2:25" hidden="1" outlineLevel="1">
      <c r="B314" s="735"/>
      <c r="C314" s="740" t="s">
        <v>309</v>
      </c>
      <c r="D314" s="716">
        <f t="shared" si="40"/>
        <v>16</v>
      </c>
      <c r="E314" s="824">
        <f>+'[6]입력 시트(0124)'!E321</f>
        <v>0</v>
      </c>
      <c r="F314" s="824">
        <f>+'[6]입력 시트(0124)'!F321</f>
        <v>0</v>
      </c>
      <c r="G314" s="824">
        <f>+'[6]입력 시트(0124)'!G321</f>
        <v>0</v>
      </c>
      <c r="H314" s="824">
        <f>+'[6]입력 시트(0124)'!H321</f>
        <v>0</v>
      </c>
      <c r="I314" s="824">
        <f>+'[6]입력 시트(0124)'!I321</f>
        <v>0</v>
      </c>
      <c r="J314" s="824">
        <v>0</v>
      </c>
      <c r="K314" s="824">
        <v>0</v>
      </c>
      <c r="L314" s="824">
        <v>0</v>
      </c>
      <c r="M314" s="824">
        <v>0</v>
      </c>
      <c r="N314" s="824">
        <v>0</v>
      </c>
      <c r="O314" s="824">
        <v>0</v>
      </c>
      <c r="P314" s="824">
        <v>0</v>
      </c>
      <c r="Q314" s="824">
        <v>0</v>
      </c>
      <c r="T314" s="824" t="e">
        <f>+'[6]입력 시트(0124)'!T321</f>
        <v>#REF!</v>
      </c>
      <c r="U314" s="824" t="e">
        <f>+'[6]입력 시트(0124)'!U321</f>
        <v>#REF!</v>
      </c>
      <c r="V314" s="824" t="e">
        <f>+'[6]입력 시트(0124)'!V321</f>
        <v>#REF!</v>
      </c>
      <c r="W314" s="824" t="e">
        <f>+'[6]입력 시트(0124)'!W321</f>
        <v>#REF!</v>
      </c>
      <c r="X314" s="824" t="e">
        <f>+'[6]입력 시트(0124)'!X321</f>
        <v>#REF!</v>
      </c>
      <c r="Y314" s="824">
        <v>0</v>
      </c>
    </row>
    <row r="315" spans="2:25" hidden="1" outlineLevel="1">
      <c r="B315" s="735"/>
      <c r="C315" s="740" t="s">
        <v>309</v>
      </c>
      <c r="D315" s="716">
        <f t="shared" si="40"/>
        <v>17</v>
      </c>
      <c r="E315" s="824">
        <f>+'[6]입력 시트(0124)'!E322</f>
        <v>0</v>
      </c>
      <c r="F315" s="824">
        <f>+'[6]입력 시트(0124)'!F322</f>
        <v>0</v>
      </c>
      <c r="G315" s="824">
        <f>+'[6]입력 시트(0124)'!G322</f>
        <v>0</v>
      </c>
      <c r="H315" s="824">
        <f>+'[6]입력 시트(0124)'!H322</f>
        <v>0</v>
      </c>
      <c r="I315" s="824">
        <f>+'[6]입력 시트(0124)'!I322</f>
        <v>0</v>
      </c>
      <c r="J315" s="824">
        <v>0</v>
      </c>
      <c r="K315" s="824">
        <v>0</v>
      </c>
      <c r="L315" s="824">
        <v>0</v>
      </c>
      <c r="M315" s="824">
        <v>0</v>
      </c>
      <c r="N315" s="824">
        <v>0</v>
      </c>
      <c r="O315" s="824">
        <v>0</v>
      </c>
      <c r="P315" s="824">
        <v>0</v>
      </c>
      <c r="Q315" s="824">
        <v>0</v>
      </c>
      <c r="T315" s="824" t="e">
        <f>+'[6]입력 시트(0124)'!T322</f>
        <v>#REF!</v>
      </c>
      <c r="U315" s="824" t="e">
        <f>+'[6]입력 시트(0124)'!U322</f>
        <v>#REF!</v>
      </c>
      <c r="V315" s="824" t="e">
        <f>+'[6]입력 시트(0124)'!V322</f>
        <v>#REF!</v>
      </c>
      <c r="W315" s="824" t="e">
        <f>+'[6]입력 시트(0124)'!W322</f>
        <v>#REF!</v>
      </c>
      <c r="X315" s="824" t="e">
        <f>+'[6]입력 시트(0124)'!X322</f>
        <v>#REF!</v>
      </c>
      <c r="Y315" s="824">
        <v>0</v>
      </c>
    </row>
    <row r="316" spans="2:25" hidden="1" outlineLevel="1">
      <c r="B316" s="735"/>
      <c r="C316" s="740" t="s">
        <v>309</v>
      </c>
      <c r="D316" s="716">
        <f t="shared" si="40"/>
        <v>18</v>
      </c>
      <c r="E316" s="824">
        <f>+'[6]입력 시트(0124)'!E323</f>
        <v>0</v>
      </c>
      <c r="F316" s="824">
        <f>+'[6]입력 시트(0124)'!F323</f>
        <v>0</v>
      </c>
      <c r="G316" s="824">
        <f>+'[6]입력 시트(0124)'!G323</f>
        <v>0</v>
      </c>
      <c r="H316" s="824">
        <f>+'[6]입력 시트(0124)'!H323</f>
        <v>0</v>
      </c>
      <c r="I316" s="824">
        <f>+'[6]입력 시트(0124)'!I323</f>
        <v>0</v>
      </c>
      <c r="J316" s="824">
        <v>0</v>
      </c>
      <c r="K316" s="824">
        <v>0</v>
      </c>
      <c r="L316" s="824">
        <v>0</v>
      </c>
      <c r="M316" s="824">
        <v>0</v>
      </c>
      <c r="N316" s="824">
        <v>0</v>
      </c>
      <c r="O316" s="824">
        <v>0</v>
      </c>
      <c r="P316" s="824">
        <v>0</v>
      </c>
      <c r="Q316" s="824">
        <v>0</v>
      </c>
      <c r="T316" s="824" t="e">
        <f>+'[6]입력 시트(0124)'!T323</f>
        <v>#REF!</v>
      </c>
      <c r="U316" s="824" t="e">
        <f>+'[6]입력 시트(0124)'!U323</f>
        <v>#REF!</v>
      </c>
      <c r="V316" s="824" t="e">
        <f>+'[6]입력 시트(0124)'!V323</f>
        <v>#REF!</v>
      </c>
      <c r="W316" s="824" t="e">
        <f>+'[6]입력 시트(0124)'!W323</f>
        <v>#REF!</v>
      </c>
      <c r="X316" s="824" t="e">
        <f>+'[6]입력 시트(0124)'!X323</f>
        <v>#REF!</v>
      </c>
      <c r="Y316" s="824">
        <v>0</v>
      </c>
    </row>
    <row r="317" spans="2:25" hidden="1" outlineLevel="1">
      <c r="B317" s="735"/>
      <c r="C317" s="740" t="s">
        <v>309</v>
      </c>
      <c r="D317" s="716">
        <f t="shared" si="40"/>
        <v>19</v>
      </c>
      <c r="E317" s="824">
        <f>+'[6]입력 시트(0124)'!E324</f>
        <v>0</v>
      </c>
      <c r="F317" s="824">
        <f>+'[6]입력 시트(0124)'!F324</f>
        <v>0</v>
      </c>
      <c r="G317" s="824">
        <f>+'[6]입력 시트(0124)'!G324</f>
        <v>0</v>
      </c>
      <c r="H317" s="824">
        <f>+'[6]입력 시트(0124)'!H324</f>
        <v>0</v>
      </c>
      <c r="I317" s="824">
        <f>+'[6]입력 시트(0124)'!I324</f>
        <v>0</v>
      </c>
      <c r="J317" s="824">
        <v>0</v>
      </c>
      <c r="K317" s="824">
        <v>0</v>
      </c>
      <c r="L317" s="824">
        <v>0</v>
      </c>
      <c r="M317" s="824">
        <v>0</v>
      </c>
      <c r="N317" s="824">
        <v>0</v>
      </c>
      <c r="O317" s="824">
        <v>0</v>
      </c>
      <c r="P317" s="824">
        <v>0</v>
      </c>
      <c r="Q317" s="824">
        <v>0</v>
      </c>
      <c r="T317" s="824" t="e">
        <f>+'[6]입력 시트(0124)'!T324</f>
        <v>#REF!</v>
      </c>
      <c r="U317" s="824" t="e">
        <f>+'[6]입력 시트(0124)'!U324</f>
        <v>#REF!</v>
      </c>
      <c r="V317" s="824" t="e">
        <f>+'[6]입력 시트(0124)'!V324</f>
        <v>#REF!</v>
      </c>
      <c r="W317" s="824" t="e">
        <f>+'[6]입력 시트(0124)'!W324</f>
        <v>#REF!</v>
      </c>
      <c r="X317" s="824" t="e">
        <f>+'[6]입력 시트(0124)'!X324</f>
        <v>#REF!</v>
      </c>
      <c r="Y317" s="824">
        <v>0</v>
      </c>
    </row>
    <row r="318" spans="2:25" hidden="1" outlineLevel="1">
      <c r="B318" s="735"/>
      <c r="C318" s="740" t="s">
        <v>309</v>
      </c>
      <c r="D318" s="716">
        <f t="shared" si="40"/>
        <v>20</v>
      </c>
      <c r="E318" s="824">
        <f>+'[6]입력 시트(0124)'!E325</f>
        <v>0</v>
      </c>
      <c r="F318" s="824">
        <f>+'[6]입력 시트(0124)'!F325</f>
        <v>0</v>
      </c>
      <c r="G318" s="824">
        <f>+'[6]입력 시트(0124)'!G325</f>
        <v>0</v>
      </c>
      <c r="H318" s="824">
        <f>+'[6]입력 시트(0124)'!H325</f>
        <v>0</v>
      </c>
      <c r="I318" s="824">
        <f>+'[6]입력 시트(0124)'!I325</f>
        <v>0</v>
      </c>
      <c r="J318" s="824">
        <v>0</v>
      </c>
      <c r="K318" s="824">
        <v>0</v>
      </c>
      <c r="L318" s="824">
        <v>0</v>
      </c>
      <c r="M318" s="824">
        <v>0</v>
      </c>
      <c r="N318" s="824">
        <v>0</v>
      </c>
      <c r="O318" s="824">
        <v>0</v>
      </c>
      <c r="P318" s="824">
        <v>0</v>
      </c>
      <c r="Q318" s="824">
        <v>0</v>
      </c>
      <c r="T318" s="824" t="e">
        <f>+'[6]입력 시트(0124)'!T325</f>
        <v>#REF!</v>
      </c>
      <c r="U318" s="824" t="e">
        <f>+'[6]입력 시트(0124)'!U325</f>
        <v>#REF!</v>
      </c>
      <c r="V318" s="824" t="e">
        <f>+'[6]입력 시트(0124)'!V325</f>
        <v>#REF!</v>
      </c>
      <c r="W318" s="824" t="e">
        <f>+'[6]입력 시트(0124)'!W325</f>
        <v>#REF!</v>
      </c>
      <c r="X318" s="824" t="e">
        <f>+'[6]입력 시트(0124)'!X325</f>
        <v>#REF!</v>
      </c>
      <c r="Y318" s="824">
        <v>0</v>
      </c>
    </row>
    <row r="319" spans="2:25" hidden="1" outlineLevel="1">
      <c r="B319" s="735"/>
      <c r="C319" s="740" t="s">
        <v>309</v>
      </c>
      <c r="D319" s="716">
        <f t="shared" si="40"/>
        <v>21</v>
      </c>
      <c r="E319" s="824">
        <f>+'[6]입력 시트(0124)'!E326</f>
        <v>0</v>
      </c>
      <c r="F319" s="824">
        <f>+'[6]입력 시트(0124)'!F326</f>
        <v>0</v>
      </c>
      <c r="G319" s="824">
        <f>+'[6]입력 시트(0124)'!G326</f>
        <v>0</v>
      </c>
      <c r="H319" s="824">
        <f>+'[6]입력 시트(0124)'!H326</f>
        <v>0</v>
      </c>
      <c r="I319" s="824">
        <f>+'[6]입력 시트(0124)'!I326</f>
        <v>0</v>
      </c>
      <c r="J319" s="824">
        <v>0</v>
      </c>
      <c r="K319" s="824">
        <v>0</v>
      </c>
      <c r="L319" s="824">
        <v>0</v>
      </c>
      <c r="M319" s="824">
        <v>0</v>
      </c>
      <c r="N319" s="824">
        <v>0</v>
      </c>
      <c r="O319" s="824">
        <v>0</v>
      </c>
      <c r="P319" s="824">
        <v>0</v>
      </c>
      <c r="Q319" s="824">
        <v>0</v>
      </c>
      <c r="T319" s="824" t="e">
        <f>+'[6]입력 시트(0124)'!T326</f>
        <v>#REF!</v>
      </c>
      <c r="U319" s="824" t="e">
        <f>+'[6]입력 시트(0124)'!U326</f>
        <v>#REF!</v>
      </c>
      <c r="V319" s="824" t="e">
        <f>+'[6]입력 시트(0124)'!V326</f>
        <v>#REF!</v>
      </c>
      <c r="W319" s="824" t="e">
        <f>+'[6]입력 시트(0124)'!W326</f>
        <v>#REF!</v>
      </c>
      <c r="X319" s="824" t="e">
        <f>+'[6]입력 시트(0124)'!X326</f>
        <v>#REF!</v>
      </c>
      <c r="Y319" s="824">
        <v>0</v>
      </c>
    </row>
    <row r="320" spans="2:25" hidden="1" outlineLevel="1">
      <c r="B320" s="735"/>
      <c r="C320" s="740" t="s">
        <v>309</v>
      </c>
      <c r="D320" s="716">
        <f t="shared" si="40"/>
        <v>22</v>
      </c>
      <c r="E320" s="824">
        <f>+'[6]입력 시트(0124)'!E327</f>
        <v>0</v>
      </c>
      <c r="F320" s="824">
        <f>+'[6]입력 시트(0124)'!F327</f>
        <v>0</v>
      </c>
      <c r="G320" s="824">
        <f>+'[6]입력 시트(0124)'!G327</f>
        <v>0</v>
      </c>
      <c r="H320" s="824">
        <f>+'[6]입력 시트(0124)'!H327</f>
        <v>0</v>
      </c>
      <c r="I320" s="824">
        <f>+'[6]입력 시트(0124)'!I327</f>
        <v>0</v>
      </c>
      <c r="J320" s="824">
        <v>0</v>
      </c>
      <c r="K320" s="824">
        <v>0</v>
      </c>
      <c r="L320" s="824">
        <v>0</v>
      </c>
      <c r="M320" s="824">
        <v>0</v>
      </c>
      <c r="N320" s="824">
        <v>0</v>
      </c>
      <c r="O320" s="824">
        <v>0</v>
      </c>
      <c r="P320" s="824">
        <v>0</v>
      </c>
      <c r="Q320" s="824">
        <v>0</v>
      </c>
      <c r="T320" s="824" t="e">
        <f>+'[6]입력 시트(0124)'!T327</f>
        <v>#REF!</v>
      </c>
      <c r="U320" s="824" t="e">
        <f>+'[6]입력 시트(0124)'!U327</f>
        <v>#REF!</v>
      </c>
      <c r="V320" s="824" t="e">
        <f>+'[6]입력 시트(0124)'!V327</f>
        <v>#REF!</v>
      </c>
      <c r="W320" s="824" t="e">
        <f>+'[6]입력 시트(0124)'!W327</f>
        <v>#REF!</v>
      </c>
      <c r="X320" s="824" t="e">
        <f>+'[6]입력 시트(0124)'!X327</f>
        <v>#REF!</v>
      </c>
      <c r="Y320" s="824">
        <v>0</v>
      </c>
    </row>
    <row r="321" spans="2:25" hidden="1" outlineLevel="1">
      <c r="B321" s="735"/>
      <c r="C321" s="740" t="s">
        <v>309</v>
      </c>
      <c r="D321" s="716">
        <f t="shared" si="40"/>
        <v>23</v>
      </c>
      <c r="E321" s="824">
        <f>+'[6]입력 시트(0124)'!E328</f>
        <v>0</v>
      </c>
      <c r="F321" s="824">
        <f>+'[6]입력 시트(0124)'!F328</f>
        <v>0</v>
      </c>
      <c r="G321" s="824">
        <f>+'[6]입력 시트(0124)'!G328</f>
        <v>0</v>
      </c>
      <c r="H321" s="824">
        <f>+'[6]입력 시트(0124)'!H328</f>
        <v>0</v>
      </c>
      <c r="I321" s="824">
        <f>+'[6]입력 시트(0124)'!I328</f>
        <v>0</v>
      </c>
      <c r="J321" s="824">
        <v>0</v>
      </c>
      <c r="K321" s="824">
        <v>0</v>
      </c>
      <c r="L321" s="824">
        <v>0</v>
      </c>
      <c r="M321" s="824">
        <v>0</v>
      </c>
      <c r="N321" s="824">
        <v>0</v>
      </c>
      <c r="O321" s="824">
        <v>0</v>
      </c>
      <c r="P321" s="824">
        <v>0</v>
      </c>
      <c r="Q321" s="824">
        <v>0</v>
      </c>
      <c r="T321" s="824" t="e">
        <f>+'[6]입력 시트(0124)'!T328</f>
        <v>#REF!</v>
      </c>
      <c r="U321" s="824" t="e">
        <f>+'[6]입력 시트(0124)'!U328</f>
        <v>#REF!</v>
      </c>
      <c r="V321" s="824" t="e">
        <f>+'[6]입력 시트(0124)'!V328</f>
        <v>#REF!</v>
      </c>
      <c r="W321" s="824" t="e">
        <f>+'[6]입력 시트(0124)'!W328</f>
        <v>#REF!</v>
      </c>
      <c r="X321" s="824" t="e">
        <f>+'[6]입력 시트(0124)'!X328</f>
        <v>#REF!</v>
      </c>
      <c r="Y321" s="824">
        <v>0</v>
      </c>
    </row>
    <row r="322" spans="2:25" hidden="1" outlineLevel="1">
      <c r="B322" s="735"/>
      <c r="C322" s="740" t="s">
        <v>309</v>
      </c>
      <c r="D322" s="716">
        <f t="shared" si="40"/>
        <v>24</v>
      </c>
      <c r="E322" s="824">
        <f>+'[6]입력 시트(0124)'!E329</f>
        <v>0</v>
      </c>
      <c r="F322" s="824">
        <f>+'[6]입력 시트(0124)'!F329</f>
        <v>0</v>
      </c>
      <c r="G322" s="824">
        <f>+'[6]입력 시트(0124)'!G329</f>
        <v>0</v>
      </c>
      <c r="H322" s="824">
        <f>+'[6]입력 시트(0124)'!H329</f>
        <v>0</v>
      </c>
      <c r="I322" s="824">
        <f>+'[6]입력 시트(0124)'!I329</f>
        <v>0</v>
      </c>
      <c r="J322" s="824">
        <v>0</v>
      </c>
      <c r="K322" s="824">
        <v>0</v>
      </c>
      <c r="L322" s="824">
        <v>0</v>
      </c>
      <c r="M322" s="824">
        <v>0</v>
      </c>
      <c r="N322" s="824">
        <v>0</v>
      </c>
      <c r="O322" s="824">
        <v>0</v>
      </c>
      <c r="P322" s="824">
        <v>0</v>
      </c>
      <c r="Q322" s="824">
        <v>0</v>
      </c>
      <c r="T322" s="824" t="e">
        <f>+'[6]입력 시트(0124)'!T329</f>
        <v>#REF!</v>
      </c>
      <c r="U322" s="824" t="e">
        <f>+'[6]입력 시트(0124)'!U329</f>
        <v>#REF!</v>
      </c>
      <c r="V322" s="824" t="e">
        <f>+'[6]입력 시트(0124)'!V329</f>
        <v>#REF!</v>
      </c>
      <c r="W322" s="824" t="e">
        <f>+'[6]입력 시트(0124)'!W329</f>
        <v>#REF!</v>
      </c>
      <c r="X322" s="824" t="e">
        <f>+'[6]입력 시트(0124)'!X329</f>
        <v>#REF!</v>
      </c>
      <c r="Y322" s="824">
        <v>0</v>
      </c>
    </row>
    <row r="323" spans="2:25" ht="53.25" hidden="1" customHeight="1" outlineLevel="1">
      <c r="B323" s="735" t="s">
        <v>540</v>
      </c>
      <c r="C323" s="1373"/>
      <c r="D323" s="1374"/>
      <c r="E323" s="826"/>
      <c r="F323" s="826"/>
      <c r="G323" s="826"/>
      <c r="H323" s="826"/>
      <c r="I323" s="826"/>
      <c r="J323" s="826"/>
      <c r="K323" s="826"/>
      <c r="L323" s="826"/>
      <c r="M323" s="826"/>
      <c r="N323" s="826"/>
      <c r="O323" s="826"/>
      <c r="P323" s="826"/>
      <c r="Q323" s="826"/>
      <c r="T323" s="826"/>
      <c r="U323" s="826"/>
      <c r="V323" s="826"/>
      <c r="W323" s="826"/>
      <c r="X323" s="826"/>
      <c r="Y323" s="826"/>
    </row>
    <row r="324" spans="2:25" outlineLevel="1">
      <c r="T324" s="777"/>
      <c r="U324" s="777"/>
      <c r="V324" s="777"/>
      <c r="W324" s="777"/>
      <c r="X324" s="777"/>
      <c r="Y324" s="777"/>
    </row>
    <row r="325" spans="2:25" hidden="1" outlineLevel="1">
      <c r="B325" s="803" t="s">
        <v>577</v>
      </c>
      <c r="D325" s="749"/>
      <c r="E325" s="750"/>
      <c r="F325" s="750"/>
      <c r="G325" s="750"/>
      <c r="H325" s="750"/>
      <c r="I325" s="750"/>
      <c r="J325" s="750"/>
      <c r="K325" s="750"/>
      <c r="L325" s="750"/>
      <c r="M325" s="750"/>
      <c r="N325" s="750"/>
      <c r="O325" s="750"/>
      <c r="P325" s="750"/>
      <c r="Q325" s="750"/>
      <c r="T325" s="953"/>
      <c r="U325" s="953"/>
      <c r="V325" s="953"/>
      <c r="W325" s="953"/>
      <c r="X325" s="953"/>
      <c r="Y325" s="953"/>
    </row>
    <row r="326" spans="2:25" ht="16.5" hidden="1" customHeight="1" outlineLevel="1">
      <c r="B326" s="735" t="s">
        <v>487</v>
      </c>
      <c r="C326" s="760"/>
      <c r="D326" s="759"/>
      <c r="E326" s="801"/>
      <c r="F326" s="801"/>
      <c r="G326" s="801"/>
      <c r="H326" s="801"/>
      <c r="I326" s="801"/>
      <c r="J326" s="801" t="s">
        <v>545</v>
      </c>
      <c r="K326" s="801" t="s">
        <v>545</v>
      </c>
      <c r="L326" s="801" t="s">
        <v>545</v>
      </c>
      <c r="M326" s="801" t="s">
        <v>545</v>
      </c>
      <c r="N326" s="801"/>
      <c r="O326" s="801"/>
      <c r="P326" s="801"/>
      <c r="Q326" s="801"/>
      <c r="T326" s="801"/>
      <c r="U326" s="801"/>
      <c r="V326" s="801"/>
      <c r="W326" s="801"/>
      <c r="X326" s="801"/>
      <c r="Y326" s="801" t="s">
        <v>545</v>
      </c>
    </row>
    <row r="327" spans="2:25" hidden="1" outlineLevel="1">
      <c r="B327" s="735" t="s">
        <v>528</v>
      </c>
      <c r="D327" s="813" t="s">
        <v>567</v>
      </c>
      <c r="E327" s="821">
        <v>0</v>
      </c>
      <c r="F327" s="821">
        <v>0</v>
      </c>
      <c r="G327" s="821">
        <v>0</v>
      </c>
      <c r="H327" s="821">
        <v>0</v>
      </c>
      <c r="I327" s="821">
        <v>0</v>
      </c>
      <c r="J327" s="821">
        <v>0</v>
      </c>
      <c r="K327" s="821">
        <v>0</v>
      </c>
      <c r="L327" s="821">
        <v>0</v>
      </c>
      <c r="M327" s="821">
        <v>0</v>
      </c>
      <c r="N327" s="821">
        <v>0</v>
      </c>
      <c r="O327" s="821">
        <v>0</v>
      </c>
      <c r="P327" s="821">
        <v>0</v>
      </c>
      <c r="Q327" s="821">
        <v>0</v>
      </c>
      <c r="T327" s="821">
        <v>0</v>
      </c>
      <c r="U327" s="821">
        <v>0</v>
      </c>
      <c r="V327" s="821">
        <v>0</v>
      </c>
      <c r="W327" s="821">
        <v>0</v>
      </c>
      <c r="X327" s="821">
        <v>0</v>
      </c>
      <c r="Y327" s="821">
        <v>0</v>
      </c>
    </row>
    <row r="328" spans="2:25" ht="16.5" hidden="1" customHeight="1" outlineLevel="1">
      <c r="B328" s="735" t="s">
        <v>542</v>
      </c>
      <c r="D328" s="721" t="s">
        <v>533</v>
      </c>
      <c r="E328" s="822">
        <v>0</v>
      </c>
      <c r="F328" s="822">
        <v>0</v>
      </c>
      <c r="G328" s="822">
        <v>0</v>
      </c>
      <c r="H328" s="822">
        <v>0</v>
      </c>
      <c r="I328" s="822">
        <v>0</v>
      </c>
      <c r="J328" s="822">
        <v>0</v>
      </c>
      <c r="K328" s="822">
        <v>0</v>
      </c>
      <c r="L328" s="822">
        <v>0</v>
      </c>
      <c r="M328" s="822">
        <v>0</v>
      </c>
      <c r="N328" s="822">
        <v>0</v>
      </c>
      <c r="O328" s="822">
        <v>0</v>
      </c>
      <c r="P328" s="822">
        <v>0</v>
      </c>
      <c r="Q328" s="822">
        <v>0</v>
      </c>
      <c r="T328" s="822">
        <v>0</v>
      </c>
      <c r="U328" s="822">
        <v>0</v>
      </c>
      <c r="V328" s="822">
        <v>0</v>
      </c>
      <c r="W328" s="822">
        <v>0</v>
      </c>
      <c r="X328" s="822">
        <v>0</v>
      </c>
      <c r="Y328" s="822">
        <v>0</v>
      </c>
    </row>
    <row r="329" spans="2:25" ht="16.5" hidden="1" customHeight="1" outlineLevel="1">
      <c r="B329" s="735" t="s">
        <v>534</v>
      </c>
      <c r="D329" s="721" t="s">
        <v>301</v>
      </c>
      <c r="E329" s="823"/>
      <c r="F329" s="823"/>
      <c r="G329" s="823"/>
      <c r="H329" s="823"/>
      <c r="I329" s="823"/>
      <c r="J329" s="823"/>
      <c r="K329" s="823"/>
      <c r="L329" s="823"/>
      <c r="M329" s="823"/>
      <c r="N329" s="823"/>
      <c r="O329" s="823"/>
      <c r="P329" s="823"/>
      <c r="Q329" s="823"/>
      <c r="T329" s="823"/>
      <c r="U329" s="823"/>
      <c r="V329" s="823"/>
      <c r="W329" s="823"/>
      <c r="X329" s="823"/>
      <c r="Y329" s="823"/>
    </row>
    <row r="330" spans="2:25" ht="16.5" hidden="1" customHeight="1" outlineLevel="1">
      <c r="B330" s="735" t="s">
        <v>536</v>
      </c>
      <c r="D330" s="721" t="s">
        <v>309</v>
      </c>
      <c r="E330" s="824"/>
      <c r="F330" s="824"/>
      <c r="G330" s="824"/>
      <c r="H330" s="824"/>
      <c r="I330" s="824"/>
      <c r="J330" s="824"/>
      <c r="K330" s="824"/>
      <c r="L330" s="824"/>
      <c r="M330" s="824"/>
      <c r="N330" s="824"/>
      <c r="O330" s="824"/>
      <c r="P330" s="824"/>
      <c r="Q330" s="824"/>
      <c r="T330" s="824"/>
      <c r="U330" s="824"/>
      <c r="V330" s="824"/>
      <c r="W330" s="824"/>
      <c r="X330" s="824"/>
      <c r="Y330" s="824"/>
    </row>
    <row r="331" spans="2:25" hidden="1" outlineLevel="1">
      <c r="B331" s="735" t="s">
        <v>568</v>
      </c>
      <c r="C331" s="740" t="s">
        <v>569</v>
      </c>
      <c r="D331" s="716">
        <v>1</v>
      </c>
      <c r="E331" s="824"/>
      <c r="F331" s="824"/>
      <c r="G331" s="824"/>
      <c r="H331" s="824"/>
      <c r="I331" s="824"/>
      <c r="J331" s="824"/>
      <c r="K331" s="824"/>
      <c r="L331" s="824"/>
      <c r="M331" s="824"/>
      <c r="N331" s="824"/>
      <c r="O331" s="824"/>
      <c r="P331" s="824"/>
      <c r="Q331" s="824"/>
      <c r="T331" s="824"/>
      <c r="U331" s="824"/>
      <c r="V331" s="824"/>
      <c r="W331" s="824"/>
      <c r="X331" s="824"/>
      <c r="Y331" s="824"/>
    </row>
    <row r="332" spans="2:25" hidden="1" outlineLevel="1">
      <c r="B332" s="735"/>
      <c r="C332" s="740" t="s">
        <v>309</v>
      </c>
      <c r="D332" s="716">
        <f t="shared" ref="D332:D354" si="41">+D331+1</f>
        <v>2</v>
      </c>
      <c r="E332" s="825"/>
      <c r="F332" s="825"/>
      <c r="G332" s="825"/>
      <c r="H332" s="825"/>
      <c r="I332" s="825"/>
      <c r="J332" s="825"/>
      <c r="K332" s="825"/>
      <c r="L332" s="825"/>
      <c r="M332" s="825"/>
      <c r="N332" s="825"/>
      <c r="O332" s="825"/>
      <c r="P332" s="825"/>
      <c r="Q332" s="825"/>
      <c r="T332" s="825"/>
      <c r="U332" s="825"/>
      <c r="V332" s="825"/>
      <c r="W332" s="825"/>
      <c r="X332" s="825"/>
      <c r="Y332" s="825"/>
    </row>
    <row r="333" spans="2:25" hidden="1" outlineLevel="1">
      <c r="B333" s="735"/>
      <c r="C333" s="740" t="s">
        <v>309</v>
      </c>
      <c r="D333" s="716">
        <f t="shared" si="41"/>
        <v>3</v>
      </c>
      <c r="E333" s="825"/>
      <c r="F333" s="825"/>
      <c r="G333" s="825"/>
      <c r="H333" s="825"/>
      <c r="I333" s="825"/>
      <c r="J333" s="825"/>
      <c r="K333" s="825"/>
      <c r="L333" s="825"/>
      <c r="M333" s="825"/>
      <c r="N333" s="825"/>
      <c r="O333" s="825"/>
      <c r="P333" s="825"/>
      <c r="Q333" s="825"/>
      <c r="T333" s="825"/>
      <c r="U333" s="825"/>
      <c r="V333" s="825"/>
      <c r="W333" s="825"/>
      <c r="X333" s="825"/>
      <c r="Y333" s="825"/>
    </row>
    <row r="334" spans="2:25" hidden="1" outlineLevel="1">
      <c r="B334" s="735"/>
      <c r="C334" s="740" t="s">
        <v>309</v>
      </c>
      <c r="D334" s="716">
        <f t="shared" si="41"/>
        <v>4</v>
      </c>
      <c r="E334" s="825"/>
      <c r="F334" s="825"/>
      <c r="G334" s="825"/>
      <c r="H334" s="825"/>
      <c r="I334" s="825"/>
      <c r="J334" s="825"/>
      <c r="K334" s="825"/>
      <c r="L334" s="825"/>
      <c r="M334" s="825"/>
      <c r="N334" s="825"/>
      <c r="O334" s="825"/>
      <c r="P334" s="825"/>
      <c r="Q334" s="825"/>
      <c r="T334" s="825"/>
      <c r="U334" s="825"/>
      <c r="V334" s="825"/>
      <c r="W334" s="825"/>
      <c r="X334" s="825"/>
      <c r="Y334" s="825"/>
    </row>
    <row r="335" spans="2:25" hidden="1" outlineLevel="1">
      <c r="B335" s="735"/>
      <c r="C335" s="740" t="s">
        <v>309</v>
      </c>
      <c r="D335" s="716">
        <f t="shared" si="41"/>
        <v>5</v>
      </c>
      <c r="E335" s="825"/>
      <c r="F335" s="825"/>
      <c r="G335" s="825"/>
      <c r="H335" s="825"/>
      <c r="I335" s="825"/>
      <c r="J335" s="825"/>
      <c r="K335" s="825"/>
      <c r="L335" s="825"/>
      <c r="M335" s="825"/>
      <c r="N335" s="825"/>
      <c r="O335" s="825"/>
      <c r="P335" s="825"/>
      <c r="Q335" s="825"/>
      <c r="T335" s="825"/>
      <c r="U335" s="825"/>
      <c r="V335" s="825"/>
      <c r="W335" s="825"/>
      <c r="X335" s="825"/>
      <c r="Y335" s="825"/>
    </row>
    <row r="336" spans="2:25" hidden="1" outlineLevel="1">
      <c r="B336" s="735"/>
      <c r="C336" s="740" t="s">
        <v>309</v>
      </c>
      <c r="D336" s="716">
        <f t="shared" si="41"/>
        <v>6</v>
      </c>
      <c r="E336" s="825"/>
      <c r="F336" s="825"/>
      <c r="G336" s="825"/>
      <c r="H336" s="825"/>
      <c r="I336" s="825"/>
      <c r="J336" s="825"/>
      <c r="K336" s="825"/>
      <c r="L336" s="825"/>
      <c r="M336" s="825"/>
      <c r="N336" s="825"/>
      <c r="O336" s="825"/>
      <c r="P336" s="825"/>
      <c r="Q336" s="825"/>
      <c r="T336" s="825"/>
      <c r="U336" s="825"/>
      <c r="V336" s="825"/>
      <c r="W336" s="825"/>
      <c r="X336" s="825"/>
      <c r="Y336" s="825"/>
    </row>
    <row r="337" spans="2:25" hidden="1" outlineLevel="1">
      <c r="B337" s="735"/>
      <c r="C337" s="740" t="s">
        <v>309</v>
      </c>
      <c r="D337" s="716">
        <f t="shared" si="41"/>
        <v>7</v>
      </c>
      <c r="E337" s="825"/>
      <c r="F337" s="825"/>
      <c r="G337" s="825"/>
      <c r="H337" s="825"/>
      <c r="I337" s="825"/>
      <c r="J337" s="825"/>
      <c r="K337" s="825"/>
      <c r="L337" s="825"/>
      <c r="M337" s="825"/>
      <c r="N337" s="825"/>
      <c r="O337" s="825"/>
      <c r="P337" s="825"/>
      <c r="Q337" s="825"/>
      <c r="T337" s="825"/>
      <c r="U337" s="825"/>
      <c r="V337" s="825"/>
      <c r="W337" s="825"/>
      <c r="X337" s="825"/>
      <c r="Y337" s="825"/>
    </row>
    <row r="338" spans="2:25" hidden="1" outlineLevel="1">
      <c r="B338" s="735"/>
      <c r="C338" s="740" t="s">
        <v>309</v>
      </c>
      <c r="D338" s="716">
        <f t="shared" si="41"/>
        <v>8</v>
      </c>
      <c r="E338" s="825"/>
      <c r="F338" s="825"/>
      <c r="G338" s="825"/>
      <c r="H338" s="825"/>
      <c r="I338" s="825"/>
      <c r="J338" s="825"/>
      <c r="K338" s="825"/>
      <c r="L338" s="825"/>
      <c r="M338" s="825"/>
      <c r="N338" s="825"/>
      <c r="O338" s="825"/>
      <c r="P338" s="825"/>
      <c r="Q338" s="825"/>
      <c r="T338" s="825"/>
      <c r="U338" s="825"/>
      <c r="V338" s="825"/>
      <c r="W338" s="825"/>
      <c r="X338" s="825"/>
      <c r="Y338" s="825"/>
    </row>
    <row r="339" spans="2:25" hidden="1" outlineLevel="1">
      <c r="B339" s="735"/>
      <c r="C339" s="740" t="s">
        <v>309</v>
      </c>
      <c r="D339" s="716">
        <f t="shared" si="41"/>
        <v>9</v>
      </c>
      <c r="E339" s="825"/>
      <c r="F339" s="825"/>
      <c r="G339" s="825"/>
      <c r="H339" s="825"/>
      <c r="I339" s="825"/>
      <c r="J339" s="825"/>
      <c r="K339" s="825"/>
      <c r="L339" s="825"/>
      <c r="M339" s="825"/>
      <c r="N339" s="825"/>
      <c r="O339" s="825"/>
      <c r="P339" s="825"/>
      <c r="Q339" s="825"/>
      <c r="T339" s="825"/>
      <c r="U339" s="825"/>
      <c r="V339" s="825"/>
      <c r="W339" s="825"/>
      <c r="X339" s="825"/>
      <c r="Y339" s="825"/>
    </row>
    <row r="340" spans="2:25" hidden="1" outlineLevel="1">
      <c r="B340" s="735"/>
      <c r="C340" s="740" t="s">
        <v>309</v>
      </c>
      <c r="D340" s="716">
        <f t="shared" si="41"/>
        <v>10</v>
      </c>
      <c r="E340" s="825"/>
      <c r="F340" s="825"/>
      <c r="G340" s="825"/>
      <c r="H340" s="825"/>
      <c r="I340" s="825"/>
      <c r="J340" s="825"/>
      <c r="K340" s="825"/>
      <c r="L340" s="825"/>
      <c r="M340" s="825"/>
      <c r="N340" s="825"/>
      <c r="O340" s="825"/>
      <c r="P340" s="825"/>
      <c r="Q340" s="825"/>
      <c r="T340" s="825"/>
      <c r="U340" s="825"/>
      <c r="V340" s="825"/>
      <c r="W340" s="825"/>
      <c r="X340" s="825"/>
      <c r="Y340" s="825"/>
    </row>
    <row r="341" spans="2:25" hidden="1" outlineLevel="1">
      <c r="B341" s="735"/>
      <c r="C341" s="740" t="s">
        <v>309</v>
      </c>
      <c r="D341" s="716">
        <f t="shared" si="41"/>
        <v>11</v>
      </c>
      <c r="E341" s="825"/>
      <c r="F341" s="825"/>
      <c r="G341" s="825"/>
      <c r="H341" s="825"/>
      <c r="I341" s="825"/>
      <c r="J341" s="825"/>
      <c r="K341" s="825"/>
      <c r="L341" s="825"/>
      <c r="M341" s="825"/>
      <c r="N341" s="825"/>
      <c r="O341" s="825"/>
      <c r="P341" s="825"/>
      <c r="Q341" s="825"/>
      <c r="T341" s="825"/>
      <c r="U341" s="825"/>
      <c r="V341" s="825"/>
      <c r="W341" s="825"/>
      <c r="X341" s="825"/>
      <c r="Y341" s="825"/>
    </row>
    <row r="342" spans="2:25" hidden="1" outlineLevel="1">
      <c r="B342" s="735"/>
      <c r="C342" s="740" t="s">
        <v>309</v>
      </c>
      <c r="D342" s="716">
        <f t="shared" si="41"/>
        <v>12</v>
      </c>
      <c r="E342" s="825"/>
      <c r="F342" s="825"/>
      <c r="G342" s="825"/>
      <c r="H342" s="825"/>
      <c r="I342" s="825"/>
      <c r="J342" s="825"/>
      <c r="K342" s="825"/>
      <c r="L342" s="825"/>
      <c r="M342" s="825"/>
      <c r="N342" s="825"/>
      <c r="O342" s="825"/>
      <c r="P342" s="825"/>
      <c r="Q342" s="825"/>
      <c r="T342" s="825"/>
      <c r="U342" s="825"/>
      <c r="V342" s="825"/>
      <c r="W342" s="825"/>
      <c r="X342" s="825"/>
      <c r="Y342" s="825"/>
    </row>
    <row r="343" spans="2:25" hidden="1" outlineLevel="1">
      <c r="B343" s="735"/>
      <c r="C343" s="740" t="s">
        <v>309</v>
      </c>
      <c r="D343" s="716">
        <f t="shared" si="41"/>
        <v>13</v>
      </c>
      <c r="E343" s="826"/>
      <c r="F343" s="826"/>
      <c r="G343" s="826"/>
      <c r="H343" s="826"/>
      <c r="I343" s="826"/>
      <c r="J343" s="826"/>
      <c r="K343" s="826"/>
      <c r="L343" s="826"/>
      <c r="M343" s="826"/>
      <c r="N343" s="826"/>
      <c r="O343" s="826"/>
      <c r="P343" s="826"/>
      <c r="Q343" s="826"/>
      <c r="T343" s="826"/>
      <c r="U343" s="826"/>
      <c r="V343" s="826"/>
      <c r="W343" s="826"/>
      <c r="X343" s="826"/>
      <c r="Y343" s="826"/>
    </row>
    <row r="344" spans="2:25" hidden="1" outlineLevel="1">
      <c r="B344" s="735"/>
      <c r="C344" s="740" t="s">
        <v>309</v>
      </c>
      <c r="D344" s="716">
        <f t="shared" si="41"/>
        <v>14</v>
      </c>
      <c r="E344" s="826"/>
      <c r="F344" s="826"/>
      <c r="G344" s="826"/>
      <c r="H344" s="826"/>
      <c r="I344" s="826"/>
      <c r="J344" s="826"/>
      <c r="K344" s="826"/>
      <c r="L344" s="826"/>
      <c r="M344" s="826"/>
      <c r="N344" s="826"/>
      <c r="O344" s="826"/>
      <c r="P344" s="826"/>
      <c r="Q344" s="826"/>
      <c r="T344" s="826"/>
      <c r="U344" s="826"/>
      <c r="V344" s="826"/>
      <c r="W344" s="826"/>
      <c r="X344" s="826"/>
      <c r="Y344" s="826"/>
    </row>
    <row r="345" spans="2:25" hidden="1" outlineLevel="1">
      <c r="B345" s="735"/>
      <c r="C345" s="740" t="s">
        <v>309</v>
      </c>
      <c r="D345" s="716">
        <f t="shared" si="41"/>
        <v>15</v>
      </c>
      <c r="E345" s="826"/>
      <c r="F345" s="826"/>
      <c r="G345" s="826"/>
      <c r="H345" s="826"/>
      <c r="I345" s="826"/>
      <c r="J345" s="826"/>
      <c r="K345" s="826"/>
      <c r="L345" s="826"/>
      <c r="M345" s="826"/>
      <c r="N345" s="826"/>
      <c r="O345" s="826"/>
      <c r="P345" s="826"/>
      <c r="Q345" s="826"/>
      <c r="T345" s="826"/>
      <c r="U345" s="826"/>
      <c r="V345" s="826"/>
      <c r="W345" s="826"/>
      <c r="X345" s="826"/>
      <c r="Y345" s="826"/>
    </row>
    <row r="346" spans="2:25" hidden="1" outlineLevel="1">
      <c r="B346" s="735"/>
      <c r="C346" s="740" t="s">
        <v>309</v>
      </c>
      <c r="D346" s="716">
        <f t="shared" si="41"/>
        <v>16</v>
      </c>
      <c r="E346" s="826"/>
      <c r="F346" s="826"/>
      <c r="G346" s="826"/>
      <c r="H346" s="826"/>
      <c r="I346" s="826"/>
      <c r="J346" s="826"/>
      <c r="K346" s="826"/>
      <c r="L346" s="826"/>
      <c r="M346" s="826"/>
      <c r="N346" s="826"/>
      <c r="O346" s="826"/>
      <c r="P346" s="826"/>
      <c r="Q346" s="826"/>
      <c r="T346" s="826"/>
      <c r="U346" s="826"/>
      <c r="V346" s="826"/>
      <c r="W346" s="826"/>
      <c r="X346" s="826"/>
      <c r="Y346" s="826"/>
    </row>
    <row r="347" spans="2:25" hidden="1" outlineLevel="1">
      <c r="B347" s="735"/>
      <c r="C347" s="740" t="s">
        <v>309</v>
      </c>
      <c r="D347" s="716">
        <f t="shared" si="41"/>
        <v>17</v>
      </c>
      <c r="E347" s="826"/>
      <c r="F347" s="826"/>
      <c r="G347" s="826"/>
      <c r="H347" s="826"/>
      <c r="I347" s="826"/>
      <c r="J347" s="826"/>
      <c r="K347" s="826"/>
      <c r="L347" s="826"/>
      <c r="M347" s="826"/>
      <c r="N347" s="826"/>
      <c r="O347" s="826"/>
      <c r="P347" s="826"/>
      <c r="Q347" s="826"/>
      <c r="T347" s="826"/>
      <c r="U347" s="826"/>
      <c r="V347" s="826"/>
      <c r="W347" s="826"/>
      <c r="X347" s="826"/>
      <c r="Y347" s="826"/>
    </row>
    <row r="348" spans="2:25" hidden="1" outlineLevel="1">
      <c r="B348" s="735"/>
      <c r="C348" s="740" t="s">
        <v>309</v>
      </c>
      <c r="D348" s="716">
        <f t="shared" si="41"/>
        <v>18</v>
      </c>
      <c r="E348" s="826"/>
      <c r="F348" s="826"/>
      <c r="G348" s="826"/>
      <c r="H348" s="826"/>
      <c r="I348" s="826"/>
      <c r="J348" s="826"/>
      <c r="K348" s="826"/>
      <c r="L348" s="826"/>
      <c r="M348" s="826"/>
      <c r="N348" s="826"/>
      <c r="O348" s="826"/>
      <c r="P348" s="826"/>
      <c r="Q348" s="826"/>
      <c r="T348" s="826"/>
      <c r="U348" s="826"/>
      <c r="V348" s="826"/>
      <c r="W348" s="826"/>
      <c r="X348" s="826"/>
      <c r="Y348" s="826"/>
    </row>
    <row r="349" spans="2:25" hidden="1" outlineLevel="1">
      <c r="B349" s="735"/>
      <c r="C349" s="740" t="s">
        <v>309</v>
      </c>
      <c r="D349" s="716">
        <f t="shared" si="41"/>
        <v>19</v>
      </c>
      <c r="E349" s="826"/>
      <c r="F349" s="826"/>
      <c r="G349" s="826"/>
      <c r="H349" s="826"/>
      <c r="I349" s="826"/>
      <c r="J349" s="826"/>
      <c r="K349" s="826"/>
      <c r="L349" s="826"/>
      <c r="M349" s="826"/>
      <c r="N349" s="826"/>
      <c r="O349" s="826"/>
      <c r="P349" s="826"/>
      <c r="Q349" s="826"/>
      <c r="T349" s="826"/>
      <c r="U349" s="826"/>
      <c r="V349" s="826"/>
      <c r="W349" s="826"/>
      <c r="X349" s="826"/>
      <c r="Y349" s="826"/>
    </row>
    <row r="350" spans="2:25" hidden="1" outlineLevel="1">
      <c r="B350" s="735"/>
      <c r="C350" s="740" t="s">
        <v>309</v>
      </c>
      <c r="D350" s="716">
        <f t="shared" si="41"/>
        <v>20</v>
      </c>
      <c r="E350" s="826"/>
      <c r="F350" s="826"/>
      <c r="G350" s="826"/>
      <c r="H350" s="826"/>
      <c r="I350" s="826"/>
      <c r="J350" s="826"/>
      <c r="K350" s="826"/>
      <c r="L350" s="826"/>
      <c r="M350" s="826"/>
      <c r="N350" s="826"/>
      <c r="O350" s="826"/>
      <c r="P350" s="826"/>
      <c r="Q350" s="826"/>
      <c r="T350" s="826"/>
      <c r="U350" s="826"/>
      <c r="V350" s="826"/>
      <c r="W350" s="826"/>
      <c r="X350" s="826"/>
      <c r="Y350" s="826"/>
    </row>
    <row r="351" spans="2:25" hidden="1" outlineLevel="1">
      <c r="B351" s="735"/>
      <c r="C351" s="740" t="s">
        <v>309</v>
      </c>
      <c r="D351" s="716">
        <f t="shared" si="41"/>
        <v>21</v>
      </c>
      <c r="E351" s="826"/>
      <c r="F351" s="826"/>
      <c r="G351" s="826"/>
      <c r="H351" s="826"/>
      <c r="I351" s="826"/>
      <c r="J351" s="826"/>
      <c r="K351" s="826"/>
      <c r="L351" s="826"/>
      <c r="M351" s="826"/>
      <c r="N351" s="826"/>
      <c r="O351" s="826"/>
      <c r="P351" s="826"/>
      <c r="Q351" s="826"/>
      <c r="T351" s="826"/>
      <c r="U351" s="826"/>
      <c r="V351" s="826"/>
      <c r="W351" s="826"/>
      <c r="X351" s="826"/>
      <c r="Y351" s="826"/>
    </row>
    <row r="352" spans="2:25" hidden="1" outlineLevel="1">
      <c r="B352" s="735"/>
      <c r="C352" s="740" t="s">
        <v>309</v>
      </c>
      <c r="D352" s="716">
        <f t="shared" si="41"/>
        <v>22</v>
      </c>
      <c r="E352" s="826"/>
      <c r="F352" s="826"/>
      <c r="G352" s="826"/>
      <c r="H352" s="826"/>
      <c r="I352" s="826"/>
      <c r="J352" s="826"/>
      <c r="K352" s="826"/>
      <c r="L352" s="826"/>
      <c r="M352" s="826"/>
      <c r="N352" s="826"/>
      <c r="O352" s="826"/>
      <c r="P352" s="826"/>
      <c r="Q352" s="826"/>
      <c r="T352" s="826"/>
      <c r="U352" s="826"/>
      <c r="V352" s="826"/>
      <c r="W352" s="826"/>
      <c r="X352" s="826"/>
      <c r="Y352" s="826"/>
    </row>
    <row r="353" spans="2:25" hidden="1" outlineLevel="1">
      <c r="B353" s="735"/>
      <c r="C353" s="740" t="s">
        <v>309</v>
      </c>
      <c r="D353" s="716">
        <f t="shared" si="41"/>
        <v>23</v>
      </c>
      <c r="E353" s="826"/>
      <c r="F353" s="826"/>
      <c r="G353" s="826"/>
      <c r="H353" s="826"/>
      <c r="I353" s="826"/>
      <c r="J353" s="826"/>
      <c r="K353" s="826"/>
      <c r="L353" s="826"/>
      <c r="M353" s="826"/>
      <c r="N353" s="826"/>
      <c r="O353" s="826"/>
      <c r="P353" s="826"/>
      <c r="Q353" s="826"/>
      <c r="T353" s="826"/>
      <c r="U353" s="826"/>
      <c r="V353" s="826"/>
      <c r="W353" s="826"/>
      <c r="X353" s="826"/>
      <c r="Y353" s="826"/>
    </row>
    <row r="354" spans="2:25" hidden="1" outlineLevel="1">
      <c r="B354" s="735"/>
      <c r="C354" s="740" t="s">
        <v>309</v>
      </c>
      <c r="D354" s="716">
        <f t="shared" si="41"/>
        <v>24</v>
      </c>
      <c r="E354" s="826"/>
      <c r="F354" s="826"/>
      <c r="G354" s="826"/>
      <c r="H354" s="826"/>
      <c r="I354" s="826"/>
      <c r="J354" s="826"/>
      <c r="K354" s="826"/>
      <c r="L354" s="826"/>
      <c r="M354" s="826"/>
      <c r="N354" s="826"/>
      <c r="O354" s="826"/>
      <c r="P354" s="826"/>
      <c r="Q354" s="826"/>
      <c r="T354" s="826"/>
      <c r="U354" s="826"/>
      <c r="V354" s="826"/>
      <c r="W354" s="826"/>
      <c r="X354" s="826"/>
      <c r="Y354" s="826"/>
    </row>
    <row r="355" spans="2:25" hidden="1" outlineLevel="1">
      <c r="B355" s="735" t="s">
        <v>540</v>
      </c>
      <c r="C355" s="1359"/>
      <c r="D355" s="1360"/>
      <c r="E355" s="826"/>
      <c r="F355" s="826"/>
      <c r="G355" s="826"/>
      <c r="H355" s="826"/>
      <c r="I355" s="826"/>
      <c r="J355" s="826"/>
      <c r="K355" s="826"/>
      <c r="L355" s="826"/>
      <c r="M355" s="826"/>
      <c r="N355" s="826"/>
      <c r="O355" s="826"/>
      <c r="P355" s="826"/>
      <c r="Q355" s="826"/>
      <c r="T355" s="826"/>
      <c r="U355" s="826"/>
      <c r="V355" s="826"/>
      <c r="W355" s="826"/>
      <c r="X355" s="826"/>
      <c r="Y355" s="826"/>
    </row>
    <row r="356" spans="2:25" hidden="1" outlineLevel="1">
      <c r="E356" s="828"/>
      <c r="F356" s="828"/>
      <c r="G356" s="828"/>
      <c r="H356" s="828"/>
      <c r="I356" s="828"/>
      <c r="J356" s="828"/>
      <c r="K356" s="828"/>
      <c r="L356" s="828"/>
      <c r="M356" s="828"/>
      <c r="N356" s="828"/>
      <c r="O356" s="828"/>
      <c r="P356" s="828"/>
      <c r="Q356" s="828"/>
      <c r="T356" s="961"/>
      <c r="U356" s="961"/>
      <c r="V356" s="961"/>
      <c r="W356" s="961"/>
      <c r="X356" s="961"/>
      <c r="Y356" s="961"/>
    </row>
    <row r="357" spans="2:25" hidden="1" outlineLevel="1">
      <c r="B357" s="803" t="s">
        <v>578</v>
      </c>
      <c r="D357" s="749"/>
      <c r="E357" s="750"/>
      <c r="F357" s="750"/>
      <c r="G357" s="750"/>
      <c r="H357" s="750"/>
      <c r="I357" s="750"/>
      <c r="J357" s="750"/>
      <c r="K357" s="750"/>
      <c r="L357" s="750"/>
      <c r="M357" s="750"/>
      <c r="N357" s="750"/>
      <c r="O357" s="750"/>
      <c r="P357" s="750"/>
      <c r="Q357" s="750"/>
      <c r="T357" s="953"/>
      <c r="U357" s="953"/>
      <c r="V357" s="953"/>
      <c r="W357" s="953"/>
      <c r="X357" s="953"/>
      <c r="Y357" s="953"/>
    </row>
    <row r="358" spans="2:25" ht="16.5" hidden="1" customHeight="1" outlineLevel="1">
      <c r="B358" s="735" t="s">
        <v>487</v>
      </c>
      <c r="C358" s="760"/>
      <c r="D358" s="759"/>
      <c r="E358" s="801" t="s">
        <v>545</v>
      </c>
      <c r="F358" s="801" t="s">
        <v>545</v>
      </c>
      <c r="G358" s="801" t="s">
        <v>545</v>
      </c>
      <c r="H358" s="801" t="s">
        <v>545</v>
      </c>
      <c r="I358" s="801" t="s">
        <v>545</v>
      </c>
      <c r="J358" s="801" t="s">
        <v>545</v>
      </c>
      <c r="K358" s="801" t="s">
        <v>545</v>
      </c>
      <c r="L358" s="801" t="s">
        <v>545</v>
      </c>
      <c r="M358" s="801" t="s">
        <v>545</v>
      </c>
      <c r="N358" s="801" t="s">
        <v>545</v>
      </c>
      <c r="O358" s="801" t="s">
        <v>545</v>
      </c>
      <c r="P358" s="801" t="s">
        <v>545</v>
      </c>
      <c r="Q358" s="801" t="s">
        <v>545</v>
      </c>
      <c r="T358" s="801" t="s">
        <v>545</v>
      </c>
      <c r="U358" s="801" t="s">
        <v>545</v>
      </c>
      <c r="V358" s="801" t="s">
        <v>545</v>
      </c>
      <c r="W358" s="801" t="s">
        <v>545</v>
      </c>
      <c r="X358" s="801" t="s">
        <v>545</v>
      </c>
      <c r="Y358" s="801" t="s">
        <v>545</v>
      </c>
    </row>
    <row r="359" spans="2:25" hidden="1" outlineLevel="1">
      <c r="B359" s="735" t="s">
        <v>528</v>
      </c>
      <c r="D359" s="813" t="s">
        <v>567</v>
      </c>
      <c r="E359" s="829">
        <f>+'[6]입력 시트(0124)'!E366</f>
        <v>0</v>
      </c>
      <c r="F359" s="829">
        <f>+'[6]입력 시트(0124)'!F366</f>
        <v>0</v>
      </c>
      <c r="G359" s="829">
        <f>+'[6]입력 시트(0124)'!G366</f>
        <v>0</v>
      </c>
      <c r="H359" s="829">
        <f>+'[6]입력 시트(0124)'!H366</f>
        <v>0</v>
      </c>
      <c r="I359" s="829">
        <f>+'[6]입력 시트(0124)'!I366</f>
        <v>0</v>
      </c>
      <c r="J359" s="829">
        <v>0</v>
      </c>
      <c r="K359" s="829">
        <v>0</v>
      </c>
      <c r="L359" s="829">
        <v>0</v>
      </c>
      <c r="M359" s="829">
        <v>0</v>
      </c>
      <c r="N359" s="829">
        <v>0</v>
      </c>
      <c r="O359" s="829">
        <v>0</v>
      </c>
      <c r="P359" s="829">
        <v>0</v>
      </c>
      <c r="Q359" s="829">
        <v>0</v>
      </c>
      <c r="T359" s="829" t="e">
        <f>+'[6]입력 시트(0124)'!T366</f>
        <v>#REF!</v>
      </c>
      <c r="U359" s="829" t="e">
        <f>+'[6]입력 시트(0124)'!U366</f>
        <v>#REF!</v>
      </c>
      <c r="V359" s="829" t="e">
        <f>+'[6]입력 시트(0124)'!V366</f>
        <v>#REF!</v>
      </c>
      <c r="W359" s="829" t="e">
        <f>+'[6]입력 시트(0124)'!W366</f>
        <v>#REF!</v>
      </c>
      <c r="X359" s="829" t="e">
        <f>+'[6]입력 시트(0124)'!X366</f>
        <v>#REF!</v>
      </c>
      <c r="Y359" s="829">
        <v>0</v>
      </c>
    </row>
    <row r="360" spans="2:25" ht="16.5" hidden="1" customHeight="1" outlineLevel="1">
      <c r="B360" s="735" t="s">
        <v>542</v>
      </c>
      <c r="D360" s="721" t="s">
        <v>533</v>
      </c>
      <c r="E360" s="822">
        <v>0</v>
      </c>
      <c r="F360" s="822">
        <v>0</v>
      </c>
      <c r="G360" s="822">
        <v>0</v>
      </c>
      <c r="H360" s="822">
        <v>0</v>
      </c>
      <c r="I360" s="822">
        <v>0</v>
      </c>
      <c r="J360" s="822">
        <v>0</v>
      </c>
      <c r="K360" s="822">
        <v>0</v>
      </c>
      <c r="L360" s="822">
        <v>0</v>
      </c>
      <c r="M360" s="822">
        <v>0</v>
      </c>
      <c r="N360" s="822">
        <v>0</v>
      </c>
      <c r="O360" s="822">
        <v>0</v>
      </c>
      <c r="P360" s="822">
        <v>0</v>
      </c>
      <c r="Q360" s="822">
        <v>0</v>
      </c>
      <c r="T360" s="822">
        <v>0</v>
      </c>
      <c r="U360" s="822">
        <v>0</v>
      </c>
      <c r="V360" s="822">
        <v>0</v>
      </c>
      <c r="W360" s="822">
        <v>0</v>
      </c>
      <c r="X360" s="822">
        <v>0</v>
      </c>
      <c r="Y360" s="822">
        <v>0</v>
      </c>
    </row>
    <row r="361" spans="2:25" ht="16.5" hidden="1" customHeight="1" outlineLevel="1">
      <c r="B361" s="735" t="s">
        <v>534</v>
      </c>
      <c r="D361" s="721" t="s">
        <v>301</v>
      </c>
      <c r="E361" s="823"/>
      <c r="F361" s="823"/>
      <c r="G361" s="823"/>
      <c r="H361" s="823"/>
      <c r="I361" s="823"/>
      <c r="J361" s="823"/>
      <c r="K361" s="823"/>
      <c r="L361" s="823"/>
      <c r="M361" s="823"/>
      <c r="N361" s="823"/>
      <c r="O361" s="823"/>
      <c r="P361" s="823"/>
      <c r="Q361" s="823"/>
      <c r="T361" s="823"/>
      <c r="U361" s="823"/>
      <c r="V361" s="823"/>
      <c r="W361" s="823"/>
      <c r="X361" s="823"/>
      <c r="Y361" s="823"/>
    </row>
    <row r="362" spans="2:25" ht="16.5" hidden="1" customHeight="1" outlineLevel="1">
      <c r="B362" s="735" t="s">
        <v>536</v>
      </c>
      <c r="D362" s="721" t="s">
        <v>309</v>
      </c>
      <c r="E362" s="824"/>
      <c r="F362" s="824"/>
      <c r="G362" s="824"/>
      <c r="H362" s="824"/>
      <c r="I362" s="824"/>
      <c r="J362" s="824"/>
      <c r="K362" s="824"/>
      <c r="L362" s="824"/>
      <c r="M362" s="824"/>
      <c r="N362" s="824"/>
      <c r="O362" s="824"/>
      <c r="P362" s="824"/>
      <c r="Q362" s="824"/>
      <c r="T362" s="824"/>
      <c r="U362" s="824"/>
      <c r="V362" s="824"/>
      <c r="W362" s="824"/>
      <c r="X362" s="824"/>
      <c r="Y362" s="824"/>
    </row>
    <row r="363" spans="2:25" hidden="1" outlineLevel="1">
      <c r="B363" s="735" t="s">
        <v>568</v>
      </c>
      <c r="C363" s="740" t="s">
        <v>569</v>
      </c>
      <c r="D363" s="716">
        <v>1</v>
      </c>
      <c r="E363" s="824">
        <f>+'[6]입력 시트(0124)'!E370</f>
        <v>1</v>
      </c>
      <c r="F363" s="824">
        <f>+'[6]입력 시트(0124)'!F370</f>
        <v>1</v>
      </c>
      <c r="G363" s="824">
        <f>+'[6]입력 시트(0124)'!G370</f>
        <v>1</v>
      </c>
      <c r="H363" s="824">
        <f>+'[6]입력 시트(0124)'!H370</f>
        <v>1</v>
      </c>
      <c r="I363" s="824">
        <f>+'[6]입력 시트(0124)'!I370</f>
        <v>1</v>
      </c>
      <c r="J363" s="824">
        <f>+'[6]입력 시트(0124)'!F370</f>
        <v>1</v>
      </c>
      <c r="K363" s="824">
        <f>+'[6]입력 시트(0124)'!G370</f>
        <v>1</v>
      </c>
      <c r="L363" s="824">
        <f>+'[6]입력 시트(0124)'!H370</f>
        <v>1</v>
      </c>
      <c r="M363" s="824">
        <f>+'[6]입력 시트(0124)'!I370</f>
        <v>1</v>
      </c>
      <c r="N363" s="824">
        <v>1</v>
      </c>
      <c r="O363" s="824">
        <v>1</v>
      </c>
      <c r="P363" s="824">
        <v>1</v>
      </c>
      <c r="Q363" s="824">
        <v>1</v>
      </c>
      <c r="T363" s="824" t="e">
        <f>+'[6]입력 시트(0124)'!T370</f>
        <v>#REF!</v>
      </c>
      <c r="U363" s="824" t="e">
        <f>+'[6]입력 시트(0124)'!U370</f>
        <v>#REF!</v>
      </c>
      <c r="V363" s="824" t="e">
        <f>+'[6]입력 시트(0124)'!V370</f>
        <v>#REF!</v>
      </c>
      <c r="W363" s="824" t="e">
        <f>+'[6]입력 시트(0124)'!W370</f>
        <v>#REF!</v>
      </c>
      <c r="X363" s="824" t="e">
        <f>+'[6]입력 시트(0124)'!X370</f>
        <v>#REF!</v>
      </c>
      <c r="Y363" s="824" t="e">
        <f>+'[6]입력 시트(0124)'!U370</f>
        <v>#REF!</v>
      </c>
    </row>
    <row r="364" spans="2:25" hidden="1" outlineLevel="1">
      <c r="B364" s="735"/>
      <c r="C364" s="740" t="s">
        <v>309</v>
      </c>
      <c r="D364" s="716">
        <f t="shared" ref="D364:D386" si="42">+D363+1</f>
        <v>2</v>
      </c>
      <c r="E364" s="825"/>
      <c r="F364" s="825"/>
      <c r="G364" s="825"/>
      <c r="H364" s="825"/>
      <c r="I364" s="825"/>
      <c r="J364" s="825"/>
      <c r="K364" s="825"/>
      <c r="L364" s="825"/>
      <c r="M364" s="825"/>
      <c r="N364" s="825"/>
      <c r="O364" s="825"/>
      <c r="P364" s="825"/>
      <c r="Q364" s="825"/>
      <c r="T364" s="825"/>
      <c r="U364" s="825"/>
      <c r="V364" s="825"/>
      <c r="W364" s="825"/>
      <c r="X364" s="825"/>
      <c r="Y364" s="825"/>
    </row>
    <row r="365" spans="2:25" hidden="1" outlineLevel="1">
      <c r="B365" s="735"/>
      <c r="C365" s="740" t="s">
        <v>309</v>
      </c>
      <c r="D365" s="716">
        <f t="shared" si="42"/>
        <v>3</v>
      </c>
      <c r="E365" s="825"/>
      <c r="F365" s="825"/>
      <c r="G365" s="825"/>
      <c r="H365" s="825"/>
      <c r="I365" s="825"/>
      <c r="J365" s="825"/>
      <c r="K365" s="825"/>
      <c r="L365" s="825"/>
      <c r="M365" s="825"/>
      <c r="N365" s="825"/>
      <c r="O365" s="825"/>
      <c r="P365" s="825"/>
      <c r="Q365" s="825"/>
      <c r="T365" s="825"/>
      <c r="U365" s="825"/>
      <c r="V365" s="825"/>
      <c r="W365" s="825"/>
      <c r="X365" s="825"/>
      <c r="Y365" s="825"/>
    </row>
    <row r="366" spans="2:25" hidden="1" outlineLevel="1">
      <c r="B366" s="735"/>
      <c r="C366" s="740" t="s">
        <v>309</v>
      </c>
      <c r="D366" s="716">
        <f t="shared" si="42"/>
        <v>4</v>
      </c>
      <c r="E366" s="825"/>
      <c r="F366" s="825"/>
      <c r="G366" s="825"/>
      <c r="H366" s="825"/>
      <c r="I366" s="825"/>
      <c r="J366" s="825"/>
      <c r="K366" s="825"/>
      <c r="L366" s="825"/>
      <c r="M366" s="825"/>
      <c r="N366" s="825"/>
      <c r="O366" s="825"/>
      <c r="P366" s="825"/>
      <c r="Q366" s="825"/>
      <c r="T366" s="825"/>
      <c r="U366" s="825"/>
      <c r="V366" s="825"/>
      <c r="W366" s="825"/>
      <c r="X366" s="825"/>
      <c r="Y366" s="825"/>
    </row>
    <row r="367" spans="2:25" hidden="1" outlineLevel="1">
      <c r="B367" s="735"/>
      <c r="C367" s="740" t="s">
        <v>309</v>
      </c>
      <c r="D367" s="716">
        <f t="shared" si="42"/>
        <v>5</v>
      </c>
      <c r="E367" s="825"/>
      <c r="F367" s="825"/>
      <c r="G367" s="825"/>
      <c r="H367" s="825"/>
      <c r="I367" s="825"/>
      <c r="J367" s="825"/>
      <c r="K367" s="825"/>
      <c r="L367" s="825"/>
      <c r="M367" s="825"/>
      <c r="N367" s="825"/>
      <c r="O367" s="825"/>
      <c r="P367" s="825"/>
      <c r="Q367" s="825"/>
      <c r="T367" s="825"/>
      <c r="U367" s="825"/>
      <c r="V367" s="825"/>
      <c r="W367" s="825"/>
      <c r="X367" s="825"/>
      <c r="Y367" s="825"/>
    </row>
    <row r="368" spans="2:25" hidden="1" outlineLevel="1">
      <c r="B368" s="735"/>
      <c r="C368" s="740" t="s">
        <v>309</v>
      </c>
      <c r="D368" s="716">
        <f t="shared" si="42"/>
        <v>6</v>
      </c>
      <c r="E368" s="825"/>
      <c r="F368" s="825"/>
      <c r="G368" s="825"/>
      <c r="H368" s="825"/>
      <c r="I368" s="825"/>
      <c r="J368" s="825"/>
      <c r="K368" s="825"/>
      <c r="L368" s="825"/>
      <c r="M368" s="825"/>
      <c r="N368" s="825"/>
      <c r="O368" s="825"/>
      <c r="P368" s="825"/>
      <c r="Q368" s="825"/>
      <c r="T368" s="825"/>
      <c r="U368" s="825"/>
      <c r="V368" s="825"/>
      <c r="W368" s="825"/>
      <c r="X368" s="825"/>
      <c r="Y368" s="825"/>
    </row>
    <row r="369" spans="2:25" hidden="1" outlineLevel="1">
      <c r="B369" s="735"/>
      <c r="C369" s="740" t="s">
        <v>309</v>
      </c>
      <c r="D369" s="716">
        <f t="shared" si="42"/>
        <v>7</v>
      </c>
      <c r="E369" s="825"/>
      <c r="F369" s="825"/>
      <c r="G369" s="825"/>
      <c r="H369" s="825"/>
      <c r="I369" s="825"/>
      <c r="J369" s="825"/>
      <c r="K369" s="825"/>
      <c r="L369" s="825"/>
      <c r="M369" s="825"/>
      <c r="N369" s="825"/>
      <c r="O369" s="825"/>
      <c r="P369" s="825"/>
      <c r="Q369" s="825"/>
      <c r="T369" s="825"/>
      <c r="U369" s="825"/>
      <c r="V369" s="825"/>
      <c r="W369" s="825"/>
      <c r="X369" s="825"/>
      <c r="Y369" s="825"/>
    </row>
    <row r="370" spans="2:25" hidden="1" outlineLevel="1">
      <c r="B370" s="735"/>
      <c r="C370" s="740" t="s">
        <v>309</v>
      </c>
      <c r="D370" s="716">
        <f t="shared" si="42"/>
        <v>8</v>
      </c>
      <c r="E370" s="825"/>
      <c r="F370" s="825"/>
      <c r="G370" s="825"/>
      <c r="H370" s="825"/>
      <c r="I370" s="825"/>
      <c r="J370" s="825"/>
      <c r="K370" s="825"/>
      <c r="L370" s="825"/>
      <c r="M370" s="825"/>
      <c r="N370" s="825"/>
      <c r="O370" s="825"/>
      <c r="P370" s="825"/>
      <c r="Q370" s="825"/>
      <c r="T370" s="825"/>
      <c r="U370" s="825"/>
      <c r="V370" s="825"/>
      <c r="W370" s="825"/>
      <c r="X370" s="825"/>
      <c r="Y370" s="825"/>
    </row>
    <row r="371" spans="2:25" hidden="1" outlineLevel="1">
      <c r="B371" s="735"/>
      <c r="C371" s="740" t="s">
        <v>309</v>
      </c>
      <c r="D371" s="716">
        <f t="shared" si="42"/>
        <v>9</v>
      </c>
      <c r="E371" s="825"/>
      <c r="F371" s="825"/>
      <c r="G371" s="825"/>
      <c r="H371" s="825"/>
      <c r="I371" s="825"/>
      <c r="J371" s="825"/>
      <c r="K371" s="825"/>
      <c r="L371" s="825"/>
      <c r="M371" s="825"/>
      <c r="N371" s="825"/>
      <c r="O371" s="825"/>
      <c r="P371" s="825"/>
      <c r="Q371" s="825"/>
      <c r="T371" s="825"/>
      <c r="U371" s="825"/>
      <c r="V371" s="825"/>
      <c r="W371" s="825"/>
      <c r="X371" s="825"/>
      <c r="Y371" s="825"/>
    </row>
    <row r="372" spans="2:25" hidden="1" outlineLevel="1">
      <c r="B372" s="735"/>
      <c r="C372" s="740" t="s">
        <v>309</v>
      </c>
      <c r="D372" s="716">
        <f t="shared" si="42"/>
        <v>10</v>
      </c>
      <c r="E372" s="825"/>
      <c r="F372" s="825"/>
      <c r="G372" s="825"/>
      <c r="H372" s="825"/>
      <c r="I372" s="825"/>
      <c r="J372" s="825"/>
      <c r="K372" s="825"/>
      <c r="L372" s="825"/>
      <c r="M372" s="825"/>
      <c r="N372" s="825"/>
      <c r="O372" s="825"/>
      <c r="P372" s="825"/>
      <c r="Q372" s="825"/>
      <c r="T372" s="825"/>
      <c r="U372" s="825"/>
      <c r="V372" s="825"/>
      <c r="W372" s="825"/>
      <c r="X372" s="825"/>
      <c r="Y372" s="825"/>
    </row>
    <row r="373" spans="2:25" hidden="1" outlineLevel="1">
      <c r="B373" s="735"/>
      <c r="C373" s="740" t="s">
        <v>309</v>
      </c>
      <c r="D373" s="716">
        <f t="shared" si="42"/>
        <v>11</v>
      </c>
      <c r="E373" s="825"/>
      <c r="F373" s="825"/>
      <c r="G373" s="825"/>
      <c r="H373" s="825"/>
      <c r="I373" s="825"/>
      <c r="J373" s="825"/>
      <c r="K373" s="825"/>
      <c r="L373" s="825"/>
      <c r="M373" s="825"/>
      <c r="N373" s="825"/>
      <c r="O373" s="825"/>
      <c r="P373" s="825"/>
      <c r="Q373" s="825"/>
      <c r="T373" s="825"/>
      <c r="U373" s="825"/>
      <c r="V373" s="825"/>
      <c r="W373" s="825"/>
      <c r="X373" s="825"/>
      <c r="Y373" s="825"/>
    </row>
    <row r="374" spans="2:25" hidden="1" outlineLevel="1">
      <c r="B374" s="735"/>
      <c r="C374" s="740" t="s">
        <v>309</v>
      </c>
      <c r="D374" s="716">
        <f t="shared" si="42"/>
        <v>12</v>
      </c>
      <c r="E374" s="825"/>
      <c r="F374" s="825"/>
      <c r="G374" s="825"/>
      <c r="H374" s="825"/>
      <c r="I374" s="825"/>
      <c r="J374" s="825"/>
      <c r="K374" s="825"/>
      <c r="L374" s="825"/>
      <c r="M374" s="825"/>
      <c r="N374" s="825"/>
      <c r="O374" s="825"/>
      <c r="P374" s="825"/>
      <c r="Q374" s="825"/>
      <c r="T374" s="825"/>
      <c r="U374" s="825"/>
      <c r="V374" s="825"/>
      <c r="W374" s="825"/>
      <c r="X374" s="825"/>
      <c r="Y374" s="825"/>
    </row>
    <row r="375" spans="2:25" hidden="1" outlineLevel="1">
      <c r="B375" s="735"/>
      <c r="C375" s="740" t="s">
        <v>309</v>
      </c>
      <c r="D375" s="716">
        <f t="shared" si="42"/>
        <v>13</v>
      </c>
      <c r="E375" s="826"/>
      <c r="F375" s="826"/>
      <c r="G375" s="826"/>
      <c r="H375" s="826"/>
      <c r="I375" s="826"/>
      <c r="J375" s="826"/>
      <c r="K375" s="826"/>
      <c r="L375" s="826"/>
      <c r="M375" s="826"/>
      <c r="N375" s="826"/>
      <c r="O375" s="826"/>
      <c r="P375" s="826"/>
      <c r="Q375" s="826"/>
      <c r="T375" s="826"/>
      <c r="U375" s="826"/>
      <c r="V375" s="826"/>
      <c r="W375" s="826"/>
      <c r="X375" s="826"/>
      <c r="Y375" s="826"/>
    </row>
    <row r="376" spans="2:25" hidden="1" outlineLevel="1">
      <c r="B376" s="735"/>
      <c r="C376" s="740" t="s">
        <v>309</v>
      </c>
      <c r="D376" s="716">
        <f t="shared" si="42"/>
        <v>14</v>
      </c>
      <c r="E376" s="826"/>
      <c r="F376" s="826"/>
      <c r="G376" s="826"/>
      <c r="H376" s="826"/>
      <c r="I376" s="826"/>
      <c r="J376" s="826"/>
      <c r="K376" s="826"/>
      <c r="L376" s="826"/>
      <c r="M376" s="826"/>
      <c r="N376" s="826"/>
      <c r="O376" s="826"/>
      <c r="P376" s="826"/>
      <c r="Q376" s="826"/>
      <c r="T376" s="826"/>
      <c r="U376" s="826"/>
      <c r="V376" s="826"/>
      <c r="W376" s="826"/>
      <c r="X376" s="826"/>
      <c r="Y376" s="826"/>
    </row>
    <row r="377" spans="2:25" hidden="1" outlineLevel="1">
      <c r="B377" s="735"/>
      <c r="C377" s="740" t="s">
        <v>309</v>
      </c>
      <c r="D377" s="716">
        <f t="shared" si="42"/>
        <v>15</v>
      </c>
      <c r="E377" s="826"/>
      <c r="F377" s="826"/>
      <c r="G377" s="826"/>
      <c r="H377" s="826"/>
      <c r="I377" s="826"/>
      <c r="J377" s="826"/>
      <c r="K377" s="826"/>
      <c r="L377" s="826"/>
      <c r="M377" s="826"/>
      <c r="N377" s="826"/>
      <c r="O377" s="826"/>
      <c r="P377" s="826"/>
      <c r="Q377" s="826"/>
      <c r="T377" s="826"/>
      <c r="U377" s="826"/>
      <c r="V377" s="826"/>
      <c r="W377" s="826"/>
      <c r="X377" s="826"/>
      <c r="Y377" s="826"/>
    </row>
    <row r="378" spans="2:25" hidden="1" outlineLevel="1">
      <c r="B378" s="735"/>
      <c r="C378" s="740" t="s">
        <v>309</v>
      </c>
      <c r="D378" s="716">
        <f t="shared" si="42"/>
        <v>16</v>
      </c>
      <c r="E378" s="826"/>
      <c r="F378" s="826"/>
      <c r="G378" s="826"/>
      <c r="H378" s="826"/>
      <c r="I378" s="826"/>
      <c r="J378" s="826"/>
      <c r="K378" s="826"/>
      <c r="L378" s="826"/>
      <c r="M378" s="826"/>
      <c r="N378" s="826"/>
      <c r="O378" s="826"/>
      <c r="P378" s="826"/>
      <c r="Q378" s="826"/>
      <c r="T378" s="826"/>
      <c r="U378" s="826"/>
      <c r="V378" s="826"/>
      <c r="W378" s="826"/>
      <c r="X378" s="826"/>
      <c r="Y378" s="826"/>
    </row>
    <row r="379" spans="2:25" hidden="1" outlineLevel="1">
      <c r="B379" s="735"/>
      <c r="C379" s="740" t="s">
        <v>309</v>
      </c>
      <c r="D379" s="716">
        <f t="shared" si="42"/>
        <v>17</v>
      </c>
      <c r="E379" s="826"/>
      <c r="F379" s="826"/>
      <c r="G379" s="826"/>
      <c r="H379" s="826"/>
      <c r="I379" s="826"/>
      <c r="J379" s="826"/>
      <c r="K379" s="826"/>
      <c r="L379" s="826"/>
      <c r="M379" s="826"/>
      <c r="N379" s="826"/>
      <c r="O379" s="826"/>
      <c r="P379" s="826"/>
      <c r="Q379" s="826"/>
      <c r="T379" s="826"/>
      <c r="U379" s="826"/>
      <c r="V379" s="826"/>
      <c r="W379" s="826"/>
      <c r="X379" s="826"/>
      <c r="Y379" s="826"/>
    </row>
    <row r="380" spans="2:25" hidden="1" outlineLevel="1">
      <c r="B380" s="735"/>
      <c r="C380" s="740" t="s">
        <v>309</v>
      </c>
      <c r="D380" s="716">
        <f t="shared" si="42"/>
        <v>18</v>
      </c>
      <c r="E380" s="826"/>
      <c r="F380" s="826"/>
      <c r="G380" s="826"/>
      <c r="H380" s="826"/>
      <c r="I380" s="826"/>
      <c r="J380" s="826"/>
      <c r="K380" s="826"/>
      <c r="L380" s="826"/>
      <c r="M380" s="826"/>
      <c r="N380" s="826"/>
      <c r="O380" s="826"/>
      <c r="P380" s="826"/>
      <c r="Q380" s="826"/>
      <c r="T380" s="826"/>
      <c r="U380" s="826"/>
      <c r="V380" s="826"/>
      <c r="W380" s="826"/>
      <c r="X380" s="826"/>
      <c r="Y380" s="826"/>
    </row>
    <row r="381" spans="2:25" hidden="1" outlineLevel="1">
      <c r="B381" s="735"/>
      <c r="C381" s="740" t="s">
        <v>309</v>
      </c>
      <c r="D381" s="716">
        <f t="shared" si="42"/>
        <v>19</v>
      </c>
      <c r="E381" s="826"/>
      <c r="F381" s="826"/>
      <c r="G381" s="826"/>
      <c r="H381" s="826"/>
      <c r="I381" s="826"/>
      <c r="J381" s="826"/>
      <c r="K381" s="826"/>
      <c r="L381" s="826"/>
      <c r="M381" s="826"/>
      <c r="N381" s="826"/>
      <c r="O381" s="826"/>
      <c r="P381" s="826"/>
      <c r="Q381" s="826"/>
      <c r="T381" s="826"/>
      <c r="U381" s="826"/>
      <c r="V381" s="826"/>
      <c r="W381" s="826"/>
      <c r="X381" s="826"/>
      <c r="Y381" s="826"/>
    </row>
    <row r="382" spans="2:25" hidden="1" outlineLevel="1">
      <c r="B382" s="735"/>
      <c r="C382" s="740" t="s">
        <v>309</v>
      </c>
      <c r="D382" s="716">
        <f t="shared" si="42"/>
        <v>20</v>
      </c>
      <c r="E382" s="826"/>
      <c r="F382" s="826"/>
      <c r="G382" s="826"/>
      <c r="H382" s="826"/>
      <c r="I382" s="826"/>
      <c r="J382" s="826"/>
      <c r="K382" s="826"/>
      <c r="L382" s="826"/>
      <c r="M382" s="826"/>
      <c r="N382" s="826"/>
      <c r="O382" s="826"/>
      <c r="P382" s="826"/>
      <c r="Q382" s="826"/>
      <c r="T382" s="826"/>
      <c r="U382" s="826"/>
      <c r="V382" s="826"/>
      <c r="W382" s="826"/>
      <c r="X382" s="826"/>
      <c r="Y382" s="826"/>
    </row>
    <row r="383" spans="2:25" hidden="1" outlineLevel="1">
      <c r="B383" s="735"/>
      <c r="C383" s="740" t="s">
        <v>309</v>
      </c>
      <c r="D383" s="716">
        <f t="shared" si="42"/>
        <v>21</v>
      </c>
      <c r="E383" s="826"/>
      <c r="F383" s="826"/>
      <c r="G383" s="826"/>
      <c r="H383" s="826"/>
      <c r="I383" s="826"/>
      <c r="J383" s="826"/>
      <c r="K383" s="826"/>
      <c r="L383" s="826"/>
      <c r="M383" s="826"/>
      <c r="N383" s="826"/>
      <c r="O383" s="826"/>
      <c r="P383" s="826"/>
      <c r="Q383" s="826"/>
      <c r="T383" s="826"/>
      <c r="U383" s="826"/>
      <c r="V383" s="826"/>
      <c r="W383" s="826"/>
      <c r="X383" s="826"/>
      <c r="Y383" s="826"/>
    </row>
    <row r="384" spans="2:25" hidden="1" outlineLevel="1">
      <c r="B384" s="735"/>
      <c r="C384" s="740" t="s">
        <v>309</v>
      </c>
      <c r="D384" s="716">
        <f t="shared" si="42"/>
        <v>22</v>
      </c>
      <c r="E384" s="826"/>
      <c r="F384" s="826"/>
      <c r="G384" s="826"/>
      <c r="H384" s="826"/>
      <c r="I384" s="826"/>
      <c r="J384" s="826"/>
      <c r="K384" s="826"/>
      <c r="L384" s="826"/>
      <c r="M384" s="826"/>
      <c r="N384" s="826"/>
      <c r="O384" s="826"/>
      <c r="P384" s="826"/>
      <c r="Q384" s="826"/>
      <c r="T384" s="826"/>
      <c r="U384" s="826"/>
      <c r="V384" s="826"/>
      <c r="W384" s="826"/>
      <c r="X384" s="826"/>
      <c r="Y384" s="826"/>
    </row>
    <row r="385" spans="2:25" hidden="1" outlineLevel="1">
      <c r="B385" s="735"/>
      <c r="C385" s="740" t="s">
        <v>309</v>
      </c>
      <c r="D385" s="716">
        <f t="shared" si="42"/>
        <v>23</v>
      </c>
      <c r="E385" s="826"/>
      <c r="F385" s="826"/>
      <c r="G385" s="826"/>
      <c r="H385" s="826"/>
      <c r="I385" s="826"/>
      <c r="J385" s="826"/>
      <c r="K385" s="826"/>
      <c r="L385" s="826"/>
      <c r="M385" s="826"/>
      <c r="N385" s="826"/>
      <c r="O385" s="826"/>
      <c r="P385" s="826"/>
      <c r="Q385" s="826"/>
      <c r="T385" s="826"/>
      <c r="U385" s="826"/>
      <c r="V385" s="826"/>
      <c r="W385" s="826"/>
      <c r="X385" s="826"/>
      <c r="Y385" s="826"/>
    </row>
    <row r="386" spans="2:25" hidden="1" outlineLevel="1">
      <c r="B386" s="735"/>
      <c r="C386" s="740" t="s">
        <v>309</v>
      </c>
      <c r="D386" s="716">
        <f t="shared" si="42"/>
        <v>24</v>
      </c>
      <c r="E386" s="826"/>
      <c r="F386" s="826"/>
      <c r="G386" s="826"/>
      <c r="H386" s="826"/>
      <c r="I386" s="826"/>
      <c r="J386" s="826"/>
      <c r="K386" s="826"/>
      <c r="L386" s="826"/>
      <c r="M386" s="826"/>
      <c r="N386" s="826"/>
      <c r="O386" s="826"/>
      <c r="P386" s="826"/>
      <c r="Q386" s="826"/>
      <c r="T386" s="826"/>
      <c r="U386" s="826"/>
      <c r="V386" s="826"/>
      <c r="W386" s="826"/>
      <c r="X386" s="826"/>
      <c r="Y386" s="826"/>
    </row>
    <row r="387" spans="2:25" hidden="1" outlineLevel="1">
      <c r="B387" s="735" t="s">
        <v>540</v>
      </c>
      <c r="E387" s="830"/>
      <c r="F387" s="830"/>
      <c r="G387" s="830"/>
      <c r="H387" s="830"/>
      <c r="I387" s="830"/>
      <c r="J387" s="830"/>
      <c r="K387" s="830"/>
      <c r="L387" s="830"/>
      <c r="M387" s="830"/>
      <c r="N387" s="830"/>
      <c r="O387" s="830"/>
      <c r="P387" s="830"/>
      <c r="Q387" s="830"/>
      <c r="T387" s="962"/>
      <c r="U387" s="962"/>
      <c r="V387" s="962"/>
      <c r="W387" s="962"/>
      <c r="X387" s="962"/>
      <c r="Y387" s="962"/>
    </row>
    <row r="388" spans="2:25" outlineLevel="1">
      <c r="T388" s="777"/>
      <c r="U388" s="777"/>
      <c r="V388" s="777"/>
      <c r="W388" s="777"/>
      <c r="X388" s="777"/>
      <c r="Y388" s="777"/>
    </row>
    <row r="389" spans="2:25" hidden="1" outlineLevel="1">
      <c r="B389" s="803" t="s">
        <v>578</v>
      </c>
      <c r="D389" s="749"/>
      <c r="E389" s="750"/>
      <c r="F389" s="750"/>
      <c r="G389" s="750"/>
      <c r="H389" s="750"/>
      <c r="I389" s="750"/>
      <c r="J389" s="750"/>
      <c r="K389" s="750"/>
      <c r="L389" s="750"/>
      <c r="M389" s="750"/>
      <c r="N389" s="750"/>
      <c r="O389" s="750"/>
      <c r="P389" s="750"/>
      <c r="Q389" s="750"/>
      <c r="T389" s="953"/>
      <c r="U389" s="953"/>
      <c r="V389" s="953"/>
      <c r="W389" s="953"/>
      <c r="X389" s="953"/>
      <c r="Y389" s="953"/>
    </row>
    <row r="390" spans="2:25" ht="16.5" hidden="1" customHeight="1" outlineLevel="1">
      <c r="B390" s="735" t="s">
        <v>487</v>
      </c>
      <c r="C390" s="760"/>
      <c r="D390" s="759"/>
      <c r="E390" s="801" t="s">
        <v>545</v>
      </c>
      <c r="F390" s="801" t="s">
        <v>545</v>
      </c>
      <c r="G390" s="801" t="s">
        <v>545</v>
      </c>
      <c r="H390" s="801" t="s">
        <v>545</v>
      </c>
      <c r="I390" s="801" t="s">
        <v>545</v>
      </c>
      <c r="J390" s="801" t="s">
        <v>545</v>
      </c>
      <c r="K390" s="801" t="s">
        <v>545</v>
      </c>
      <c r="L390" s="801" t="s">
        <v>545</v>
      </c>
      <c r="M390" s="801" t="s">
        <v>545</v>
      </c>
      <c r="N390" s="801" t="s">
        <v>545</v>
      </c>
      <c r="O390" s="801" t="s">
        <v>545</v>
      </c>
      <c r="P390" s="801" t="s">
        <v>545</v>
      </c>
      <c r="Q390" s="801" t="s">
        <v>545</v>
      </c>
      <c r="T390" s="801" t="s">
        <v>545</v>
      </c>
      <c r="U390" s="801" t="s">
        <v>545</v>
      </c>
      <c r="V390" s="801" t="s">
        <v>545</v>
      </c>
      <c r="W390" s="801" t="s">
        <v>545</v>
      </c>
      <c r="X390" s="801" t="s">
        <v>545</v>
      </c>
      <c r="Y390" s="801" t="s">
        <v>545</v>
      </c>
    </row>
    <row r="391" spans="2:25" hidden="1" outlineLevel="1">
      <c r="B391" s="735" t="s">
        <v>528</v>
      </c>
      <c r="D391" s="813" t="s">
        <v>567</v>
      </c>
      <c r="E391" s="829">
        <f>+'[6]입력 시트(0124)'!E398</f>
        <v>0</v>
      </c>
      <c r="F391" s="829">
        <f>+'[6]입력 시트(0124)'!F398</f>
        <v>0</v>
      </c>
      <c r="G391" s="829">
        <f>+'[6]입력 시트(0124)'!G398</f>
        <v>0</v>
      </c>
      <c r="H391" s="829">
        <f>+'[6]입력 시트(0124)'!H398</f>
        <v>0</v>
      </c>
      <c r="I391" s="829">
        <f>+'[6]입력 시트(0124)'!I398</f>
        <v>0</v>
      </c>
      <c r="J391" s="829" t="e">
        <f>+'[6]입력 시트(0124)'!J398</f>
        <v>#REF!</v>
      </c>
      <c r="K391" s="829">
        <f>+'[6]입력 시트(0124)'!G398</f>
        <v>0</v>
      </c>
      <c r="L391" s="829">
        <f>+'[6]입력 시트(0124)'!H398</f>
        <v>0</v>
      </c>
      <c r="M391" s="829">
        <f>+'[6]입력 시트(0124)'!I398</f>
        <v>0</v>
      </c>
      <c r="N391" s="829" t="e">
        <f>+'[6]입력 시트(0124)'!N398</f>
        <v>#REF!</v>
      </c>
      <c r="O391" s="829" t="e">
        <f>+'[6]입력 시트(0124)'!O398</f>
        <v>#REF!</v>
      </c>
      <c r="P391" s="829" t="e">
        <f>+'[6]입력 시트(0124)'!P398</f>
        <v>#REF!</v>
      </c>
      <c r="Q391" s="829" t="e">
        <f>+'[6]입력 시트(0124)'!Q398</f>
        <v>#REF!</v>
      </c>
      <c r="T391" s="829" t="e">
        <f>+'[6]입력 시트(0124)'!T398</f>
        <v>#REF!</v>
      </c>
      <c r="U391" s="829" t="e">
        <f>+'[6]입력 시트(0124)'!U398</f>
        <v>#REF!</v>
      </c>
      <c r="V391" s="829" t="e">
        <f>+'[6]입력 시트(0124)'!V398</f>
        <v>#REF!</v>
      </c>
      <c r="W391" s="829" t="e">
        <f>+'[6]입력 시트(0124)'!W398</f>
        <v>#REF!</v>
      </c>
      <c r="X391" s="829" t="e">
        <f>+'[6]입력 시트(0124)'!X398</f>
        <v>#REF!</v>
      </c>
      <c r="Y391" s="829" t="e">
        <f>+'[6]입력 시트(0124)'!Y398</f>
        <v>#REF!</v>
      </c>
    </row>
    <row r="392" spans="2:25" ht="16.5" hidden="1" customHeight="1" outlineLevel="1">
      <c r="B392" s="735" t="s">
        <v>542</v>
      </c>
      <c r="D392" s="721" t="s">
        <v>533</v>
      </c>
      <c r="E392" s="822">
        <v>0</v>
      </c>
      <c r="F392" s="822">
        <v>0</v>
      </c>
      <c r="G392" s="822">
        <v>0</v>
      </c>
      <c r="H392" s="822">
        <v>0</v>
      </c>
      <c r="I392" s="822">
        <v>0</v>
      </c>
      <c r="J392" s="822">
        <v>0</v>
      </c>
      <c r="K392" s="822">
        <v>0</v>
      </c>
      <c r="L392" s="822">
        <v>0</v>
      </c>
      <c r="M392" s="822">
        <v>0</v>
      </c>
      <c r="N392" s="822">
        <v>0</v>
      </c>
      <c r="O392" s="822">
        <v>0</v>
      </c>
      <c r="P392" s="822">
        <v>0</v>
      </c>
      <c r="Q392" s="822">
        <v>0</v>
      </c>
      <c r="T392" s="822">
        <v>0</v>
      </c>
      <c r="U392" s="822">
        <v>0</v>
      </c>
      <c r="V392" s="822">
        <v>0</v>
      </c>
      <c r="W392" s="822">
        <v>0</v>
      </c>
      <c r="X392" s="822">
        <v>0</v>
      </c>
      <c r="Y392" s="822">
        <v>0</v>
      </c>
    </row>
    <row r="393" spans="2:25" ht="16.5" hidden="1" customHeight="1" outlineLevel="1">
      <c r="B393" s="735" t="s">
        <v>534</v>
      </c>
      <c r="D393" s="721" t="s">
        <v>301</v>
      </c>
      <c r="E393" s="823"/>
      <c r="F393" s="823"/>
      <c r="G393" s="823"/>
      <c r="H393" s="823"/>
      <c r="I393" s="823"/>
      <c r="J393" s="823"/>
      <c r="K393" s="823"/>
      <c r="L393" s="823"/>
      <c r="M393" s="823"/>
      <c r="N393" s="823"/>
      <c r="O393" s="823"/>
      <c r="P393" s="823"/>
      <c r="Q393" s="823"/>
      <c r="T393" s="823"/>
      <c r="U393" s="823"/>
      <c r="V393" s="823"/>
      <c r="W393" s="823"/>
      <c r="X393" s="823"/>
      <c r="Y393" s="823"/>
    </row>
    <row r="394" spans="2:25" ht="16.5" hidden="1" customHeight="1" outlineLevel="1">
      <c r="B394" s="735" t="s">
        <v>536</v>
      </c>
      <c r="D394" s="721" t="s">
        <v>309</v>
      </c>
      <c r="E394" s="824"/>
      <c r="F394" s="824"/>
      <c r="G394" s="824"/>
      <c r="H394" s="824"/>
      <c r="I394" s="824"/>
      <c r="J394" s="824"/>
      <c r="K394" s="824"/>
      <c r="L394" s="824"/>
      <c r="M394" s="824"/>
      <c r="N394" s="824"/>
      <c r="O394" s="824"/>
      <c r="P394" s="824"/>
      <c r="Q394" s="824"/>
      <c r="T394" s="824"/>
      <c r="U394" s="824"/>
      <c r="V394" s="824"/>
      <c r="W394" s="824"/>
      <c r="X394" s="824"/>
      <c r="Y394" s="824"/>
    </row>
    <row r="395" spans="2:25" hidden="1" outlineLevel="1">
      <c r="B395" s="716" t="s">
        <v>568</v>
      </c>
      <c r="C395" s="740" t="s">
        <v>569</v>
      </c>
      <c r="D395" s="716">
        <v>1</v>
      </c>
      <c r="E395" s="824">
        <f>+'[6]입력 시트(0124)'!E402</f>
        <v>0</v>
      </c>
      <c r="F395" s="824">
        <f>+'[6]입력 시트(0124)'!F402</f>
        <v>0</v>
      </c>
      <c r="G395" s="824">
        <f>+'[6]입력 시트(0124)'!G402</f>
        <v>0</v>
      </c>
      <c r="H395" s="824">
        <f>+'[6]입력 시트(0124)'!H402</f>
        <v>0</v>
      </c>
      <c r="I395" s="824">
        <f>+'[6]입력 시트(0124)'!I402</f>
        <v>0</v>
      </c>
      <c r="J395" s="824" t="e">
        <f>+'[6]입력 시트(0124)'!J402</f>
        <v>#REF!</v>
      </c>
      <c r="K395" s="824">
        <f>+'[6]입력 시트(0124)'!G402</f>
        <v>0</v>
      </c>
      <c r="L395" s="824">
        <f>+'[6]입력 시트(0124)'!H402</f>
        <v>0</v>
      </c>
      <c r="M395" s="824">
        <f>+'[6]입력 시트(0124)'!I402</f>
        <v>0</v>
      </c>
      <c r="N395" s="824" t="e">
        <f>+'[6]입력 시트(0124)'!N402</f>
        <v>#REF!</v>
      </c>
      <c r="O395" s="824" t="e">
        <f>+'[6]입력 시트(0124)'!O402</f>
        <v>#REF!</v>
      </c>
      <c r="P395" s="824" t="e">
        <f>+'[6]입력 시트(0124)'!P402</f>
        <v>#REF!</v>
      </c>
      <c r="Q395" s="824" t="e">
        <f>+'[6]입력 시트(0124)'!Q402</f>
        <v>#REF!</v>
      </c>
      <c r="T395" s="824" t="e">
        <f>+'[6]입력 시트(0124)'!T402</f>
        <v>#REF!</v>
      </c>
      <c r="U395" s="824" t="e">
        <f>+'[6]입력 시트(0124)'!U402</f>
        <v>#REF!</v>
      </c>
      <c r="V395" s="824" t="e">
        <f>+'[6]입력 시트(0124)'!V402</f>
        <v>#REF!</v>
      </c>
      <c r="W395" s="824" t="e">
        <f>+'[6]입력 시트(0124)'!W402</f>
        <v>#REF!</v>
      </c>
      <c r="X395" s="824" t="e">
        <f>+'[6]입력 시트(0124)'!X402</f>
        <v>#REF!</v>
      </c>
      <c r="Y395" s="824" t="e">
        <f>+'[6]입력 시트(0124)'!Y402</f>
        <v>#REF!</v>
      </c>
    </row>
    <row r="396" spans="2:25" hidden="1" outlineLevel="1">
      <c r="B396" s="735"/>
      <c r="C396" s="740" t="s">
        <v>309</v>
      </c>
      <c r="D396" s="716">
        <f>+D395+1</f>
        <v>2</v>
      </c>
      <c r="E396" s="824">
        <f>+'[6]입력 시트(0124)'!E403</f>
        <v>0</v>
      </c>
      <c r="F396" s="824">
        <f>+'[6]입력 시트(0124)'!F403</f>
        <v>0</v>
      </c>
      <c r="G396" s="824">
        <f>+'[6]입력 시트(0124)'!G403</f>
        <v>0</v>
      </c>
      <c r="H396" s="824">
        <f>+'[6]입력 시트(0124)'!H403</f>
        <v>0</v>
      </c>
      <c r="I396" s="824">
        <f>+'[6]입력 시트(0124)'!I403</f>
        <v>0</v>
      </c>
      <c r="J396" s="824" t="e">
        <f>+'[6]입력 시트(0124)'!J403</f>
        <v>#REF!</v>
      </c>
      <c r="K396" s="824">
        <f>+'[6]입력 시트(0124)'!G403</f>
        <v>0</v>
      </c>
      <c r="L396" s="824">
        <f>+'[6]입력 시트(0124)'!H403</f>
        <v>0</v>
      </c>
      <c r="M396" s="824">
        <f>+'[6]입력 시트(0124)'!I403</f>
        <v>0</v>
      </c>
      <c r="N396" s="824" t="e">
        <f>+'[6]입력 시트(0124)'!N403</f>
        <v>#REF!</v>
      </c>
      <c r="O396" s="824" t="e">
        <f>+'[6]입력 시트(0124)'!O403</f>
        <v>#REF!</v>
      </c>
      <c r="P396" s="824" t="e">
        <f>+'[6]입력 시트(0124)'!P403</f>
        <v>#REF!</v>
      </c>
      <c r="Q396" s="824" t="e">
        <f>+'[6]입력 시트(0124)'!Q403</f>
        <v>#REF!</v>
      </c>
      <c r="T396" s="824" t="e">
        <f>+'[6]입력 시트(0124)'!T403</f>
        <v>#REF!</v>
      </c>
      <c r="U396" s="824" t="e">
        <f>+'[6]입력 시트(0124)'!U403</f>
        <v>#REF!</v>
      </c>
      <c r="V396" s="824" t="e">
        <f>+'[6]입력 시트(0124)'!V403</f>
        <v>#REF!</v>
      </c>
      <c r="W396" s="824" t="e">
        <f>+'[6]입력 시트(0124)'!W403</f>
        <v>#REF!</v>
      </c>
      <c r="X396" s="824" t="e">
        <f>+'[6]입력 시트(0124)'!X403</f>
        <v>#REF!</v>
      </c>
      <c r="Y396" s="824" t="e">
        <f>+'[6]입력 시트(0124)'!Y403</f>
        <v>#REF!</v>
      </c>
    </row>
    <row r="397" spans="2:25" hidden="1" outlineLevel="1">
      <c r="B397" s="735"/>
      <c r="C397" s="740" t="s">
        <v>309</v>
      </c>
      <c r="D397" s="716">
        <f t="shared" ref="D397:D418" si="43">+D396+1</f>
        <v>3</v>
      </c>
      <c r="E397" s="824">
        <f>+'[6]입력 시트(0124)'!E404</f>
        <v>0</v>
      </c>
      <c r="F397" s="824">
        <f>+'[6]입력 시트(0124)'!F404</f>
        <v>0</v>
      </c>
      <c r="G397" s="824">
        <f>+'[6]입력 시트(0124)'!G404</f>
        <v>0</v>
      </c>
      <c r="H397" s="824">
        <f>+'[6]입력 시트(0124)'!H404</f>
        <v>0</v>
      </c>
      <c r="I397" s="824">
        <f>+'[6]입력 시트(0124)'!I404</f>
        <v>0</v>
      </c>
      <c r="J397" s="824" t="e">
        <f>+'[6]입력 시트(0124)'!J404</f>
        <v>#REF!</v>
      </c>
      <c r="K397" s="824">
        <f>+'[6]입력 시트(0124)'!G404</f>
        <v>0</v>
      </c>
      <c r="L397" s="824">
        <f>+'[6]입력 시트(0124)'!H404</f>
        <v>0</v>
      </c>
      <c r="M397" s="824">
        <f>+'[6]입력 시트(0124)'!I404</f>
        <v>0</v>
      </c>
      <c r="N397" s="824" t="e">
        <f>+'[6]입력 시트(0124)'!N404</f>
        <v>#REF!</v>
      </c>
      <c r="O397" s="824" t="e">
        <f>+'[6]입력 시트(0124)'!O404</f>
        <v>#REF!</v>
      </c>
      <c r="P397" s="824" t="e">
        <f>+'[6]입력 시트(0124)'!P404</f>
        <v>#REF!</v>
      </c>
      <c r="Q397" s="824" t="e">
        <f>+'[6]입력 시트(0124)'!Q404</f>
        <v>#REF!</v>
      </c>
      <c r="T397" s="824" t="e">
        <f>+'[6]입력 시트(0124)'!T404</f>
        <v>#REF!</v>
      </c>
      <c r="U397" s="824" t="e">
        <f>+'[6]입력 시트(0124)'!U404</f>
        <v>#REF!</v>
      </c>
      <c r="V397" s="824" t="e">
        <f>+'[6]입력 시트(0124)'!V404</f>
        <v>#REF!</v>
      </c>
      <c r="W397" s="824" t="e">
        <f>+'[6]입력 시트(0124)'!W404</f>
        <v>#REF!</v>
      </c>
      <c r="X397" s="824" t="e">
        <f>+'[6]입력 시트(0124)'!X404</f>
        <v>#REF!</v>
      </c>
      <c r="Y397" s="824" t="e">
        <f>+'[6]입력 시트(0124)'!Y404</f>
        <v>#REF!</v>
      </c>
    </row>
    <row r="398" spans="2:25" hidden="1" outlineLevel="1">
      <c r="B398" s="735"/>
      <c r="C398" s="740" t="s">
        <v>309</v>
      </c>
      <c r="D398" s="716">
        <f t="shared" si="43"/>
        <v>4</v>
      </c>
      <c r="E398" s="824">
        <f>+'[6]입력 시트(0124)'!E405</f>
        <v>0</v>
      </c>
      <c r="F398" s="824">
        <f>+'[6]입력 시트(0124)'!F405</f>
        <v>0</v>
      </c>
      <c r="G398" s="824">
        <f>+'[6]입력 시트(0124)'!G405</f>
        <v>0</v>
      </c>
      <c r="H398" s="824">
        <f>+'[6]입력 시트(0124)'!H405</f>
        <v>0</v>
      </c>
      <c r="I398" s="824">
        <f>+'[6]입력 시트(0124)'!I405</f>
        <v>0</v>
      </c>
      <c r="J398" s="824" t="e">
        <f>+'[6]입력 시트(0124)'!J405</f>
        <v>#REF!</v>
      </c>
      <c r="K398" s="824">
        <f>+'[6]입력 시트(0124)'!G405</f>
        <v>0</v>
      </c>
      <c r="L398" s="824">
        <f>+'[6]입력 시트(0124)'!H405</f>
        <v>0</v>
      </c>
      <c r="M398" s="824">
        <f>+'[6]입력 시트(0124)'!I405</f>
        <v>0</v>
      </c>
      <c r="N398" s="824" t="e">
        <f>+'[6]입력 시트(0124)'!N405</f>
        <v>#REF!</v>
      </c>
      <c r="O398" s="824" t="e">
        <f>+'[6]입력 시트(0124)'!O405</f>
        <v>#REF!</v>
      </c>
      <c r="P398" s="824" t="e">
        <f>+'[6]입력 시트(0124)'!P405</f>
        <v>#REF!</v>
      </c>
      <c r="Q398" s="824" t="e">
        <f>+'[6]입력 시트(0124)'!Q405</f>
        <v>#REF!</v>
      </c>
      <c r="T398" s="824" t="e">
        <f>+'[6]입력 시트(0124)'!T405</f>
        <v>#REF!</v>
      </c>
      <c r="U398" s="824" t="e">
        <f>+'[6]입력 시트(0124)'!U405</f>
        <v>#REF!</v>
      </c>
      <c r="V398" s="824" t="e">
        <f>+'[6]입력 시트(0124)'!V405</f>
        <v>#REF!</v>
      </c>
      <c r="W398" s="824" t="e">
        <f>+'[6]입력 시트(0124)'!W405</f>
        <v>#REF!</v>
      </c>
      <c r="X398" s="824" t="e">
        <f>+'[6]입력 시트(0124)'!X405</f>
        <v>#REF!</v>
      </c>
      <c r="Y398" s="824" t="e">
        <f>+'[6]입력 시트(0124)'!Y405</f>
        <v>#REF!</v>
      </c>
    </row>
    <row r="399" spans="2:25" hidden="1" outlineLevel="1">
      <c r="B399" s="735"/>
      <c r="C399" s="740" t="s">
        <v>309</v>
      </c>
      <c r="D399" s="716">
        <f t="shared" si="43"/>
        <v>5</v>
      </c>
      <c r="E399" s="824">
        <f>+'[6]입력 시트(0124)'!E406</f>
        <v>0</v>
      </c>
      <c r="F399" s="824">
        <f>+'[6]입력 시트(0124)'!F406</f>
        <v>0</v>
      </c>
      <c r="G399" s="824">
        <f>+'[6]입력 시트(0124)'!G406</f>
        <v>0</v>
      </c>
      <c r="H399" s="824">
        <f>+'[6]입력 시트(0124)'!H406</f>
        <v>0</v>
      </c>
      <c r="I399" s="824">
        <f>+'[6]입력 시트(0124)'!I406</f>
        <v>0</v>
      </c>
      <c r="J399" s="824" t="e">
        <f>+'[6]입력 시트(0124)'!J406</f>
        <v>#REF!</v>
      </c>
      <c r="K399" s="824">
        <f>+'[6]입력 시트(0124)'!G406</f>
        <v>0</v>
      </c>
      <c r="L399" s="824">
        <f>+'[6]입력 시트(0124)'!H406</f>
        <v>0</v>
      </c>
      <c r="M399" s="824">
        <f>+'[6]입력 시트(0124)'!I406</f>
        <v>0</v>
      </c>
      <c r="N399" s="824" t="e">
        <f>+'[6]입력 시트(0124)'!N406</f>
        <v>#REF!</v>
      </c>
      <c r="O399" s="824" t="e">
        <f>+'[6]입력 시트(0124)'!O406</f>
        <v>#REF!</v>
      </c>
      <c r="P399" s="824" t="e">
        <f>+'[6]입력 시트(0124)'!P406</f>
        <v>#REF!</v>
      </c>
      <c r="Q399" s="824" t="e">
        <f>+'[6]입력 시트(0124)'!Q406</f>
        <v>#REF!</v>
      </c>
      <c r="T399" s="824" t="e">
        <f>+'[6]입력 시트(0124)'!T406</f>
        <v>#REF!</v>
      </c>
      <c r="U399" s="824" t="e">
        <f>+'[6]입력 시트(0124)'!U406</f>
        <v>#REF!</v>
      </c>
      <c r="V399" s="824" t="e">
        <f>+'[6]입력 시트(0124)'!V406</f>
        <v>#REF!</v>
      </c>
      <c r="W399" s="824" t="e">
        <f>+'[6]입력 시트(0124)'!W406</f>
        <v>#REF!</v>
      </c>
      <c r="X399" s="824" t="e">
        <f>+'[6]입력 시트(0124)'!X406</f>
        <v>#REF!</v>
      </c>
      <c r="Y399" s="824" t="e">
        <f>+'[6]입력 시트(0124)'!Y406</f>
        <v>#REF!</v>
      </c>
    </row>
    <row r="400" spans="2:25" hidden="1" outlineLevel="1">
      <c r="B400" s="735"/>
      <c r="C400" s="740" t="s">
        <v>309</v>
      </c>
      <c r="D400" s="716">
        <f t="shared" si="43"/>
        <v>6</v>
      </c>
      <c r="E400" s="824">
        <f>+'[6]입력 시트(0124)'!E407</f>
        <v>0</v>
      </c>
      <c r="F400" s="824">
        <f>+'[6]입력 시트(0124)'!F407</f>
        <v>0</v>
      </c>
      <c r="G400" s="824">
        <f>+'[6]입력 시트(0124)'!G407</f>
        <v>0</v>
      </c>
      <c r="H400" s="824">
        <f>+'[6]입력 시트(0124)'!H407</f>
        <v>0</v>
      </c>
      <c r="I400" s="824">
        <f>+'[6]입력 시트(0124)'!I407</f>
        <v>0</v>
      </c>
      <c r="J400" s="824" t="e">
        <f>+'[6]입력 시트(0124)'!J407</f>
        <v>#REF!</v>
      </c>
      <c r="K400" s="824">
        <f>+'[6]입력 시트(0124)'!G407</f>
        <v>0</v>
      </c>
      <c r="L400" s="824">
        <f>+'[6]입력 시트(0124)'!H407</f>
        <v>0</v>
      </c>
      <c r="M400" s="824">
        <f>+'[6]입력 시트(0124)'!I407</f>
        <v>0</v>
      </c>
      <c r="N400" s="824" t="e">
        <f>+'[6]입력 시트(0124)'!N407</f>
        <v>#REF!</v>
      </c>
      <c r="O400" s="824" t="e">
        <f>+'[6]입력 시트(0124)'!O407</f>
        <v>#REF!</v>
      </c>
      <c r="P400" s="824" t="e">
        <f>+'[6]입력 시트(0124)'!P407</f>
        <v>#REF!</v>
      </c>
      <c r="Q400" s="824" t="e">
        <f>+'[6]입력 시트(0124)'!Q407</f>
        <v>#REF!</v>
      </c>
      <c r="T400" s="824" t="e">
        <f>+'[6]입력 시트(0124)'!T407</f>
        <v>#REF!</v>
      </c>
      <c r="U400" s="824" t="e">
        <f>+'[6]입력 시트(0124)'!U407</f>
        <v>#REF!</v>
      </c>
      <c r="V400" s="824" t="e">
        <f>+'[6]입력 시트(0124)'!V407</f>
        <v>#REF!</v>
      </c>
      <c r="W400" s="824" t="e">
        <f>+'[6]입력 시트(0124)'!W407</f>
        <v>#REF!</v>
      </c>
      <c r="X400" s="824" t="e">
        <f>+'[6]입력 시트(0124)'!X407</f>
        <v>#REF!</v>
      </c>
      <c r="Y400" s="824" t="e">
        <f>+'[6]입력 시트(0124)'!Y407</f>
        <v>#REF!</v>
      </c>
    </row>
    <row r="401" spans="2:25" hidden="1" outlineLevel="1">
      <c r="B401" s="735"/>
      <c r="C401" s="740" t="s">
        <v>309</v>
      </c>
      <c r="D401" s="716">
        <f t="shared" si="43"/>
        <v>7</v>
      </c>
      <c r="E401" s="824">
        <f>+'[6]입력 시트(0124)'!E408</f>
        <v>0</v>
      </c>
      <c r="F401" s="824">
        <f>+'[6]입력 시트(0124)'!F408</f>
        <v>0</v>
      </c>
      <c r="G401" s="824">
        <f>+'[6]입력 시트(0124)'!G408</f>
        <v>0</v>
      </c>
      <c r="H401" s="824">
        <f>+'[6]입력 시트(0124)'!H408</f>
        <v>0</v>
      </c>
      <c r="I401" s="824">
        <f>+'[6]입력 시트(0124)'!I408</f>
        <v>0</v>
      </c>
      <c r="J401" s="824" t="e">
        <f>+'[6]입력 시트(0124)'!J408</f>
        <v>#REF!</v>
      </c>
      <c r="K401" s="824">
        <f>+'[6]입력 시트(0124)'!G408</f>
        <v>0</v>
      </c>
      <c r="L401" s="824">
        <f>+'[6]입력 시트(0124)'!H408</f>
        <v>0</v>
      </c>
      <c r="M401" s="824">
        <f>+'[6]입력 시트(0124)'!I408</f>
        <v>0</v>
      </c>
      <c r="N401" s="824" t="e">
        <f>+'[6]입력 시트(0124)'!N408</f>
        <v>#REF!</v>
      </c>
      <c r="O401" s="824" t="e">
        <f>+'[6]입력 시트(0124)'!O408</f>
        <v>#REF!</v>
      </c>
      <c r="P401" s="824" t="e">
        <f>+'[6]입력 시트(0124)'!P408</f>
        <v>#REF!</v>
      </c>
      <c r="Q401" s="824" t="e">
        <f>+'[6]입력 시트(0124)'!Q408</f>
        <v>#REF!</v>
      </c>
      <c r="T401" s="824" t="e">
        <f>+'[6]입력 시트(0124)'!T408</f>
        <v>#REF!</v>
      </c>
      <c r="U401" s="824" t="e">
        <f>+'[6]입력 시트(0124)'!U408</f>
        <v>#REF!</v>
      </c>
      <c r="V401" s="824" t="e">
        <f>+'[6]입력 시트(0124)'!V408</f>
        <v>#REF!</v>
      </c>
      <c r="W401" s="824" t="e">
        <f>+'[6]입력 시트(0124)'!W408</f>
        <v>#REF!</v>
      </c>
      <c r="X401" s="824" t="e">
        <f>+'[6]입력 시트(0124)'!X408</f>
        <v>#REF!</v>
      </c>
      <c r="Y401" s="824" t="e">
        <f>+'[6]입력 시트(0124)'!Y408</f>
        <v>#REF!</v>
      </c>
    </row>
    <row r="402" spans="2:25" hidden="1" outlineLevel="1">
      <c r="B402" s="735"/>
      <c r="C402" s="740" t="s">
        <v>309</v>
      </c>
      <c r="D402" s="716">
        <f t="shared" si="43"/>
        <v>8</v>
      </c>
      <c r="E402" s="824">
        <f>+'[6]입력 시트(0124)'!E409</f>
        <v>0</v>
      </c>
      <c r="F402" s="824">
        <f>+'[6]입력 시트(0124)'!F409</f>
        <v>0</v>
      </c>
      <c r="G402" s="824">
        <f>+'[6]입력 시트(0124)'!G409</f>
        <v>0</v>
      </c>
      <c r="H402" s="824">
        <f>+'[6]입력 시트(0124)'!H409</f>
        <v>0</v>
      </c>
      <c r="I402" s="824">
        <f>+'[6]입력 시트(0124)'!I409</f>
        <v>0</v>
      </c>
      <c r="J402" s="824" t="e">
        <f>+'[6]입력 시트(0124)'!J409</f>
        <v>#REF!</v>
      </c>
      <c r="K402" s="824">
        <f>+'[6]입력 시트(0124)'!G409</f>
        <v>0</v>
      </c>
      <c r="L402" s="824">
        <f>+'[6]입력 시트(0124)'!H409</f>
        <v>0</v>
      </c>
      <c r="M402" s="824">
        <f>+'[6]입력 시트(0124)'!I409</f>
        <v>0</v>
      </c>
      <c r="N402" s="824" t="e">
        <f>+'[6]입력 시트(0124)'!N409</f>
        <v>#REF!</v>
      </c>
      <c r="O402" s="824" t="e">
        <f>+'[6]입력 시트(0124)'!O409</f>
        <v>#REF!</v>
      </c>
      <c r="P402" s="824" t="e">
        <f>+'[6]입력 시트(0124)'!P409</f>
        <v>#REF!</v>
      </c>
      <c r="Q402" s="824" t="e">
        <f>+'[6]입력 시트(0124)'!Q409</f>
        <v>#REF!</v>
      </c>
      <c r="T402" s="824" t="e">
        <f>+'[6]입력 시트(0124)'!T409</f>
        <v>#REF!</v>
      </c>
      <c r="U402" s="824" t="e">
        <f>+'[6]입력 시트(0124)'!U409</f>
        <v>#REF!</v>
      </c>
      <c r="V402" s="824" t="e">
        <f>+'[6]입력 시트(0124)'!V409</f>
        <v>#REF!</v>
      </c>
      <c r="W402" s="824" t="e">
        <f>+'[6]입력 시트(0124)'!W409</f>
        <v>#REF!</v>
      </c>
      <c r="X402" s="824" t="e">
        <f>+'[6]입력 시트(0124)'!X409</f>
        <v>#REF!</v>
      </c>
      <c r="Y402" s="824" t="e">
        <f>+'[6]입력 시트(0124)'!Y409</f>
        <v>#REF!</v>
      </c>
    </row>
    <row r="403" spans="2:25" hidden="1" outlineLevel="1">
      <c r="B403" s="735"/>
      <c r="C403" s="740" t="s">
        <v>309</v>
      </c>
      <c r="D403" s="716">
        <f t="shared" si="43"/>
        <v>9</v>
      </c>
      <c r="E403" s="824">
        <f>+'[6]입력 시트(0124)'!E410</f>
        <v>0</v>
      </c>
      <c r="F403" s="824">
        <f>+'[6]입력 시트(0124)'!F410</f>
        <v>0</v>
      </c>
      <c r="G403" s="824">
        <f>+'[6]입력 시트(0124)'!G410</f>
        <v>0</v>
      </c>
      <c r="H403" s="824">
        <f>+'[6]입력 시트(0124)'!H410</f>
        <v>0</v>
      </c>
      <c r="I403" s="824">
        <f>+'[6]입력 시트(0124)'!I410</f>
        <v>0</v>
      </c>
      <c r="J403" s="824" t="e">
        <f>+'[6]입력 시트(0124)'!J410</f>
        <v>#REF!</v>
      </c>
      <c r="K403" s="824">
        <f>+'[6]입력 시트(0124)'!G410</f>
        <v>0</v>
      </c>
      <c r="L403" s="824">
        <f>+'[6]입력 시트(0124)'!H410</f>
        <v>0</v>
      </c>
      <c r="M403" s="824">
        <f>+'[6]입력 시트(0124)'!I410</f>
        <v>0</v>
      </c>
      <c r="N403" s="824" t="e">
        <f>+'[6]입력 시트(0124)'!N410</f>
        <v>#REF!</v>
      </c>
      <c r="O403" s="824" t="e">
        <f>+'[6]입력 시트(0124)'!O410</f>
        <v>#REF!</v>
      </c>
      <c r="P403" s="824" t="e">
        <f>+'[6]입력 시트(0124)'!P410</f>
        <v>#REF!</v>
      </c>
      <c r="Q403" s="824" t="e">
        <f>+'[6]입력 시트(0124)'!Q410</f>
        <v>#REF!</v>
      </c>
      <c r="T403" s="824" t="e">
        <f>+'[6]입력 시트(0124)'!T410</f>
        <v>#REF!</v>
      </c>
      <c r="U403" s="824" t="e">
        <f>+'[6]입력 시트(0124)'!U410</f>
        <v>#REF!</v>
      </c>
      <c r="V403" s="824" t="e">
        <f>+'[6]입력 시트(0124)'!V410</f>
        <v>#REF!</v>
      </c>
      <c r="W403" s="824" t="e">
        <f>+'[6]입력 시트(0124)'!W410</f>
        <v>#REF!</v>
      </c>
      <c r="X403" s="824" t="e">
        <f>+'[6]입력 시트(0124)'!X410</f>
        <v>#REF!</v>
      </c>
      <c r="Y403" s="824" t="e">
        <f>+'[6]입력 시트(0124)'!Y410</f>
        <v>#REF!</v>
      </c>
    </row>
    <row r="404" spans="2:25" hidden="1" outlineLevel="1">
      <c r="B404" s="735"/>
      <c r="C404" s="740" t="s">
        <v>309</v>
      </c>
      <c r="D404" s="716">
        <f t="shared" si="43"/>
        <v>10</v>
      </c>
      <c r="E404" s="824">
        <f>+'[6]입력 시트(0124)'!E411</f>
        <v>0</v>
      </c>
      <c r="F404" s="824">
        <f>+'[6]입력 시트(0124)'!F411</f>
        <v>0</v>
      </c>
      <c r="G404" s="824">
        <f>+'[6]입력 시트(0124)'!G411</f>
        <v>0</v>
      </c>
      <c r="H404" s="824">
        <f>+'[6]입력 시트(0124)'!H411</f>
        <v>0</v>
      </c>
      <c r="I404" s="824">
        <f>+'[6]입력 시트(0124)'!I411</f>
        <v>0</v>
      </c>
      <c r="J404" s="824" t="e">
        <f>+'[6]입력 시트(0124)'!J411</f>
        <v>#REF!</v>
      </c>
      <c r="K404" s="824">
        <f>+'[6]입력 시트(0124)'!G411</f>
        <v>0</v>
      </c>
      <c r="L404" s="824">
        <f>+'[6]입력 시트(0124)'!H411</f>
        <v>0</v>
      </c>
      <c r="M404" s="824">
        <f>+'[6]입력 시트(0124)'!I411</f>
        <v>0</v>
      </c>
      <c r="N404" s="824" t="e">
        <f>+'[6]입력 시트(0124)'!N411</f>
        <v>#REF!</v>
      </c>
      <c r="O404" s="824" t="e">
        <f>+'[6]입력 시트(0124)'!O411</f>
        <v>#REF!</v>
      </c>
      <c r="P404" s="824" t="e">
        <f>+'[6]입력 시트(0124)'!P411</f>
        <v>#REF!</v>
      </c>
      <c r="Q404" s="824" t="e">
        <f>+'[6]입력 시트(0124)'!Q411</f>
        <v>#REF!</v>
      </c>
      <c r="T404" s="824" t="e">
        <f>+'[6]입력 시트(0124)'!T411</f>
        <v>#REF!</v>
      </c>
      <c r="U404" s="824" t="e">
        <f>+'[6]입력 시트(0124)'!U411</f>
        <v>#REF!</v>
      </c>
      <c r="V404" s="824" t="e">
        <f>+'[6]입력 시트(0124)'!V411</f>
        <v>#REF!</v>
      </c>
      <c r="W404" s="824" t="e">
        <f>+'[6]입력 시트(0124)'!W411</f>
        <v>#REF!</v>
      </c>
      <c r="X404" s="824" t="e">
        <f>+'[6]입력 시트(0124)'!X411</f>
        <v>#REF!</v>
      </c>
      <c r="Y404" s="824" t="e">
        <f>+'[6]입력 시트(0124)'!Y411</f>
        <v>#REF!</v>
      </c>
    </row>
    <row r="405" spans="2:25" hidden="1" outlineLevel="1">
      <c r="B405" s="735"/>
      <c r="C405" s="740" t="s">
        <v>309</v>
      </c>
      <c r="D405" s="716">
        <f t="shared" si="43"/>
        <v>11</v>
      </c>
      <c r="E405" s="824">
        <f>+'[6]입력 시트(0124)'!E412</f>
        <v>0</v>
      </c>
      <c r="F405" s="824">
        <f>+'[6]입력 시트(0124)'!F412</f>
        <v>0</v>
      </c>
      <c r="G405" s="824">
        <f>+'[6]입력 시트(0124)'!G412</f>
        <v>0</v>
      </c>
      <c r="H405" s="824">
        <f>+'[6]입력 시트(0124)'!H412</f>
        <v>0</v>
      </c>
      <c r="I405" s="824">
        <f>+'[6]입력 시트(0124)'!I412</f>
        <v>0</v>
      </c>
      <c r="J405" s="824" t="e">
        <f>+'[6]입력 시트(0124)'!J412</f>
        <v>#REF!</v>
      </c>
      <c r="K405" s="824">
        <f>+'[6]입력 시트(0124)'!G412</f>
        <v>0</v>
      </c>
      <c r="L405" s="824">
        <f>+'[6]입력 시트(0124)'!H412</f>
        <v>0</v>
      </c>
      <c r="M405" s="824">
        <f>+'[6]입력 시트(0124)'!I412</f>
        <v>0</v>
      </c>
      <c r="N405" s="824" t="e">
        <f>+'[6]입력 시트(0124)'!N412</f>
        <v>#REF!</v>
      </c>
      <c r="O405" s="824" t="e">
        <f>+'[6]입력 시트(0124)'!O412</f>
        <v>#REF!</v>
      </c>
      <c r="P405" s="824" t="e">
        <f>+'[6]입력 시트(0124)'!P412</f>
        <v>#REF!</v>
      </c>
      <c r="Q405" s="824" t="e">
        <f>+'[6]입력 시트(0124)'!Q412</f>
        <v>#REF!</v>
      </c>
      <c r="T405" s="824" t="e">
        <f>+'[6]입력 시트(0124)'!T412</f>
        <v>#REF!</v>
      </c>
      <c r="U405" s="824" t="e">
        <f>+'[6]입력 시트(0124)'!U412</f>
        <v>#REF!</v>
      </c>
      <c r="V405" s="824" t="e">
        <f>+'[6]입력 시트(0124)'!V412</f>
        <v>#REF!</v>
      </c>
      <c r="W405" s="824" t="e">
        <f>+'[6]입력 시트(0124)'!W412</f>
        <v>#REF!</v>
      </c>
      <c r="X405" s="824" t="e">
        <f>+'[6]입력 시트(0124)'!X412</f>
        <v>#REF!</v>
      </c>
      <c r="Y405" s="824" t="e">
        <f>+'[6]입력 시트(0124)'!Y412</f>
        <v>#REF!</v>
      </c>
    </row>
    <row r="406" spans="2:25" hidden="1" outlineLevel="1">
      <c r="B406" s="735"/>
      <c r="C406" s="740" t="s">
        <v>309</v>
      </c>
      <c r="D406" s="716">
        <f t="shared" si="43"/>
        <v>12</v>
      </c>
      <c r="E406" s="824">
        <f>+'[6]입력 시트(0124)'!E413</f>
        <v>0</v>
      </c>
      <c r="F406" s="824">
        <f>+'[6]입력 시트(0124)'!F413</f>
        <v>0</v>
      </c>
      <c r="G406" s="824">
        <f>+'[6]입력 시트(0124)'!G413</f>
        <v>0</v>
      </c>
      <c r="H406" s="824">
        <f>+'[6]입력 시트(0124)'!H413</f>
        <v>0</v>
      </c>
      <c r="I406" s="824">
        <f>+'[6]입력 시트(0124)'!I413</f>
        <v>0</v>
      </c>
      <c r="J406" s="824" t="e">
        <f>+'[6]입력 시트(0124)'!J413</f>
        <v>#REF!</v>
      </c>
      <c r="K406" s="824">
        <f>+'[6]입력 시트(0124)'!G413</f>
        <v>0</v>
      </c>
      <c r="L406" s="824">
        <f>+'[6]입력 시트(0124)'!H413</f>
        <v>0</v>
      </c>
      <c r="M406" s="824">
        <f>+'[6]입력 시트(0124)'!I413</f>
        <v>0</v>
      </c>
      <c r="N406" s="824" t="e">
        <f>+'[6]입력 시트(0124)'!N413</f>
        <v>#REF!</v>
      </c>
      <c r="O406" s="824" t="e">
        <f>+'[6]입력 시트(0124)'!O413</f>
        <v>#REF!</v>
      </c>
      <c r="P406" s="824" t="e">
        <f>+'[6]입력 시트(0124)'!P413</f>
        <v>#REF!</v>
      </c>
      <c r="Q406" s="824" t="e">
        <f>+'[6]입력 시트(0124)'!Q413</f>
        <v>#REF!</v>
      </c>
      <c r="T406" s="824" t="e">
        <f>+'[6]입력 시트(0124)'!T413</f>
        <v>#REF!</v>
      </c>
      <c r="U406" s="824" t="e">
        <f>+'[6]입력 시트(0124)'!U413</f>
        <v>#REF!</v>
      </c>
      <c r="V406" s="824" t="e">
        <f>+'[6]입력 시트(0124)'!V413</f>
        <v>#REF!</v>
      </c>
      <c r="W406" s="824" t="e">
        <f>+'[6]입력 시트(0124)'!W413</f>
        <v>#REF!</v>
      </c>
      <c r="X406" s="824" t="e">
        <f>+'[6]입력 시트(0124)'!X413</f>
        <v>#REF!</v>
      </c>
      <c r="Y406" s="824" t="e">
        <f>+'[6]입력 시트(0124)'!Y413</f>
        <v>#REF!</v>
      </c>
    </row>
    <row r="407" spans="2:25" hidden="1" outlineLevel="1">
      <c r="B407" s="735"/>
      <c r="C407" s="740" t="s">
        <v>309</v>
      </c>
      <c r="D407" s="716">
        <f t="shared" si="43"/>
        <v>13</v>
      </c>
      <c r="E407" s="824">
        <f>+'[6]입력 시트(0124)'!E414</f>
        <v>0</v>
      </c>
      <c r="F407" s="824">
        <f>+'[6]입력 시트(0124)'!F414</f>
        <v>0</v>
      </c>
      <c r="G407" s="824">
        <f>+'[6]입력 시트(0124)'!G414</f>
        <v>0</v>
      </c>
      <c r="H407" s="824">
        <f>+'[6]입력 시트(0124)'!H414</f>
        <v>0</v>
      </c>
      <c r="I407" s="824">
        <f>+'[6]입력 시트(0124)'!I414</f>
        <v>0</v>
      </c>
      <c r="J407" s="824" t="e">
        <f>+'[6]입력 시트(0124)'!J414</f>
        <v>#REF!</v>
      </c>
      <c r="K407" s="824">
        <f>+'[6]입력 시트(0124)'!G414</f>
        <v>0</v>
      </c>
      <c r="L407" s="824">
        <f>+'[6]입력 시트(0124)'!H414</f>
        <v>0</v>
      </c>
      <c r="M407" s="824">
        <f>+'[6]입력 시트(0124)'!I414</f>
        <v>0</v>
      </c>
      <c r="N407" s="824" t="e">
        <f>+'[6]입력 시트(0124)'!N414</f>
        <v>#REF!</v>
      </c>
      <c r="O407" s="824" t="e">
        <f>+'[6]입력 시트(0124)'!O414</f>
        <v>#REF!</v>
      </c>
      <c r="P407" s="824" t="e">
        <f>+'[6]입력 시트(0124)'!P414</f>
        <v>#REF!</v>
      </c>
      <c r="Q407" s="824" t="e">
        <f>+'[6]입력 시트(0124)'!Q414</f>
        <v>#REF!</v>
      </c>
      <c r="T407" s="824" t="e">
        <f>+'[6]입력 시트(0124)'!T414</f>
        <v>#REF!</v>
      </c>
      <c r="U407" s="824" t="e">
        <f>+'[6]입력 시트(0124)'!U414</f>
        <v>#REF!</v>
      </c>
      <c r="V407" s="824" t="e">
        <f>+'[6]입력 시트(0124)'!V414</f>
        <v>#REF!</v>
      </c>
      <c r="W407" s="824" t="e">
        <f>+'[6]입력 시트(0124)'!W414</f>
        <v>#REF!</v>
      </c>
      <c r="X407" s="824" t="e">
        <f>+'[6]입력 시트(0124)'!X414</f>
        <v>#REF!</v>
      </c>
      <c r="Y407" s="824" t="e">
        <f>+'[6]입력 시트(0124)'!Y414</f>
        <v>#REF!</v>
      </c>
    </row>
    <row r="408" spans="2:25" hidden="1" outlineLevel="1">
      <c r="B408" s="735"/>
      <c r="C408" s="740" t="s">
        <v>309</v>
      </c>
      <c r="D408" s="716">
        <f t="shared" si="43"/>
        <v>14</v>
      </c>
      <c r="E408" s="824">
        <f>+'[6]입력 시트(0124)'!E415</f>
        <v>0</v>
      </c>
      <c r="F408" s="824">
        <f>+'[6]입력 시트(0124)'!F415</f>
        <v>0</v>
      </c>
      <c r="G408" s="824">
        <f>+'[6]입력 시트(0124)'!G415</f>
        <v>0</v>
      </c>
      <c r="H408" s="824">
        <f>+'[6]입력 시트(0124)'!H415</f>
        <v>0</v>
      </c>
      <c r="I408" s="824">
        <f>+'[6]입력 시트(0124)'!I415</f>
        <v>0</v>
      </c>
      <c r="J408" s="824" t="e">
        <f>+'[6]입력 시트(0124)'!J415</f>
        <v>#REF!</v>
      </c>
      <c r="K408" s="824">
        <f>+'[6]입력 시트(0124)'!G415</f>
        <v>0</v>
      </c>
      <c r="L408" s="824">
        <f>+'[6]입력 시트(0124)'!H415</f>
        <v>0</v>
      </c>
      <c r="M408" s="824">
        <f>+'[6]입력 시트(0124)'!I415</f>
        <v>0</v>
      </c>
      <c r="N408" s="824" t="e">
        <f>+'[6]입력 시트(0124)'!N415</f>
        <v>#REF!</v>
      </c>
      <c r="O408" s="824" t="e">
        <f>+'[6]입력 시트(0124)'!O415</f>
        <v>#REF!</v>
      </c>
      <c r="P408" s="824" t="e">
        <f>+'[6]입력 시트(0124)'!P415</f>
        <v>#REF!</v>
      </c>
      <c r="Q408" s="824" t="e">
        <f>+'[6]입력 시트(0124)'!Q415</f>
        <v>#REF!</v>
      </c>
      <c r="T408" s="824" t="e">
        <f>+'[6]입력 시트(0124)'!T415</f>
        <v>#REF!</v>
      </c>
      <c r="U408" s="824" t="e">
        <f>+'[6]입력 시트(0124)'!U415</f>
        <v>#REF!</v>
      </c>
      <c r="V408" s="824" t="e">
        <f>+'[6]입력 시트(0124)'!V415</f>
        <v>#REF!</v>
      </c>
      <c r="W408" s="824" t="e">
        <f>+'[6]입력 시트(0124)'!W415</f>
        <v>#REF!</v>
      </c>
      <c r="X408" s="824" t="e">
        <f>+'[6]입력 시트(0124)'!X415</f>
        <v>#REF!</v>
      </c>
      <c r="Y408" s="824" t="e">
        <f>+'[6]입력 시트(0124)'!Y415</f>
        <v>#REF!</v>
      </c>
    </row>
    <row r="409" spans="2:25" hidden="1" outlineLevel="1">
      <c r="B409" s="735"/>
      <c r="C409" s="740" t="s">
        <v>309</v>
      </c>
      <c r="D409" s="716">
        <f t="shared" si="43"/>
        <v>15</v>
      </c>
      <c r="E409" s="824">
        <f>+'[6]입력 시트(0124)'!E416</f>
        <v>0</v>
      </c>
      <c r="F409" s="824">
        <f>+'[6]입력 시트(0124)'!F416</f>
        <v>0</v>
      </c>
      <c r="G409" s="824">
        <f>+'[6]입력 시트(0124)'!G416</f>
        <v>0</v>
      </c>
      <c r="H409" s="824">
        <f>+'[6]입력 시트(0124)'!H416</f>
        <v>0</v>
      </c>
      <c r="I409" s="824">
        <f>+'[6]입력 시트(0124)'!I416</f>
        <v>0</v>
      </c>
      <c r="J409" s="824" t="e">
        <f>+'[6]입력 시트(0124)'!J416</f>
        <v>#REF!</v>
      </c>
      <c r="K409" s="824">
        <f>+'[6]입력 시트(0124)'!G416</f>
        <v>0</v>
      </c>
      <c r="L409" s="824">
        <f>+'[6]입력 시트(0124)'!H416</f>
        <v>0</v>
      </c>
      <c r="M409" s="824">
        <f>+'[6]입력 시트(0124)'!I416</f>
        <v>0</v>
      </c>
      <c r="N409" s="824" t="e">
        <f>+'[6]입력 시트(0124)'!N416</f>
        <v>#REF!</v>
      </c>
      <c r="O409" s="824" t="e">
        <f>+'[6]입력 시트(0124)'!O416</f>
        <v>#REF!</v>
      </c>
      <c r="P409" s="824" t="e">
        <f>+'[6]입력 시트(0124)'!P416</f>
        <v>#REF!</v>
      </c>
      <c r="Q409" s="824" t="e">
        <f>+'[6]입력 시트(0124)'!Q416</f>
        <v>#REF!</v>
      </c>
      <c r="T409" s="824" t="e">
        <f>+'[6]입력 시트(0124)'!T416</f>
        <v>#REF!</v>
      </c>
      <c r="U409" s="824" t="e">
        <f>+'[6]입력 시트(0124)'!U416</f>
        <v>#REF!</v>
      </c>
      <c r="V409" s="824" t="e">
        <f>+'[6]입력 시트(0124)'!V416</f>
        <v>#REF!</v>
      </c>
      <c r="W409" s="824" t="e">
        <f>+'[6]입력 시트(0124)'!W416</f>
        <v>#REF!</v>
      </c>
      <c r="X409" s="824" t="e">
        <f>+'[6]입력 시트(0124)'!X416</f>
        <v>#REF!</v>
      </c>
      <c r="Y409" s="824" t="e">
        <f>+'[6]입력 시트(0124)'!Y416</f>
        <v>#REF!</v>
      </c>
    </row>
    <row r="410" spans="2:25" hidden="1" outlineLevel="1">
      <c r="B410" s="735"/>
      <c r="C410" s="740" t="s">
        <v>309</v>
      </c>
      <c r="D410" s="716">
        <f t="shared" si="43"/>
        <v>16</v>
      </c>
      <c r="E410" s="824">
        <f>+'[6]입력 시트(0124)'!E417</f>
        <v>0</v>
      </c>
      <c r="F410" s="824">
        <f>+'[6]입력 시트(0124)'!F417</f>
        <v>0</v>
      </c>
      <c r="G410" s="824">
        <f>+'[6]입력 시트(0124)'!G417</f>
        <v>0</v>
      </c>
      <c r="H410" s="824">
        <f>+'[6]입력 시트(0124)'!H417</f>
        <v>0</v>
      </c>
      <c r="I410" s="824">
        <f>+'[6]입력 시트(0124)'!I417</f>
        <v>0</v>
      </c>
      <c r="J410" s="824" t="e">
        <f>+'[6]입력 시트(0124)'!J417</f>
        <v>#REF!</v>
      </c>
      <c r="K410" s="824">
        <f>+'[6]입력 시트(0124)'!G417</f>
        <v>0</v>
      </c>
      <c r="L410" s="824">
        <f>+'[6]입력 시트(0124)'!H417</f>
        <v>0</v>
      </c>
      <c r="M410" s="824">
        <f>+'[6]입력 시트(0124)'!I417</f>
        <v>0</v>
      </c>
      <c r="N410" s="824" t="e">
        <f>+'[6]입력 시트(0124)'!N417</f>
        <v>#REF!</v>
      </c>
      <c r="O410" s="824" t="e">
        <f>+'[6]입력 시트(0124)'!O417</f>
        <v>#REF!</v>
      </c>
      <c r="P410" s="824" t="e">
        <f>+'[6]입력 시트(0124)'!P417</f>
        <v>#REF!</v>
      </c>
      <c r="Q410" s="824" t="e">
        <f>+'[6]입력 시트(0124)'!Q417</f>
        <v>#REF!</v>
      </c>
      <c r="T410" s="824" t="e">
        <f>+'[6]입력 시트(0124)'!T417</f>
        <v>#REF!</v>
      </c>
      <c r="U410" s="824" t="e">
        <f>+'[6]입력 시트(0124)'!U417</f>
        <v>#REF!</v>
      </c>
      <c r="V410" s="824" t="e">
        <f>+'[6]입력 시트(0124)'!V417</f>
        <v>#REF!</v>
      </c>
      <c r="W410" s="824" t="e">
        <f>+'[6]입력 시트(0124)'!W417</f>
        <v>#REF!</v>
      </c>
      <c r="X410" s="824" t="e">
        <f>+'[6]입력 시트(0124)'!X417</f>
        <v>#REF!</v>
      </c>
      <c r="Y410" s="824" t="e">
        <f>+'[6]입력 시트(0124)'!Y417</f>
        <v>#REF!</v>
      </c>
    </row>
    <row r="411" spans="2:25" hidden="1" outlineLevel="1">
      <c r="B411" s="735"/>
      <c r="C411" s="740" t="s">
        <v>309</v>
      </c>
      <c r="D411" s="716">
        <f t="shared" si="43"/>
        <v>17</v>
      </c>
      <c r="E411" s="824">
        <f>+'[6]입력 시트(0124)'!E418</f>
        <v>0</v>
      </c>
      <c r="F411" s="824">
        <f>+'[6]입력 시트(0124)'!F418</f>
        <v>0</v>
      </c>
      <c r="G411" s="824">
        <f>+'[6]입력 시트(0124)'!G418</f>
        <v>0</v>
      </c>
      <c r="H411" s="824">
        <f>+'[6]입력 시트(0124)'!H418</f>
        <v>0</v>
      </c>
      <c r="I411" s="824">
        <f>+'[6]입력 시트(0124)'!I418</f>
        <v>0</v>
      </c>
      <c r="J411" s="824" t="e">
        <f>+'[6]입력 시트(0124)'!J418</f>
        <v>#REF!</v>
      </c>
      <c r="K411" s="824">
        <f>+'[6]입력 시트(0124)'!G418</f>
        <v>0</v>
      </c>
      <c r="L411" s="824">
        <f>+'[6]입력 시트(0124)'!H418</f>
        <v>0</v>
      </c>
      <c r="M411" s="824">
        <f>+'[6]입력 시트(0124)'!I418</f>
        <v>0</v>
      </c>
      <c r="N411" s="824" t="e">
        <f>+'[6]입력 시트(0124)'!N418</f>
        <v>#REF!</v>
      </c>
      <c r="O411" s="824" t="e">
        <f>+'[6]입력 시트(0124)'!O418</f>
        <v>#REF!</v>
      </c>
      <c r="P411" s="824" t="e">
        <f>+'[6]입력 시트(0124)'!P418</f>
        <v>#REF!</v>
      </c>
      <c r="Q411" s="824" t="e">
        <f>+'[6]입력 시트(0124)'!Q418</f>
        <v>#REF!</v>
      </c>
      <c r="T411" s="824" t="e">
        <f>+'[6]입력 시트(0124)'!T418</f>
        <v>#REF!</v>
      </c>
      <c r="U411" s="824" t="e">
        <f>+'[6]입력 시트(0124)'!U418</f>
        <v>#REF!</v>
      </c>
      <c r="V411" s="824" t="e">
        <f>+'[6]입력 시트(0124)'!V418</f>
        <v>#REF!</v>
      </c>
      <c r="W411" s="824" t="e">
        <f>+'[6]입력 시트(0124)'!W418</f>
        <v>#REF!</v>
      </c>
      <c r="X411" s="824" t="e">
        <f>+'[6]입력 시트(0124)'!X418</f>
        <v>#REF!</v>
      </c>
      <c r="Y411" s="824" t="e">
        <f>+'[6]입력 시트(0124)'!Y418</f>
        <v>#REF!</v>
      </c>
    </row>
    <row r="412" spans="2:25" hidden="1" outlineLevel="1">
      <c r="B412" s="735"/>
      <c r="C412" s="740" t="s">
        <v>309</v>
      </c>
      <c r="D412" s="716">
        <f t="shared" si="43"/>
        <v>18</v>
      </c>
      <c r="E412" s="824">
        <f>+'[6]입력 시트(0124)'!E419</f>
        <v>0</v>
      </c>
      <c r="F412" s="824">
        <f>+'[6]입력 시트(0124)'!F419</f>
        <v>0</v>
      </c>
      <c r="G412" s="824">
        <f>+'[6]입력 시트(0124)'!G419</f>
        <v>0</v>
      </c>
      <c r="H412" s="824">
        <f>+'[6]입력 시트(0124)'!H419</f>
        <v>0</v>
      </c>
      <c r="I412" s="824">
        <f>+'[6]입력 시트(0124)'!I419</f>
        <v>0</v>
      </c>
      <c r="J412" s="824" t="e">
        <f>+'[6]입력 시트(0124)'!J419</f>
        <v>#REF!</v>
      </c>
      <c r="K412" s="824">
        <f>+'[6]입력 시트(0124)'!G419</f>
        <v>0</v>
      </c>
      <c r="L412" s="824">
        <f>+'[6]입력 시트(0124)'!H419</f>
        <v>0</v>
      </c>
      <c r="M412" s="824">
        <f>+'[6]입력 시트(0124)'!I419</f>
        <v>0</v>
      </c>
      <c r="N412" s="824" t="e">
        <f>+'[6]입력 시트(0124)'!N419</f>
        <v>#REF!</v>
      </c>
      <c r="O412" s="824" t="e">
        <f>+'[6]입력 시트(0124)'!O419</f>
        <v>#REF!</v>
      </c>
      <c r="P412" s="824" t="e">
        <f>+'[6]입력 시트(0124)'!P419</f>
        <v>#REF!</v>
      </c>
      <c r="Q412" s="824" t="e">
        <f>+'[6]입력 시트(0124)'!Q419</f>
        <v>#REF!</v>
      </c>
      <c r="T412" s="824" t="e">
        <f>+'[6]입력 시트(0124)'!T419</f>
        <v>#REF!</v>
      </c>
      <c r="U412" s="824" t="e">
        <f>+'[6]입력 시트(0124)'!U419</f>
        <v>#REF!</v>
      </c>
      <c r="V412" s="824" t="e">
        <f>+'[6]입력 시트(0124)'!V419</f>
        <v>#REF!</v>
      </c>
      <c r="W412" s="824" t="e">
        <f>+'[6]입력 시트(0124)'!W419</f>
        <v>#REF!</v>
      </c>
      <c r="X412" s="824" t="e">
        <f>+'[6]입력 시트(0124)'!X419</f>
        <v>#REF!</v>
      </c>
      <c r="Y412" s="824" t="e">
        <f>+'[6]입력 시트(0124)'!Y419</f>
        <v>#REF!</v>
      </c>
    </row>
    <row r="413" spans="2:25" hidden="1" outlineLevel="1">
      <c r="B413" s="735"/>
      <c r="C413" s="740" t="s">
        <v>309</v>
      </c>
      <c r="D413" s="716">
        <f t="shared" si="43"/>
        <v>19</v>
      </c>
      <c r="E413" s="824">
        <f>+'[6]입력 시트(0124)'!E420</f>
        <v>0</v>
      </c>
      <c r="F413" s="824">
        <f>+'[6]입력 시트(0124)'!F420</f>
        <v>0</v>
      </c>
      <c r="G413" s="824">
        <f>+'[6]입력 시트(0124)'!G420</f>
        <v>0</v>
      </c>
      <c r="H413" s="824">
        <f>+'[6]입력 시트(0124)'!H420</f>
        <v>0</v>
      </c>
      <c r="I413" s="824">
        <f>+'[6]입력 시트(0124)'!I420</f>
        <v>0</v>
      </c>
      <c r="J413" s="824" t="e">
        <f>+'[6]입력 시트(0124)'!J420</f>
        <v>#REF!</v>
      </c>
      <c r="K413" s="824">
        <f>+'[6]입력 시트(0124)'!G420</f>
        <v>0</v>
      </c>
      <c r="L413" s="824">
        <f>+'[6]입력 시트(0124)'!H420</f>
        <v>0</v>
      </c>
      <c r="M413" s="824">
        <f>+'[6]입력 시트(0124)'!I420</f>
        <v>0</v>
      </c>
      <c r="N413" s="824" t="e">
        <f>+'[6]입력 시트(0124)'!N420</f>
        <v>#REF!</v>
      </c>
      <c r="O413" s="824" t="e">
        <f>+'[6]입력 시트(0124)'!O420</f>
        <v>#REF!</v>
      </c>
      <c r="P413" s="824" t="e">
        <f>+'[6]입력 시트(0124)'!P420</f>
        <v>#REF!</v>
      </c>
      <c r="Q413" s="824" t="e">
        <f>+'[6]입력 시트(0124)'!Q420</f>
        <v>#REF!</v>
      </c>
      <c r="T413" s="824" t="e">
        <f>+'[6]입력 시트(0124)'!T420</f>
        <v>#REF!</v>
      </c>
      <c r="U413" s="824" t="e">
        <f>+'[6]입력 시트(0124)'!U420</f>
        <v>#REF!</v>
      </c>
      <c r="V413" s="824" t="e">
        <f>+'[6]입력 시트(0124)'!V420</f>
        <v>#REF!</v>
      </c>
      <c r="W413" s="824" t="e">
        <f>+'[6]입력 시트(0124)'!W420</f>
        <v>#REF!</v>
      </c>
      <c r="X413" s="824" t="e">
        <f>+'[6]입력 시트(0124)'!X420</f>
        <v>#REF!</v>
      </c>
      <c r="Y413" s="824" t="e">
        <f>+'[6]입력 시트(0124)'!Y420</f>
        <v>#REF!</v>
      </c>
    </row>
    <row r="414" spans="2:25" hidden="1" outlineLevel="1">
      <c r="B414" s="735"/>
      <c r="C414" s="740" t="s">
        <v>309</v>
      </c>
      <c r="D414" s="716">
        <f t="shared" si="43"/>
        <v>20</v>
      </c>
      <c r="E414" s="824">
        <f>+'[6]입력 시트(0124)'!E421</f>
        <v>0</v>
      </c>
      <c r="F414" s="824">
        <f>+'[6]입력 시트(0124)'!F421</f>
        <v>0</v>
      </c>
      <c r="G414" s="824">
        <f>+'[6]입력 시트(0124)'!G421</f>
        <v>0</v>
      </c>
      <c r="H414" s="824">
        <f>+'[6]입력 시트(0124)'!H421</f>
        <v>0</v>
      </c>
      <c r="I414" s="824">
        <f>+'[6]입력 시트(0124)'!I421</f>
        <v>0</v>
      </c>
      <c r="J414" s="824" t="e">
        <f>+'[6]입력 시트(0124)'!J421</f>
        <v>#REF!</v>
      </c>
      <c r="K414" s="824">
        <f>+'[6]입력 시트(0124)'!G421</f>
        <v>0</v>
      </c>
      <c r="L414" s="824">
        <f>+'[6]입력 시트(0124)'!H421</f>
        <v>0</v>
      </c>
      <c r="M414" s="824">
        <f>+'[6]입력 시트(0124)'!I421</f>
        <v>0</v>
      </c>
      <c r="N414" s="824" t="e">
        <f>+'[6]입력 시트(0124)'!N421</f>
        <v>#REF!</v>
      </c>
      <c r="O414" s="824" t="e">
        <f>+'[6]입력 시트(0124)'!O421</f>
        <v>#REF!</v>
      </c>
      <c r="P414" s="824" t="e">
        <f>+'[6]입력 시트(0124)'!P421</f>
        <v>#REF!</v>
      </c>
      <c r="Q414" s="824" t="e">
        <f>+'[6]입력 시트(0124)'!Q421</f>
        <v>#REF!</v>
      </c>
      <c r="T414" s="824" t="e">
        <f>+'[6]입력 시트(0124)'!T421</f>
        <v>#REF!</v>
      </c>
      <c r="U414" s="824" t="e">
        <f>+'[6]입력 시트(0124)'!U421</f>
        <v>#REF!</v>
      </c>
      <c r="V414" s="824" t="e">
        <f>+'[6]입력 시트(0124)'!V421</f>
        <v>#REF!</v>
      </c>
      <c r="W414" s="824" t="e">
        <f>+'[6]입력 시트(0124)'!W421</f>
        <v>#REF!</v>
      </c>
      <c r="X414" s="824" t="e">
        <f>+'[6]입력 시트(0124)'!X421</f>
        <v>#REF!</v>
      </c>
      <c r="Y414" s="824" t="e">
        <f>+'[6]입력 시트(0124)'!Y421</f>
        <v>#REF!</v>
      </c>
    </row>
    <row r="415" spans="2:25" hidden="1" outlineLevel="1">
      <c r="B415" s="735"/>
      <c r="C415" s="740" t="s">
        <v>309</v>
      </c>
      <c r="D415" s="716">
        <f t="shared" si="43"/>
        <v>21</v>
      </c>
      <c r="E415" s="824">
        <f>+'[6]입력 시트(0124)'!E422</f>
        <v>0</v>
      </c>
      <c r="F415" s="824">
        <f>+'[6]입력 시트(0124)'!F422</f>
        <v>0</v>
      </c>
      <c r="G415" s="824">
        <f>+'[6]입력 시트(0124)'!G422</f>
        <v>0</v>
      </c>
      <c r="H415" s="824">
        <f>+'[6]입력 시트(0124)'!H422</f>
        <v>0</v>
      </c>
      <c r="I415" s="824">
        <f>+'[6]입력 시트(0124)'!I422</f>
        <v>0</v>
      </c>
      <c r="J415" s="824" t="e">
        <f>+'[6]입력 시트(0124)'!J422</f>
        <v>#REF!</v>
      </c>
      <c r="K415" s="824">
        <f>+'[6]입력 시트(0124)'!G422</f>
        <v>0</v>
      </c>
      <c r="L415" s="824">
        <f>+'[6]입력 시트(0124)'!H422</f>
        <v>0</v>
      </c>
      <c r="M415" s="824">
        <f>+'[6]입력 시트(0124)'!I422</f>
        <v>0</v>
      </c>
      <c r="N415" s="824" t="e">
        <f>+'[6]입력 시트(0124)'!N422</f>
        <v>#REF!</v>
      </c>
      <c r="O415" s="824" t="e">
        <f>+'[6]입력 시트(0124)'!O422</f>
        <v>#REF!</v>
      </c>
      <c r="P415" s="824" t="e">
        <f>+'[6]입력 시트(0124)'!P422</f>
        <v>#REF!</v>
      </c>
      <c r="Q415" s="824" t="e">
        <f>+'[6]입력 시트(0124)'!Q422</f>
        <v>#REF!</v>
      </c>
      <c r="T415" s="824" t="e">
        <f>+'[6]입력 시트(0124)'!T422</f>
        <v>#REF!</v>
      </c>
      <c r="U415" s="824" t="e">
        <f>+'[6]입력 시트(0124)'!U422</f>
        <v>#REF!</v>
      </c>
      <c r="V415" s="824" t="e">
        <f>+'[6]입력 시트(0124)'!V422</f>
        <v>#REF!</v>
      </c>
      <c r="W415" s="824" t="e">
        <f>+'[6]입력 시트(0124)'!W422</f>
        <v>#REF!</v>
      </c>
      <c r="X415" s="824" t="e">
        <f>+'[6]입력 시트(0124)'!X422</f>
        <v>#REF!</v>
      </c>
      <c r="Y415" s="824" t="e">
        <f>+'[6]입력 시트(0124)'!Y422</f>
        <v>#REF!</v>
      </c>
    </row>
    <row r="416" spans="2:25" hidden="1" outlineLevel="1">
      <c r="B416" s="735"/>
      <c r="C416" s="740" t="s">
        <v>309</v>
      </c>
      <c r="D416" s="716">
        <f t="shared" si="43"/>
        <v>22</v>
      </c>
      <c r="E416" s="824">
        <f>+'[6]입력 시트(0124)'!E423</f>
        <v>0</v>
      </c>
      <c r="F416" s="824">
        <f>+'[6]입력 시트(0124)'!F423</f>
        <v>0</v>
      </c>
      <c r="G416" s="824">
        <f>+'[6]입력 시트(0124)'!G423</f>
        <v>0</v>
      </c>
      <c r="H416" s="824">
        <f>+'[6]입력 시트(0124)'!H423</f>
        <v>0</v>
      </c>
      <c r="I416" s="824">
        <f>+'[6]입력 시트(0124)'!I423</f>
        <v>0</v>
      </c>
      <c r="J416" s="824" t="e">
        <f>+'[6]입력 시트(0124)'!J423</f>
        <v>#REF!</v>
      </c>
      <c r="K416" s="824">
        <f>+'[6]입력 시트(0124)'!G423</f>
        <v>0</v>
      </c>
      <c r="L416" s="824">
        <f>+'[6]입력 시트(0124)'!H423</f>
        <v>0</v>
      </c>
      <c r="M416" s="824">
        <f>+'[6]입력 시트(0124)'!I423</f>
        <v>0</v>
      </c>
      <c r="N416" s="824" t="e">
        <f>+'[6]입력 시트(0124)'!N423</f>
        <v>#REF!</v>
      </c>
      <c r="O416" s="824" t="e">
        <f>+'[6]입력 시트(0124)'!O423</f>
        <v>#REF!</v>
      </c>
      <c r="P416" s="824" t="e">
        <f>+'[6]입력 시트(0124)'!P423</f>
        <v>#REF!</v>
      </c>
      <c r="Q416" s="824" t="e">
        <f>+'[6]입력 시트(0124)'!Q423</f>
        <v>#REF!</v>
      </c>
      <c r="T416" s="824" t="e">
        <f>+'[6]입력 시트(0124)'!T423</f>
        <v>#REF!</v>
      </c>
      <c r="U416" s="824" t="e">
        <f>+'[6]입력 시트(0124)'!U423</f>
        <v>#REF!</v>
      </c>
      <c r="V416" s="824" t="e">
        <f>+'[6]입력 시트(0124)'!V423</f>
        <v>#REF!</v>
      </c>
      <c r="W416" s="824" t="e">
        <f>+'[6]입력 시트(0124)'!W423</f>
        <v>#REF!</v>
      </c>
      <c r="X416" s="824" t="e">
        <f>+'[6]입력 시트(0124)'!X423</f>
        <v>#REF!</v>
      </c>
      <c r="Y416" s="824" t="e">
        <f>+'[6]입력 시트(0124)'!Y423</f>
        <v>#REF!</v>
      </c>
    </row>
    <row r="417" spans="2:25" hidden="1" outlineLevel="1">
      <c r="B417" s="735"/>
      <c r="C417" s="740" t="s">
        <v>309</v>
      </c>
      <c r="D417" s="716">
        <f t="shared" si="43"/>
        <v>23</v>
      </c>
      <c r="E417" s="824">
        <f>+'[6]입력 시트(0124)'!E424</f>
        <v>0</v>
      </c>
      <c r="F417" s="824">
        <f>+'[6]입력 시트(0124)'!F424</f>
        <v>0</v>
      </c>
      <c r="G417" s="824">
        <f>+'[6]입력 시트(0124)'!G424</f>
        <v>0</v>
      </c>
      <c r="H417" s="824">
        <f>+'[6]입력 시트(0124)'!H424</f>
        <v>0</v>
      </c>
      <c r="I417" s="824">
        <f>+'[6]입력 시트(0124)'!I424</f>
        <v>0</v>
      </c>
      <c r="J417" s="824" t="e">
        <f>+'[6]입력 시트(0124)'!J424</f>
        <v>#REF!</v>
      </c>
      <c r="K417" s="824">
        <f>+'[6]입력 시트(0124)'!G424</f>
        <v>0</v>
      </c>
      <c r="L417" s="824">
        <f>+'[6]입력 시트(0124)'!H424</f>
        <v>0</v>
      </c>
      <c r="M417" s="824">
        <f>+'[6]입력 시트(0124)'!I424</f>
        <v>0</v>
      </c>
      <c r="N417" s="824" t="e">
        <f>+'[6]입력 시트(0124)'!N424</f>
        <v>#REF!</v>
      </c>
      <c r="O417" s="824" t="e">
        <f>+'[6]입력 시트(0124)'!O424</f>
        <v>#REF!</v>
      </c>
      <c r="P417" s="824" t="e">
        <f>+'[6]입력 시트(0124)'!P424</f>
        <v>#REF!</v>
      </c>
      <c r="Q417" s="824" t="e">
        <f>+'[6]입력 시트(0124)'!Q424</f>
        <v>#REF!</v>
      </c>
      <c r="T417" s="824" t="e">
        <f>+'[6]입력 시트(0124)'!T424</f>
        <v>#REF!</v>
      </c>
      <c r="U417" s="824" t="e">
        <f>+'[6]입력 시트(0124)'!U424</f>
        <v>#REF!</v>
      </c>
      <c r="V417" s="824" t="e">
        <f>+'[6]입력 시트(0124)'!V424</f>
        <v>#REF!</v>
      </c>
      <c r="W417" s="824" t="e">
        <f>+'[6]입력 시트(0124)'!W424</f>
        <v>#REF!</v>
      </c>
      <c r="X417" s="824" t="e">
        <f>+'[6]입력 시트(0124)'!X424</f>
        <v>#REF!</v>
      </c>
      <c r="Y417" s="824" t="e">
        <f>+'[6]입력 시트(0124)'!Y424</f>
        <v>#REF!</v>
      </c>
    </row>
    <row r="418" spans="2:25" hidden="1" outlineLevel="1">
      <c r="B418" s="735"/>
      <c r="C418" s="740" t="s">
        <v>309</v>
      </c>
      <c r="D418" s="716">
        <f t="shared" si="43"/>
        <v>24</v>
      </c>
      <c r="E418" s="824">
        <f>+'[6]입력 시트(0124)'!E425</f>
        <v>0</v>
      </c>
      <c r="F418" s="824">
        <f>+'[6]입력 시트(0124)'!F425</f>
        <v>0</v>
      </c>
      <c r="G418" s="824">
        <f>+'[6]입력 시트(0124)'!G425</f>
        <v>0</v>
      </c>
      <c r="H418" s="824">
        <f>+'[6]입력 시트(0124)'!H425</f>
        <v>0</v>
      </c>
      <c r="I418" s="824">
        <f>+'[6]입력 시트(0124)'!I425</f>
        <v>0</v>
      </c>
      <c r="J418" s="824" t="e">
        <f>+'[6]입력 시트(0124)'!J425</f>
        <v>#REF!</v>
      </c>
      <c r="K418" s="824">
        <f>+'[6]입력 시트(0124)'!G425</f>
        <v>0</v>
      </c>
      <c r="L418" s="824">
        <f>+'[6]입력 시트(0124)'!H425</f>
        <v>0</v>
      </c>
      <c r="M418" s="824">
        <f>+'[6]입력 시트(0124)'!I425</f>
        <v>0</v>
      </c>
      <c r="N418" s="824" t="e">
        <f>+'[6]입력 시트(0124)'!N425</f>
        <v>#REF!</v>
      </c>
      <c r="O418" s="824" t="e">
        <f>+'[6]입력 시트(0124)'!O425</f>
        <v>#REF!</v>
      </c>
      <c r="P418" s="824" t="e">
        <f>+'[6]입력 시트(0124)'!P425</f>
        <v>#REF!</v>
      </c>
      <c r="Q418" s="824" t="e">
        <f>+'[6]입력 시트(0124)'!Q425</f>
        <v>#REF!</v>
      </c>
      <c r="T418" s="824" t="e">
        <f>+'[6]입력 시트(0124)'!T425</f>
        <v>#REF!</v>
      </c>
      <c r="U418" s="824" t="e">
        <f>+'[6]입력 시트(0124)'!U425</f>
        <v>#REF!</v>
      </c>
      <c r="V418" s="824" t="e">
        <f>+'[6]입력 시트(0124)'!V425</f>
        <v>#REF!</v>
      </c>
      <c r="W418" s="824" t="e">
        <f>+'[6]입력 시트(0124)'!W425</f>
        <v>#REF!</v>
      </c>
      <c r="X418" s="824" t="e">
        <f>+'[6]입력 시트(0124)'!X425</f>
        <v>#REF!</v>
      </c>
      <c r="Y418" s="824" t="e">
        <f>+'[6]입력 시트(0124)'!Y425</f>
        <v>#REF!</v>
      </c>
    </row>
    <row r="419" spans="2:25" hidden="1" outlineLevel="1">
      <c r="B419" s="735" t="s">
        <v>540</v>
      </c>
      <c r="E419" s="826"/>
      <c r="F419" s="826"/>
      <c r="G419" s="826"/>
      <c r="H419" s="826"/>
      <c r="I419" s="826"/>
      <c r="J419" s="826"/>
      <c r="K419" s="826"/>
      <c r="L419" s="826"/>
      <c r="M419" s="826"/>
      <c r="N419" s="826"/>
      <c r="O419" s="826"/>
      <c r="P419" s="826"/>
      <c r="Q419" s="826"/>
      <c r="T419" s="826"/>
      <c r="U419" s="826"/>
      <c r="V419" s="826"/>
      <c r="W419" s="826"/>
      <c r="X419" s="826"/>
      <c r="Y419" s="826"/>
    </row>
  </sheetData>
  <mergeCells count="18">
    <mergeCell ref="C355:D355"/>
    <mergeCell ref="C102:D102"/>
    <mergeCell ref="C111:D111"/>
    <mergeCell ref="C120:D120"/>
    <mergeCell ref="C130:D130"/>
    <mergeCell ref="C157:D157"/>
    <mergeCell ref="C193:D193"/>
    <mergeCell ref="C257:D257"/>
    <mergeCell ref="C289:D289"/>
    <mergeCell ref="C291:D291"/>
    <mergeCell ref="C323:D323"/>
    <mergeCell ref="E1:Q1"/>
    <mergeCell ref="C93:D93"/>
    <mergeCell ref="C11:D11"/>
    <mergeCell ref="C12:D12"/>
    <mergeCell ref="C66:D67"/>
    <mergeCell ref="C75:D75"/>
    <mergeCell ref="C84:D84"/>
  </mergeCells>
  <phoneticPr fontId="9" type="noConversion"/>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35601-1F2D-4BC2-90A9-CEBD934249B7}">
  <dimension ref="A1:Y359"/>
  <sheetViews>
    <sheetView zoomScaleNormal="100" workbookViewId="0">
      <pane xSplit="2" ySplit="6" topLeftCell="D7" activePane="bottomRight" state="frozen"/>
      <selection activeCell="C36" sqref="B22:C54"/>
      <selection pane="topRight" activeCell="C36" sqref="B22:C54"/>
      <selection pane="bottomLeft" activeCell="C36" sqref="B22:C54"/>
      <selection pane="bottomRight" activeCell="C36" sqref="B22:C54"/>
    </sheetView>
  </sheetViews>
  <sheetFormatPr defaultColWidth="10.42578125" defaultRowHeight="12.75" outlineLevelRow="2"/>
  <cols>
    <col min="1" max="1" width="3.42578125" style="716" customWidth="1"/>
    <col min="2" max="2" width="30.7109375" style="716" bestFit="1" customWidth="1"/>
    <col min="3" max="3" width="62.5703125" style="740" customWidth="1"/>
    <col min="4" max="4" width="33.5703125" style="716" customWidth="1"/>
    <col min="5" max="12" width="18" style="716" customWidth="1"/>
    <col min="13" max="17" width="18" style="716" hidden="1" customWidth="1"/>
    <col min="18" max="19" width="18" style="716" customWidth="1"/>
    <col min="20" max="25" width="18" style="716" hidden="1" customWidth="1"/>
    <col min="26" max="16384" width="10.42578125" style="716"/>
  </cols>
  <sheetData>
    <row r="1" spans="1:25" s="707" customFormat="1" ht="15">
      <c r="A1" s="706" t="s">
        <v>446</v>
      </c>
      <c r="C1" s="708"/>
      <c r="E1" s="1354"/>
      <c r="F1" s="1354"/>
      <c r="G1" s="1354"/>
      <c r="H1" s="1354"/>
      <c r="I1" s="1354"/>
      <c r="J1" s="1354"/>
      <c r="K1" s="1354"/>
      <c r="L1" s="1354"/>
      <c r="M1" s="1354"/>
      <c r="N1" s="1354"/>
      <c r="O1" s="1354"/>
      <c r="P1" s="1354"/>
      <c r="Q1" s="1354"/>
    </row>
    <row r="2" spans="1:25" s="707" customFormat="1" ht="37.5" customHeight="1">
      <c r="B2" s="709"/>
      <c r="C2" s="710"/>
      <c r="D2" s="711"/>
      <c r="E2" s="712" t="s">
        <v>447</v>
      </c>
      <c r="F2" s="712" t="s">
        <v>448</v>
      </c>
      <c r="G2" s="712" t="s">
        <v>449</v>
      </c>
      <c r="H2" s="712" t="s">
        <v>450</v>
      </c>
      <c r="I2" s="712" t="s">
        <v>451</v>
      </c>
      <c r="J2" s="712" t="s">
        <v>452</v>
      </c>
      <c r="K2" s="712" t="s">
        <v>453</v>
      </c>
      <c r="L2" s="712" t="s">
        <v>454</v>
      </c>
      <c r="M2" s="712"/>
      <c r="N2" s="712"/>
      <c r="O2" s="712"/>
      <c r="P2" s="712"/>
      <c r="Q2" s="712"/>
      <c r="T2" s="943" t="s">
        <v>447</v>
      </c>
      <c r="U2" s="943" t="s">
        <v>448</v>
      </c>
      <c r="V2" s="943" t="s">
        <v>449</v>
      </c>
      <c r="W2" s="943" t="s">
        <v>450</v>
      </c>
      <c r="X2" s="943" t="s">
        <v>451</v>
      </c>
      <c r="Y2" s="943" t="s">
        <v>452</v>
      </c>
    </row>
    <row r="3" spans="1:25" s="707" customFormat="1" ht="27.75" customHeight="1">
      <c r="B3" s="713" t="s">
        <v>460</v>
      </c>
      <c r="C3" s="714"/>
      <c r="D3" s="713"/>
      <c r="E3" s="715"/>
      <c r="F3" s="715"/>
      <c r="G3" s="715"/>
      <c r="H3" s="715"/>
      <c r="I3" s="715"/>
      <c r="J3" s="715"/>
      <c r="K3" s="715"/>
      <c r="L3" s="715"/>
      <c r="M3" s="715"/>
      <c r="N3" s="715"/>
      <c r="O3" s="715"/>
      <c r="P3" s="715"/>
      <c r="Q3" s="715"/>
      <c r="T3" s="944"/>
      <c r="U3" s="944"/>
      <c r="V3" s="944"/>
      <c r="W3" s="944"/>
      <c r="X3" s="944"/>
      <c r="Y3" s="944"/>
    </row>
    <row r="4" spans="1:25" s="707" customFormat="1" ht="15" outlineLevel="1">
      <c r="B4" s="709"/>
      <c r="C4" s="710"/>
      <c r="D4" s="711"/>
      <c r="E4" s="717"/>
      <c r="F4" s="717"/>
      <c r="G4" s="717"/>
      <c r="H4" s="717"/>
      <c r="I4" s="717"/>
      <c r="J4" s="717"/>
      <c r="K4" s="717"/>
      <c r="L4" s="718" t="s">
        <v>461</v>
      </c>
      <c r="N4" s="717"/>
      <c r="O4" s="717"/>
      <c r="P4" s="717"/>
      <c r="T4" s="945"/>
      <c r="U4" s="945"/>
      <c r="V4" s="945"/>
      <c r="W4" s="945"/>
      <c r="X4" s="945"/>
      <c r="Y4" s="945"/>
    </row>
    <row r="5" spans="1:25" ht="24" customHeight="1" outlineLevel="1">
      <c r="B5" s="719" t="s">
        <v>462</v>
      </c>
      <c r="C5" s="720" t="s">
        <v>463</v>
      </c>
      <c r="D5" s="721"/>
      <c r="E5" s="799" t="str">
        <f>+'BT 3HO'!C36</f>
        <v>Changseong High Tech</v>
      </c>
      <c r="F5" s="799" t="str">
        <f>+'BT 3HO'!C21</f>
        <v>LSG</v>
      </c>
      <c r="G5" s="799" t="str">
        <f>+'BT 3HO'!C26</f>
        <v>Hanseo Motors</v>
      </c>
      <c r="H5" s="799" t="str">
        <f>+'BT 3HO'!C11</f>
        <v>Seun Steel Gyeongju</v>
      </c>
      <c r="I5" s="799" t="str">
        <f>+'BT 3HO'!C16</f>
        <v>Oneel</v>
      </c>
      <c r="J5" s="799" t="str">
        <f>+'BT 3HO'!C46</f>
        <v>E-Tech</v>
      </c>
      <c r="K5" s="799" t="str">
        <f>+'BT 3HO'!C31</f>
        <v>Daechon Headquarters</v>
      </c>
      <c r="L5" s="799" t="str">
        <f>+'BT 3HO'!C41</f>
        <v>Daechon Busan</v>
      </c>
      <c r="M5" s="799"/>
      <c r="N5" s="799"/>
      <c r="O5" s="799"/>
      <c r="P5" s="799"/>
      <c r="Q5" s="799"/>
      <c r="T5" s="799">
        <f>+'BT 2HO'!R11</f>
        <v>0</v>
      </c>
      <c r="U5" s="799">
        <f>+'BT 2HO'!R16</f>
        <v>0</v>
      </c>
      <c r="V5" s="799">
        <f>+'BT 2HO'!R21</f>
        <v>0</v>
      </c>
      <c r="W5" s="799">
        <f>+'BT 2HO'!R26</f>
        <v>0</v>
      </c>
      <c r="X5" s="799">
        <f>+'BT 2HO'!R31</f>
        <v>0</v>
      </c>
      <c r="Y5" s="799">
        <f>+'BT 2HO'!R41</f>
        <v>0</v>
      </c>
    </row>
    <row r="6" spans="1:25" ht="24" customHeight="1" outlineLevel="1">
      <c r="B6" s="719" t="s">
        <v>464</v>
      </c>
      <c r="C6" s="720" t="s">
        <v>463</v>
      </c>
      <c r="D6" s="721"/>
      <c r="E6" s="799" t="str">
        <f>+E5</f>
        <v>Changseong High Tech</v>
      </c>
      <c r="F6" s="799" t="str">
        <f>+F5</f>
        <v>LSG</v>
      </c>
      <c r="G6" s="799" t="str">
        <f t="shared" ref="G6:L6" si="0">+G5</f>
        <v>Hanseo Motors</v>
      </c>
      <c r="H6" s="799" t="str">
        <f t="shared" si="0"/>
        <v>Seun Steel Gyeongju</v>
      </c>
      <c r="I6" s="799" t="str">
        <f t="shared" si="0"/>
        <v>Oneel</v>
      </c>
      <c r="J6" s="799" t="str">
        <f t="shared" si="0"/>
        <v>E-Tech</v>
      </c>
      <c r="K6" s="799" t="str">
        <f t="shared" si="0"/>
        <v>Daechon Headquarters</v>
      </c>
      <c r="L6" s="799" t="str">
        <f t="shared" si="0"/>
        <v>Daechon Busan</v>
      </c>
      <c r="M6" s="799"/>
      <c r="N6" s="799"/>
      <c r="O6" s="799"/>
      <c r="P6" s="799"/>
      <c r="Q6" s="799"/>
      <c r="T6" s="799">
        <f t="shared" ref="T6:Y6" si="1">+T5</f>
        <v>0</v>
      </c>
      <c r="U6" s="799">
        <f t="shared" si="1"/>
        <v>0</v>
      </c>
      <c r="V6" s="799">
        <f t="shared" si="1"/>
        <v>0</v>
      </c>
      <c r="W6" s="799">
        <f t="shared" si="1"/>
        <v>0</v>
      </c>
      <c r="X6" s="799">
        <f t="shared" si="1"/>
        <v>0</v>
      </c>
      <c r="Y6" s="799">
        <f t="shared" si="1"/>
        <v>0</v>
      </c>
    </row>
    <row r="7" spans="1:25" ht="14.25" outlineLevel="1">
      <c r="B7" s="719" t="s">
        <v>465</v>
      </c>
      <c r="C7" s="724" t="s">
        <v>466</v>
      </c>
      <c r="D7" s="725"/>
      <c r="E7" s="799" t="s">
        <v>467</v>
      </c>
      <c r="F7" s="799" t="s">
        <v>467</v>
      </c>
      <c r="G7" s="799" t="s">
        <v>467</v>
      </c>
      <c r="H7" s="799" t="s">
        <v>467</v>
      </c>
      <c r="I7" s="799" t="s">
        <v>467</v>
      </c>
      <c r="J7" s="799" t="s">
        <v>467</v>
      </c>
      <c r="K7" s="799" t="s">
        <v>467</v>
      </c>
      <c r="L7" s="799" t="s">
        <v>467</v>
      </c>
      <c r="M7" s="799" t="s">
        <v>467</v>
      </c>
      <c r="N7" s="799" t="s">
        <v>467</v>
      </c>
      <c r="O7" s="799" t="s">
        <v>467</v>
      </c>
      <c r="P7" s="799" t="s">
        <v>467</v>
      </c>
      <c r="Q7" s="799" t="s">
        <v>467</v>
      </c>
      <c r="T7" s="799" t="s">
        <v>467</v>
      </c>
      <c r="U7" s="799" t="s">
        <v>467</v>
      </c>
      <c r="V7" s="799" t="s">
        <v>467</v>
      </c>
      <c r="W7" s="799" t="s">
        <v>467</v>
      </c>
      <c r="X7" s="799" t="s">
        <v>467</v>
      </c>
      <c r="Y7" s="799" t="s">
        <v>467</v>
      </c>
    </row>
    <row r="8" spans="1:25" s="793" customFormat="1" ht="25.5" outlineLevel="2">
      <c r="B8" s="794" t="s">
        <v>468</v>
      </c>
      <c r="C8" s="795" t="s">
        <v>469</v>
      </c>
      <c r="D8" s="796"/>
      <c r="E8" s="800" t="s">
        <v>472</v>
      </c>
      <c r="F8" s="800" t="s">
        <v>579</v>
      </c>
      <c r="G8" s="800" t="s">
        <v>579</v>
      </c>
      <c r="H8" s="800" t="s">
        <v>580</v>
      </c>
      <c r="I8" s="800" t="s">
        <v>474</v>
      </c>
      <c r="J8" s="800" t="s">
        <v>474</v>
      </c>
      <c r="K8" s="800" t="s">
        <v>474</v>
      </c>
      <c r="L8" s="800" t="s">
        <v>470</v>
      </c>
      <c r="M8" s="800"/>
      <c r="N8" s="800"/>
      <c r="O8" s="800"/>
      <c r="P8" s="800"/>
      <c r="Q8" s="800"/>
      <c r="T8" s="800" t="s">
        <v>470</v>
      </c>
      <c r="U8" s="800" t="s">
        <v>470</v>
      </c>
      <c r="V8" s="800" t="s">
        <v>471</v>
      </c>
      <c r="W8" s="800" t="s">
        <v>472</v>
      </c>
      <c r="X8" s="800" t="s">
        <v>472</v>
      </c>
      <c r="Y8" s="800" t="s">
        <v>472</v>
      </c>
    </row>
    <row r="9" spans="1:25" ht="14.25" outlineLevel="2">
      <c r="B9" s="719" t="s">
        <v>475</v>
      </c>
      <c r="C9" s="724" t="s">
        <v>476</v>
      </c>
      <c r="D9" s="725"/>
      <c r="E9" s="801" t="s">
        <v>477</v>
      </c>
      <c r="F9" s="801" t="s">
        <v>477</v>
      </c>
      <c r="G9" s="801" t="s">
        <v>477</v>
      </c>
      <c r="H9" s="801" t="s">
        <v>477</v>
      </c>
      <c r="I9" s="801" t="s">
        <v>477</v>
      </c>
      <c r="J9" s="801" t="s">
        <v>477</v>
      </c>
      <c r="K9" s="801" t="s">
        <v>477</v>
      </c>
      <c r="L9" s="801" t="s">
        <v>477</v>
      </c>
      <c r="M9" s="801" t="s">
        <v>477</v>
      </c>
      <c r="N9" s="801" t="s">
        <v>477</v>
      </c>
      <c r="O9" s="801" t="s">
        <v>477</v>
      </c>
      <c r="P9" s="801" t="s">
        <v>477</v>
      </c>
      <c r="Q9" s="801" t="s">
        <v>477</v>
      </c>
      <c r="T9" s="801" t="s">
        <v>477</v>
      </c>
      <c r="U9" s="801" t="s">
        <v>477</v>
      </c>
      <c r="V9" s="801" t="s">
        <v>477</v>
      </c>
      <c r="W9" s="801" t="s">
        <v>477</v>
      </c>
      <c r="X9" s="801" t="s">
        <v>477</v>
      </c>
      <c r="Y9" s="801" t="s">
        <v>477</v>
      </c>
    </row>
    <row r="10" spans="1:25" s="793" customFormat="1" ht="14.25" outlineLevel="2">
      <c r="B10" s="794" t="s">
        <v>478</v>
      </c>
      <c r="C10" s="795" t="s">
        <v>476</v>
      </c>
      <c r="D10" s="797"/>
      <c r="E10" s="801" t="s">
        <v>479</v>
      </c>
      <c r="F10" s="801" t="s">
        <v>479</v>
      </c>
      <c r="G10" s="801" t="s">
        <v>479</v>
      </c>
      <c r="H10" s="801" t="s">
        <v>264</v>
      </c>
      <c r="I10" s="801" t="s">
        <v>479</v>
      </c>
      <c r="J10" s="801" t="s">
        <v>264</v>
      </c>
      <c r="K10" s="801" t="s">
        <v>479</v>
      </c>
      <c r="L10" s="801" t="s">
        <v>479</v>
      </c>
      <c r="M10" s="801" t="s">
        <v>479</v>
      </c>
      <c r="N10" s="801" t="s">
        <v>479</v>
      </c>
      <c r="O10" s="801" t="s">
        <v>480</v>
      </c>
      <c r="P10" s="801" t="s">
        <v>480</v>
      </c>
      <c r="Q10" s="801" t="s">
        <v>264</v>
      </c>
      <c r="T10" s="801" t="s">
        <v>479</v>
      </c>
      <c r="U10" s="801" t="s">
        <v>479</v>
      </c>
      <c r="V10" s="801" t="s">
        <v>479</v>
      </c>
      <c r="W10" s="801" t="s">
        <v>479</v>
      </c>
      <c r="X10" s="801" t="s">
        <v>479</v>
      </c>
      <c r="Y10" s="801" t="s">
        <v>264</v>
      </c>
    </row>
    <row r="11" spans="1:25" ht="29.25" customHeight="1" outlineLevel="1">
      <c r="B11" s="719" t="s">
        <v>481</v>
      </c>
      <c r="C11" s="1357" t="s">
        <v>482</v>
      </c>
      <c r="D11" s="1357"/>
      <c r="E11" s="799" t="s">
        <v>483</v>
      </c>
      <c r="F11" s="799" t="s">
        <v>483</v>
      </c>
      <c r="G11" s="799" t="s">
        <v>483</v>
      </c>
      <c r="H11" s="799" t="s">
        <v>483</v>
      </c>
      <c r="I11" s="799" t="s">
        <v>483</v>
      </c>
      <c r="J11" s="799" t="s">
        <v>483</v>
      </c>
      <c r="K11" s="799" t="s">
        <v>483</v>
      </c>
      <c r="L11" s="799" t="s">
        <v>483</v>
      </c>
      <c r="M11" s="799" t="s">
        <v>483</v>
      </c>
      <c r="N11" s="799" t="s">
        <v>483</v>
      </c>
      <c r="O11" s="799" t="s">
        <v>483</v>
      </c>
      <c r="P11" s="799" t="s">
        <v>483</v>
      </c>
      <c r="Q11" s="799" t="s">
        <v>483</v>
      </c>
      <c r="T11" s="799" t="s">
        <v>483</v>
      </c>
      <c r="U11" s="799" t="s">
        <v>483</v>
      </c>
      <c r="V11" s="799" t="s">
        <v>483</v>
      </c>
      <c r="W11" s="799" t="s">
        <v>483</v>
      </c>
      <c r="X11" s="799" t="s">
        <v>483</v>
      </c>
      <c r="Y11" s="799" t="s">
        <v>483</v>
      </c>
    </row>
    <row r="12" spans="1:25" ht="22.5" customHeight="1" outlineLevel="2">
      <c r="B12" s="719" t="s">
        <v>484</v>
      </c>
      <c r="C12" s="1357" t="s">
        <v>485</v>
      </c>
      <c r="D12" s="1357"/>
      <c r="E12" s="799" t="s">
        <v>486</v>
      </c>
      <c r="F12" s="799" t="s">
        <v>486</v>
      </c>
      <c r="G12" s="799" t="s">
        <v>486</v>
      </c>
      <c r="H12" s="799" t="s">
        <v>486</v>
      </c>
      <c r="I12" s="799" t="s">
        <v>486</v>
      </c>
      <c r="J12" s="799" t="s">
        <v>486</v>
      </c>
      <c r="K12" s="799" t="s">
        <v>486</v>
      </c>
      <c r="L12" s="799" t="s">
        <v>486</v>
      </c>
      <c r="M12" s="799" t="s">
        <v>486</v>
      </c>
      <c r="N12" s="799" t="s">
        <v>486</v>
      </c>
      <c r="O12" s="799" t="s">
        <v>486</v>
      </c>
      <c r="P12" s="799" t="s">
        <v>486</v>
      </c>
      <c r="Q12" s="799" t="s">
        <v>486</v>
      </c>
      <c r="T12" s="799" t="s">
        <v>486</v>
      </c>
      <c r="U12" s="799" t="s">
        <v>486</v>
      </c>
      <c r="V12" s="799" t="s">
        <v>486</v>
      </c>
      <c r="W12" s="799" t="s">
        <v>486</v>
      </c>
      <c r="X12" s="799" t="s">
        <v>486</v>
      </c>
      <c r="Y12" s="799" t="s">
        <v>486</v>
      </c>
    </row>
    <row r="13" spans="1:25" ht="14.25" outlineLevel="2">
      <c r="B13" s="719"/>
      <c r="C13" s="724"/>
      <c r="D13" s="725"/>
      <c r="E13" s="727"/>
      <c r="F13" s="727"/>
      <c r="G13" s="727"/>
      <c r="H13" s="727"/>
      <c r="I13" s="727"/>
      <c r="J13" s="727"/>
      <c r="K13" s="727"/>
      <c r="L13" s="727"/>
      <c r="M13" s="727"/>
      <c r="N13" s="727"/>
      <c r="O13" s="727"/>
      <c r="P13" s="727"/>
      <c r="Q13" s="727"/>
      <c r="T13" s="807"/>
      <c r="U13" s="807"/>
      <c r="V13" s="807"/>
      <c r="W13" s="807"/>
      <c r="X13" s="807"/>
      <c r="Y13" s="807"/>
    </row>
    <row r="14" spans="1:25" ht="14.25" outlineLevel="2">
      <c r="B14" s="719" t="s">
        <v>487</v>
      </c>
      <c r="C14" s="724" t="s">
        <v>488</v>
      </c>
      <c r="D14" s="725"/>
      <c r="E14" s="799" t="s">
        <v>35</v>
      </c>
      <c r="F14" s="799" t="s">
        <v>489</v>
      </c>
      <c r="G14" s="799" t="s">
        <v>489</v>
      </c>
      <c r="H14" s="799" t="s">
        <v>489</v>
      </c>
      <c r="I14" s="799" t="s">
        <v>489</v>
      </c>
      <c r="J14" s="799" t="s">
        <v>489</v>
      </c>
      <c r="K14" s="799" t="s">
        <v>489</v>
      </c>
      <c r="L14" s="799" t="s">
        <v>489</v>
      </c>
      <c r="M14" s="799" t="s">
        <v>489</v>
      </c>
      <c r="N14" s="799" t="s">
        <v>489</v>
      </c>
      <c r="O14" s="799" t="s">
        <v>489</v>
      </c>
      <c r="P14" s="799" t="s">
        <v>489</v>
      </c>
      <c r="Q14" s="799" t="s">
        <v>489</v>
      </c>
      <c r="T14" s="799" t="s">
        <v>35</v>
      </c>
      <c r="U14" s="799" t="s">
        <v>489</v>
      </c>
      <c r="V14" s="799" t="s">
        <v>489</v>
      </c>
      <c r="W14" s="799" t="s">
        <v>489</v>
      </c>
      <c r="X14" s="799" t="s">
        <v>489</v>
      </c>
      <c r="Y14" s="799" t="s">
        <v>489</v>
      </c>
    </row>
    <row r="15" spans="1:25" s="707" customFormat="1" ht="15" outlineLevel="1">
      <c r="C15" s="708"/>
      <c r="E15" s="783"/>
      <c r="F15" s="783"/>
      <c r="G15" s="783"/>
      <c r="H15" s="783"/>
      <c r="I15" s="783"/>
      <c r="J15" s="783"/>
      <c r="K15" s="783"/>
      <c r="L15" s="783"/>
      <c r="M15" s="783"/>
      <c r="N15" s="783"/>
      <c r="O15" s="783"/>
      <c r="P15" s="783"/>
      <c r="Q15" s="783"/>
      <c r="T15" s="783"/>
      <c r="U15" s="783"/>
      <c r="V15" s="783"/>
      <c r="W15" s="783"/>
      <c r="X15" s="783"/>
      <c r="Y15" s="783"/>
    </row>
    <row r="16" spans="1:25" s="793" customFormat="1" ht="14.25" outlineLevel="2">
      <c r="B16" s="794" t="s">
        <v>490</v>
      </c>
      <c r="C16" s="798" t="s">
        <v>491</v>
      </c>
      <c r="D16" s="797"/>
      <c r="E16" s="799">
        <v>45962</v>
      </c>
      <c r="F16" s="799">
        <v>45962</v>
      </c>
      <c r="G16" s="799">
        <v>45962</v>
      </c>
      <c r="H16" s="799">
        <v>46022</v>
      </c>
      <c r="I16" s="799">
        <v>45962</v>
      </c>
      <c r="J16" s="799">
        <v>46022</v>
      </c>
      <c r="K16" s="799">
        <v>45962</v>
      </c>
      <c r="L16" s="799">
        <v>45962</v>
      </c>
      <c r="M16" s="799"/>
      <c r="N16" s="799"/>
      <c r="O16" s="799"/>
      <c r="P16" s="799"/>
      <c r="Q16" s="799"/>
      <c r="T16" s="799">
        <v>45962</v>
      </c>
      <c r="U16" s="799">
        <v>45962</v>
      </c>
      <c r="V16" s="799">
        <v>45962</v>
      </c>
      <c r="W16" s="799">
        <v>45962</v>
      </c>
      <c r="X16" s="799">
        <v>45962</v>
      </c>
      <c r="Y16" s="799">
        <v>46022</v>
      </c>
    </row>
    <row r="17" spans="2:25" ht="14.25" outlineLevel="2">
      <c r="B17" s="719" t="s">
        <v>492</v>
      </c>
      <c r="C17" s="720" t="s">
        <v>493</v>
      </c>
      <c r="D17" s="721"/>
      <c r="E17" s="802">
        <v>5</v>
      </c>
      <c r="F17" s="802">
        <v>5</v>
      </c>
      <c r="G17" s="802">
        <v>5</v>
      </c>
      <c r="H17" s="802">
        <v>5</v>
      </c>
      <c r="I17" s="802">
        <v>5</v>
      </c>
      <c r="J17" s="802">
        <v>5</v>
      </c>
      <c r="K17" s="802">
        <v>5</v>
      </c>
      <c r="L17" s="802">
        <v>5</v>
      </c>
      <c r="M17" s="802">
        <v>5</v>
      </c>
      <c r="N17" s="802">
        <v>5</v>
      </c>
      <c r="O17" s="802">
        <v>5</v>
      </c>
      <c r="P17" s="802">
        <v>5</v>
      </c>
      <c r="Q17" s="802">
        <v>5</v>
      </c>
      <c r="T17" s="802">
        <v>5</v>
      </c>
      <c r="U17" s="802">
        <v>5</v>
      </c>
      <c r="V17" s="802">
        <v>5</v>
      </c>
      <c r="W17" s="802">
        <v>5</v>
      </c>
      <c r="X17" s="802">
        <v>5</v>
      </c>
      <c r="Y17" s="802">
        <v>5</v>
      </c>
    </row>
    <row r="18" spans="2:25" ht="14.25" outlineLevel="2">
      <c r="B18" s="719" t="s">
        <v>494</v>
      </c>
      <c r="C18" s="720"/>
      <c r="D18" s="721"/>
      <c r="E18" s="799">
        <v>46053</v>
      </c>
      <c r="F18" s="799">
        <v>46053</v>
      </c>
      <c r="G18" s="799">
        <v>46053</v>
      </c>
      <c r="H18" s="799">
        <v>46053</v>
      </c>
      <c r="I18" s="799">
        <v>46053</v>
      </c>
      <c r="J18" s="799">
        <v>46053</v>
      </c>
      <c r="K18" s="799">
        <v>46053</v>
      </c>
      <c r="L18" s="799">
        <v>46053</v>
      </c>
      <c r="M18" s="799"/>
      <c r="N18" s="799"/>
      <c r="O18" s="799"/>
      <c r="P18" s="799"/>
      <c r="Q18" s="799"/>
      <c r="T18" s="799">
        <v>46053</v>
      </c>
      <c r="U18" s="799">
        <v>46022</v>
      </c>
      <c r="V18" s="799">
        <v>46022</v>
      </c>
      <c r="W18" s="799">
        <v>46022</v>
      </c>
      <c r="X18" s="799">
        <v>46022</v>
      </c>
      <c r="Y18" s="799">
        <v>46053</v>
      </c>
    </row>
    <row r="19" spans="2:25" s="793" customFormat="1" ht="14.25" outlineLevel="2">
      <c r="B19" s="794" t="s">
        <v>495</v>
      </c>
      <c r="C19" s="798" t="s">
        <v>496</v>
      </c>
      <c r="D19" s="797"/>
      <c r="E19" s="799">
        <f t="shared" ref="E19:L19" si="2">+EDATE(E18,5)</f>
        <v>46203</v>
      </c>
      <c r="F19" s="799">
        <f t="shared" si="2"/>
        <v>46203</v>
      </c>
      <c r="G19" s="799">
        <f t="shared" si="2"/>
        <v>46203</v>
      </c>
      <c r="H19" s="799">
        <f t="shared" si="2"/>
        <v>46203</v>
      </c>
      <c r="I19" s="799">
        <f t="shared" si="2"/>
        <v>46203</v>
      </c>
      <c r="J19" s="799">
        <f t="shared" si="2"/>
        <v>46203</v>
      </c>
      <c r="K19" s="799">
        <f t="shared" si="2"/>
        <v>46203</v>
      </c>
      <c r="L19" s="799">
        <f t="shared" si="2"/>
        <v>46203</v>
      </c>
      <c r="M19" s="799"/>
      <c r="N19" s="799"/>
      <c r="O19" s="799"/>
      <c r="P19" s="799"/>
      <c r="Q19" s="799"/>
      <c r="T19" s="799">
        <v>46203</v>
      </c>
      <c r="U19" s="799">
        <v>46173</v>
      </c>
      <c r="V19" s="799">
        <v>46173</v>
      </c>
      <c r="W19" s="799">
        <v>46173</v>
      </c>
      <c r="X19" s="799">
        <v>46173</v>
      </c>
      <c r="Y19" s="799">
        <v>46203</v>
      </c>
    </row>
    <row r="20" spans="2:25" ht="14.25" outlineLevel="2">
      <c r="B20" s="719" t="s">
        <v>497</v>
      </c>
      <c r="C20" s="720" t="s">
        <v>304</v>
      </c>
      <c r="D20" s="721" t="s">
        <v>498</v>
      </c>
      <c r="E20" s="802">
        <v>20</v>
      </c>
      <c r="F20" s="802">
        <v>20</v>
      </c>
      <c r="G20" s="802">
        <v>20</v>
      </c>
      <c r="H20" s="802">
        <v>20</v>
      </c>
      <c r="I20" s="802">
        <v>20</v>
      </c>
      <c r="J20" s="802">
        <v>20</v>
      </c>
      <c r="K20" s="802">
        <v>20</v>
      </c>
      <c r="L20" s="802">
        <v>20</v>
      </c>
      <c r="M20" s="802">
        <v>20</v>
      </c>
      <c r="N20" s="802">
        <v>20</v>
      </c>
      <c r="O20" s="802">
        <v>20</v>
      </c>
      <c r="P20" s="802">
        <v>20</v>
      </c>
      <c r="Q20" s="802">
        <v>20</v>
      </c>
      <c r="T20" s="802">
        <v>20</v>
      </c>
      <c r="U20" s="802">
        <v>20</v>
      </c>
      <c r="V20" s="802">
        <v>20</v>
      </c>
      <c r="W20" s="802">
        <v>20</v>
      </c>
      <c r="X20" s="802">
        <v>20</v>
      </c>
      <c r="Y20" s="802">
        <v>20</v>
      </c>
    </row>
    <row r="21" spans="2:25" ht="14.25" outlineLevel="2">
      <c r="B21" s="719"/>
      <c r="C21" s="724"/>
      <c r="D21" s="725"/>
      <c r="E21" s="807"/>
      <c r="F21" s="807"/>
      <c r="G21" s="807"/>
      <c r="H21" s="807"/>
      <c r="I21" s="807"/>
      <c r="J21" s="807"/>
      <c r="K21" s="807"/>
      <c r="L21" s="807"/>
      <c r="M21" s="807"/>
      <c r="N21" s="807"/>
      <c r="O21" s="807"/>
      <c r="P21" s="807"/>
      <c r="Q21" s="807"/>
      <c r="T21" s="807"/>
      <c r="U21" s="807"/>
      <c r="V21" s="807"/>
      <c r="W21" s="807"/>
      <c r="X21" s="807"/>
      <c r="Y21" s="807"/>
    </row>
    <row r="22" spans="2:25" ht="14.25" outlineLevel="1">
      <c r="B22" s="719" t="s">
        <v>499</v>
      </c>
      <c r="C22" s="720" t="s">
        <v>500</v>
      </c>
      <c r="D22" s="721"/>
      <c r="E22" s="803" t="s">
        <v>501</v>
      </c>
      <c r="F22" s="803" t="s">
        <v>501</v>
      </c>
      <c r="G22" s="803" t="s">
        <v>501</v>
      </c>
      <c r="H22" s="803" t="s">
        <v>501</v>
      </c>
      <c r="I22" s="803" t="s">
        <v>501</v>
      </c>
      <c r="J22" s="803" t="s">
        <v>501</v>
      </c>
      <c r="K22" s="803" t="s">
        <v>501</v>
      </c>
      <c r="L22" s="803" t="s">
        <v>501</v>
      </c>
      <c r="M22" s="803" t="s">
        <v>501</v>
      </c>
      <c r="N22" s="803" t="s">
        <v>501</v>
      </c>
      <c r="O22" s="803" t="s">
        <v>501</v>
      </c>
      <c r="P22" s="803" t="s">
        <v>501</v>
      </c>
      <c r="Q22" s="803" t="s">
        <v>501</v>
      </c>
      <c r="T22" s="803" t="s">
        <v>501</v>
      </c>
      <c r="U22" s="803" t="s">
        <v>501</v>
      </c>
      <c r="V22" s="803" t="s">
        <v>501</v>
      </c>
      <c r="W22" s="803" t="s">
        <v>501</v>
      </c>
      <c r="X22" s="803" t="s">
        <v>501</v>
      </c>
      <c r="Y22" s="803" t="s">
        <v>501</v>
      </c>
    </row>
    <row r="23" spans="2:25" ht="14.25" outlineLevel="1">
      <c r="B23" s="719" t="s">
        <v>502</v>
      </c>
      <c r="C23" s="720" t="s">
        <v>500</v>
      </c>
      <c r="D23" s="721"/>
      <c r="E23" s="803" t="s">
        <v>501</v>
      </c>
      <c r="F23" s="803" t="s">
        <v>501</v>
      </c>
      <c r="G23" s="803" t="s">
        <v>501</v>
      </c>
      <c r="H23" s="803" t="s">
        <v>501</v>
      </c>
      <c r="I23" s="803" t="s">
        <v>501</v>
      </c>
      <c r="J23" s="803" t="s">
        <v>501</v>
      </c>
      <c r="K23" s="803" t="s">
        <v>501</v>
      </c>
      <c r="L23" s="803" t="s">
        <v>501</v>
      </c>
      <c r="M23" s="803" t="s">
        <v>501</v>
      </c>
      <c r="N23" s="803" t="s">
        <v>501</v>
      </c>
      <c r="O23" s="803" t="s">
        <v>501</v>
      </c>
      <c r="P23" s="803" t="s">
        <v>501</v>
      </c>
      <c r="Q23" s="803" t="s">
        <v>501</v>
      </c>
      <c r="T23" s="803" t="s">
        <v>501</v>
      </c>
      <c r="U23" s="803" t="s">
        <v>501</v>
      </c>
      <c r="V23" s="803" t="s">
        <v>501</v>
      </c>
      <c r="W23" s="803" t="s">
        <v>501</v>
      </c>
      <c r="X23" s="803" t="s">
        <v>501</v>
      </c>
      <c r="Y23" s="803" t="s">
        <v>501</v>
      </c>
    </row>
    <row r="24" spans="2:25" ht="14.25" outlineLevel="1">
      <c r="B24" s="719" t="s">
        <v>503</v>
      </c>
      <c r="C24" s="720" t="s">
        <v>504</v>
      </c>
      <c r="D24" s="721"/>
      <c r="E24" s="804">
        <f>+'CAPEX_Input_3,7HO(수정용)'!E6</f>
        <v>0.16637000000000002</v>
      </c>
      <c r="F24" s="804">
        <f>+'CAPEX_Input_3,7HO(수정용)'!E7</f>
        <v>0.49911</v>
      </c>
      <c r="G24" s="804">
        <f>+'CAPEX_Input_3,7HO(수정용)'!E8</f>
        <v>0.142875</v>
      </c>
      <c r="H24" s="804">
        <f>+'CAPEX_Input_3,7HO(수정용)'!E9</f>
        <v>0.70929500000000001</v>
      </c>
      <c r="I24" s="804">
        <f>+'CAPEX_Input_3,7HO(수정용)'!E10</f>
        <v>0.52260499999999999</v>
      </c>
      <c r="J24" s="804">
        <f>+'CAPEX_Input_3,7HO(수정용)'!E11</f>
        <v>0.14848</v>
      </c>
      <c r="K24" s="804">
        <f>+'CAPEX_Input_3,7HO(수정용)'!E12</f>
        <v>0.89788999999999997</v>
      </c>
      <c r="L24" s="804">
        <f>+'CAPEX_Input_3,7HO(수정용)'!E13</f>
        <v>1.1556999999999999</v>
      </c>
      <c r="M24" s="804"/>
      <c r="N24" s="804"/>
      <c r="O24" s="804"/>
      <c r="P24" s="804"/>
      <c r="Q24" s="804"/>
      <c r="R24" s="765" t="b">
        <f>+SUM(E24:Q24)='CAPEX_Input_3,7HO(수정용)'!E15</f>
        <v>1</v>
      </c>
      <c r="S24" s="765">
        <f>+SUM(E24:L24)</f>
        <v>4.2423250000000001</v>
      </c>
      <c r="T24" s="804">
        <f>+'CAPEX_Input_3,7HO(수정용)'!T40</f>
        <v>8.4744677000000004E-2</v>
      </c>
      <c r="U24" s="804">
        <f>+'CAPEX_Input_3,7HO(수정용)'!T33</f>
        <v>2.4285621E-2</v>
      </c>
      <c r="V24" s="804">
        <f>+'CAPEX_Input_3,7HO(수정용)'!T34</f>
        <v>3.6847296000000002E-2</v>
      </c>
      <c r="W24" s="804">
        <f>+'CAPEX_Input_3,7HO(수정용)'!T35</f>
        <v>1.9635E-2</v>
      </c>
      <c r="X24" s="804">
        <f>+'CAPEX_Input_3,7HO(수정용)'!T37</f>
        <v>1.1211799999999999E-2</v>
      </c>
      <c r="Y24" s="804">
        <f>+'CAPEX_Input_3,7HO(수정용)'!T41</f>
        <v>4.2398399999999996E-2</v>
      </c>
    </row>
    <row r="25" spans="2:25" ht="14.25" outlineLevel="1">
      <c r="B25" s="719" t="s">
        <v>505</v>
      </c>
      <c r="C25" s="720" t="s">
        <v>506</v>
      </c>
      <c r="D25" s="721"/>
      <c r="E25" s="805"/>
      <c r="F25" s="805"/>
      <c r="G25" s="805"/>
      <c r="H25" s="805"/>
      <c r="I25" s="805"/>
      <c r="J25" s="805"/>
      <c r="K25" s="805"/>
      <c r="L25" s="805"/>
      <c r="M25" s="805"/>
      <c r="N25" s="805"/>
      <c r="O25" s="805"/>
      <c r="P25" s="805"/>
      <c r="Q25" s="805"/>
      <c r="T25" s="805"/>
      <c r="U25" s="805"/>
      <c r="V25" s="805"/>
      <c r="W25" s="805"/>
      <c r="X25" s="805"/>
      <c r="Y25" s="805"/>
    </row>
    <row r="26" spans="2:25" ht="14.25" outlineLevel="1">
      <c r="B26" s="719" t="s">
        <v>507</v>
      </c>
      <c r="C26" s="720" t="s">
        <v>508</v>
      </c>
      <c r="D26" s="721"/>
      <c r="E26" s="806" t="e">
        <f>+E24/E25</f>
        <v>#DIV/0!</v>
      </c>
      <c r="F26" s="806" t="e">
        <f t="shared" ref="F26:M26" si="3">+F24/F25</f>
        <v>#DIV/0!</v>
      </c>
      <c r="G26" s="806" t="e">
        <f t="shared" si="3"/>
        <v>#DIV/0!</v>
      </c>
      <c r="H26" s="806" t="e">
        <f t="shared" si="3"/>
        <v>#DIV/0!</v>
      </c>
      <c r="I26" s="806" t="e">
        <f t="shared" si="3"/>
        <v>#DIV/0!</v>
      </c>
      <c r="J26" s="806" t="e">
        <f t="shared" si="3"/>
        <v>#DIV/0!</v>
      </c>
      <c r="K26" s="806" t="e">
        <f t="shared" si="3"/>
        <v>#DIV/0!</v>
      </c>
      <c r="L26" s="806" t="e">
        <f t="shared" si="3"/>
        <v>#DIV/0!</v>
      </c>
      <c r="M26" s="806" t="e">
        <f t="shared" si="3"/>
        <v>#DIV/0!</v>
      </c>
      <c r="N26" s="806" t="e">
        <f>+N24/N25</f>
        <v>#DIV/0!</v>
      </c>
      <c r="O26" s="806" t="e">
        <f>+O24/O25</f>
        <v>#DIV/0!</v>
      </c>
      <c r="P26" s="806" t="e">
        <f>+P24/P25</f>
        <v>#DIV/0!</v>
      </c>
      <c r="Q26" s="806" t="e">
        <f>+Q24/Q25</f>
        <v>#DIV/0!</v>
      </c>
      <c r="T26" s="806" t="e">
        <f t="shared" ref="T26:Y26" si="4">+T24/T25</f>
        <v>#DIV/0!</v>
      </c>
      <c r="U26" s="806" t="e">
        <f t="shared" si="4"/>
        <v>#DIV/0!</v>
      </c>
      <c r="V26" s="806" t="e">
        <f t="shared" si="4"/>
        <v>#DIV/0!</v>
      </c>
      <c r="W26" s="806" t="e">
        <f t="shared" si="4"/>
        <v>#DIV/0!</v>
      </c>
      <c r="X26" s="806" t="e">
        <f t="shared" si="4"/>
        <v>#DIV/0!</v>
      </c>
      <c r="Y26" s="806" t="e">
        <f t="shared" si="4"/>
        <v>#DIV/0!</v>
      </c>
    </row>
    <row r="27" spans="2:25" s="707" customFormat="1" ht="15">
      <c r="B27" s="709"/>
      <c r="C27" s="710"/>
      <c r="D27" s="711"/>
      <c r="E27" s="717"/>
      <c r="F27" s="717"/>
      <c r="G27" s="717"/>
      <c r="H27" s="717"/>
      <c r="I27" s="717"/>
      <c r="J27" s="717"/>
      <c r="K27" s="717"/>
      <c r="L27" s="717"/>
      <c r="M27" s="717"/>
      <c r="N27" s="717"/>
      <c r="O27" s="717"/>
      <c r="P27" s="717"/>
      <c r="Q27" s="778"/>
      <c r="T27" s="945"/>
      <c r="U27" s="945"/>
      <c r="V27" s="945"/>
      <c r="W27" s="945"/>
      <c r="X27" s="945"/>
      <c r="Y27" s="945"/>
    </row>
    <row r="28" spans="2:25" s="707" customFormat="1" ht="27.75" customHeight="1">
      <c r="B28" s="713" t="s">
        <v>509</v>
      </c>
      <c r="C28" s="714"/>
      <c r="D28" s="713"/>
      <c r="E28" s="715"/>
      <c r="F28" s="715"/>
      <c r="G28" s="715"/>
      <c r="H28" s="715"/>
      <c r="I28" s="715"/>
      <c r="J28" s="715"/>
      <c r="K28" s="715"/>
      <c r="L28" s="715"/>
      <c r="M28" s="715"/>
      <c r="N28" s="715"/>
      <c r="O28" s="715"/>
      <c r="P28" s="715"/>
      <c r="Q28" s="715"/>
      <c r="T28" s="944"/>
      <c r="U28" s="944"/>
      <c r="V28" s="944"/>
      <c r="W28" s="944"/>
      <c r="X28" s="944"/>
      <c r="Y28" s="944"/>
    </row>
    <row r="29" spans="2:25" s="707" customFormat="1" ht="15" outlineLevel="1">
      <c r="B29" s="709"/>
      <c r="C29" s="710"/>
      <c r="D29" s="711"/>
      <c r="E29" s="729"/>
      <c r="F29" s="729"/>
      <c r="G29" s="729"/>
      <c r="H29" s="729"/>
      <c r="I29" s="729"/>
      <c r="J29" s="729"/>
      <c r="K29" s="729"/>
      <c r="L29" s="729"/>
      <c r="M29" s="729"/>
      <c r="N29" s="729"/>
      <c r="O29" s="729"/>
      <c r="P29" s="729"/>
      <c r="Q29" s="729"/>
      <c r="T29" s="946"/>
      <c r="U29" s="946"/>
      <c r="V29" s="946"/>
      <c r="W29" s="946"/>
      <c r="X29" s="946"/>
      <c r="Y29" s="946"/>
    </row>
    <row r="30" spans="2:25" ht="14.25" outlineLevel="1">
      <c r="B30" s="730" t="s">
        <v>510</v>
      </c>
      <c r="C30" s="731"/>
      <c r="D30" s="732"/>
      <c r="E30" s="733"/>
      <c r="F30" s="733"/>
      <c r="G30" s="733"/>
      <c r="H30" s="733"/>
      <c r="I30" s="733"/>
      <c r="J30" s="733"/>
      <c r="K30" s="733"/>
      <c r="L30" s="733"/>
      <c r="M30" s="733"/>
      <c r="N30" s="733"/>
      <c r="O30" s="733"/>
      <c r="P30" s="733"/>
      <c r="Q30" s="733"/>
      <c r="T30" s="947"/>
      <c r="U30" s="947"/>
      <c r="V30" s="947"/>
      <c r="W30" s="947"/>
      <c r="X30" s="947"/>
      <c r="Y30" s="947"/>
    </row>
    <row r="31" spans="2:25" outlineLevel="1">
      <c r="B31" s="734" t="s">
        <v>511</v>
      </c>
      <c r="C31" s="720" t="s">
        <v>309</v>
      </c>
      <c r="D31" s="721"/>
      <c r="E31" s="808"/>
      <c r="F31" s="808"/>
      <c r="G31" s="808"/>
      <c r="H31" s="808"/>
      <c r="I31" s="808"/>
      <c r="J31" s="808"/>
      <c r="K31" s="808"/>
      <c r="L31" s="808"/>
      <c r="M31" s="808"/>
      <c r="N31" s="808"/>
      <c r="O31" s="808"/>
      <c r="P31" s="808"/>
      <c r="Q31" s="808"/>
      <c r="T31" s="808"/>
      <c r="U31" s="808"/>
      <c r="V31" s="808"/>
      <c r="W31" s="808"/>
      <c r="X31" s="808"/>
      <c r="Y31" s="808"/>
    </row>
    <row r="32" spans="2:25" outlineLevel="1">
      <c r="B32" s="734" t="s">
        <v>512</v>
      </c>
      <c r="C32" s="720" t="s">
        <v>309</v>
      </c>
      <c r="D32" s="721"/>
      <c r="E32" s="803"/>
      <c r="F32" s="803"/>
      <c r="G32" s="803"/>
      <c r="H32" s="803"/>
      <c r="I32" s="803"/>
      <c r="J32" s="803"/>
      <c r="K32" s="803"/>
      <c r="L32" s="803"/>
      <c r="M32" s="803"/>
      <c r="N32" s="803"/>
      <c r="O32" s="803"/>
      <c r="P32" s="803"/>
      <c r="Q32" s="803"/>
      <c r="T32" s="803"/>
      <c r="U32" s="803"/>
      <c r="V32" s="803"/>
      <c r="W32" s="803"/>
      <c r="X32" s="803"/>
      <c r="Y32" s="803"/>
    </row>
    <row r="33" spans="2:25" outlineLevel="1">
      <c r="B33" s="734" t="s">
        <v>513</v>
      </c>
      <c r="C33" s="720" t="s">
        <v>309</v>
      </c>
      <c r="D33" s="721"/>
      <c r="E33" s="803"/>
      <c r="F33" s="803"/>
      <c r="G33" s="803"/>
      <c r="H33" s="803"/>
      <c r="I33" s="803"/>
      <c r="J33" s="803"/>
      <c r="K33" s="803"/>
      <c r="L33" s="803"/>
      <c r="M33" s="803"/>
      <c r="N33" s="803"/>
      <c r="O33" s="803"/>
      <c r="P33" s="803"/>
      <c r="Q33" s="803"/>
      <c r="T33" s="803"/>
      <c r="U33" s="803"/>
      <c r="V33" s="803"/>
      <c r="W33" s="803"/>
      <c r="X33" s="803"/>
      <c r="Y33" s="803"/>
    </row>
    <row r="34" spans="2:25" outlineLevel="1">
      <c r="B34" s="735"/>
      <c r="C34" s="724"/>
      <c r="D34" s="725"/>
      <c r="E34" s="727"/>
      <c r="F34" s="727"/>
      <c r="G34" s="727"/>
      <c r="H34" s="727"/>
      <c r="I34" s="727"/>
      <c r="J34" s="727"/>
      <c r="K34" s="727"/>
      <c r="L34" s="727"/>
      <c r="M34" s="727"/>
      <c r="N34" s="727"/>
      <c r="O34" s="727"/>
      <c r="P34" s="727"/>
      <c r="Q34" s="727"/>
      <c r="T34" s="807"/>
      <c r="U34" s="807"/>
      <c r="V34" s="807"/>
      <c r="W34" s="807"/>
      <c r="X34" s="807"/>
      <c r="Y34" s="807"/>
    </row>
    <row r="35" spans="2:25" ht="14.25" outlineLevel="1">
      <c r="B35" s="730" t="s">
        <v>514</v>
      </c>
      <c r="C35" s="731"/>
      <c r="D35" s="732"/>
      <c r="E35" s="733"/>
      <c r="F35" s="733"/>
      <c r="G35" s="733"/>
      <c r="H35" s="733"/>
      <c r="I35" s="733"/>
      <c r="J35" s="733"/>
      <c r="K35" s="733"/>
      <c r="L35" s="733"/>
      <c r="M35" s="733"/>
      <c r="N35" s="733"/>
      <c r="O35" s="733"/>
      <c r="P35" s="733"/>
      <c r="Q35" s="733"/>
      <c r="T35" s="947"/>
      <c r="U35" s="947"/>
      <c r="V35" s="947"/>
      <c r="W35" s="947"/>
      <c r="X35" s="947"/>
      <c r="Y35" s="947"/>
    </row>
    <row r="36" spans="2:25" outlineLevel="1">
      <c r="B36" s="735" t="s">
        <v>511</v>
      </c>
      <c r="C36" s="720" t="s">
        <v>515</v>
      </c>
      <c r="D36" s="721"/>
      <c r="E36" s="809">
        <f>+'CAPEX_Input_3,7HO(수정용)'!G6/365</f>
        <v>3.7972602739726029</v>
      </c>
      <c r="F36" s="809">
        <f>+'CAPEX_Input_3,7HO(수정용)'!G7/365</f>
        <v>3.9342465753424656</v>
      </c>
      <c r="G36" s="809">
        <f>+'CAPEX_Input_3,7HO(수정용)'!G8/365</f>
        <v>3.6821917808219178</v>
      </c>
      <c r="H36" s="809">
        <f>+'CAPEX_Input_3,7HO(수정용)'!G9/365</f>
        <v>3.8054794520547945</v>
      </c>
      <c r="I36" s="809">
        <f>+'CAPEX_Input_3,7HO(수정용)'!G10/365</f>
        <v>3.7616438356164386</v>
      </c>
      <c r="J36" s="809">
        <f>+'CAPEX_Input_3,7HO(수정용)'!G11/365</f>
        <v>4.1068493150684935</v>
      </c>
      <c r="K36" s="809">
        <f>+'CAPEX_Input_3,7HO(수정용)'!G12/365</f>
        <v>3.7315068493150685</v>
      </c>
      <c r="L36" s="809">
        <f>+'CAPEX_Input_3,7HO(수정용)'!G13/365</f>
        <v>3.7589041095890412</v>
      </c>
      <c r="M36" s="809">
        <f>+'CAPEX_Input_3,7HO(수정용)'!G38/365</f>
        <v>3.8410958904109589</v>
      </c>
      <c r="N36" s="809">
        <f>+'CAPEX_Input_3,7HO(수정용)'!G39/365</f>
        <v>3.8356164383561642</v>
      </c>
      <c r="O36" s="809">
        <f>+'CAPEX_Input_3,7HO(수정용)'!G43/365</f>
        <v>3.7808219178082192</v>
      </c>
      <c r="P36" s="809">
        <f>+'CAPEX_Input_3,7HO(수정용)'!G45/365</f>
        <v>3.9369863013698629</v>
      </c>
      <c r="Q36" s="809">
        <f>+'CAPEX_Input_3,7HO(수정용)'!G44/365</f>
        <v>3.8630136986301369</v>
      </c>
      <c r="T36" s="809">
        <f>+'CAPEX_Input_3,7HO(수정용)'!V40/365</f>
        <v>0</v>
      </c>
      <c r="U36" s="809">
        <f>+'CAPEX_Input_3,7HO(수정용)'!V33/365</f>
        <v>0</v>
      </c>
      <c r="V36" s="809">
        <f>+'CAPEX_Input_3,7HO(수정용)'!V34/365</f>
        <v>0</v>
      </c>
      <c r="W36" s="809">
        <f>+'CAPEX_Input_3,7HO(수정용)'!V35/365</f>
        <v>0</v>
      </c>
      <c r="X36" s="809">
        <f>+'CAPEX_Input_3,7HO(수정용)'!V37/365</f>
        <v>0</v>
      </c>
      <c r="Y36" s="809">
        <f>+'CAPEX_Input_3,7HO(수정용)'!V41/365</f>
        <v>0</v>
      </c>
    </row>
    <row r="37" spans="2:25" outlineLevel="1">
      <c r="B37" s="735" t="s">
        <v>512</v>
      </c>
      <c r="C37" s="720" t="s">
        <v>515</v>
      </c>
      <c r="D37" s="721"/>
      <c r="E37" s="803"/>
      <c r="F37" s="803"/>
      <c r="G37" s="803"/>
      <c r="H37" s="803"/>
      <c r="I37" s="803"/>
      <c r="J37" s="803"/>
      <c r="K37" s="803"/>
      <c r="L37" s="803"/>
      <c r="M37" s="803"/>
      <c r="N37" s="803"/>
      <c r="O37" s="803"/>
      <c r="P37" s="803"/>
      <c r="Q37" s="803"/>
      <c r="T37" s="803"/>
      <c r="U37" s="803"/>
      <c r="V37" s="803"/>
      <c r="W37" s="803"/>
      <c r="X37" s="803"/>
      <c r="Y37" s="803"/>
    </row>
    <row r="38" spans="2:25" outlineLevel="1">
      <c r="B38" s="735" t="s">
        <v>513</v>
      </c>
      <c r="C38" s="720" t="s">
        <v>515</v>
      </c>
      <c r="D38" s="721"/>
      <c r="E38" s="803"/>
      <c r="F38" s="803"/>
      <c r="G38" s="803"/>
      <c r="H38" s="803"/>
      <c r="I38" s="803"/>
      <c r="J38" s="803"/>
      <c r="K38" s="803"/>
      <c r="L38" s="803"/>
      <c r="M38" s="803"/>
      <c r="N38" s="803"/>
      <c r="O38" s="803"/>
      <c r="P38" s="803"/>
      <c r="Q38" s="803"/>
      <c r="T38" s="803"/>
      <c r="U38" s="803"/>
      <c r="V38" s="803"/>
      <c r="W38" s="803"/>
      <c r="X38" s="803"/>
      <c r="Y38" s="803"/>
    </row>
    <row r="39" spans="2:25" outlineLevel="1">
      <c r="B39" s="735"/>
      <c r="C39" s="724"/>
      <c r="D39" s="725"/>
      <c r="E39" s="727"/>
      <c r="F39" s="727"/>
      <c r="G39" s="727"/>
      <c r="H39" s="727"/>
      <c r="I39" s="727"/>
      <c r="J39" s="727"/>
      <c r="K39" s="727"/>
      <c r="L39" s="727"/>
      <c r="M39" s="727"/>
      <c r="N39" s="727"/>
      <c r="O39" s="727"/>
      <c r="P39" s="727"/>
      <c r="Q39" s="727"/>
      <c r="T39" s="807"/>
      <c r="U39" s="807"/>
      <c r="V39" s="807"/>
      <c r="W39" s="807"/>
      <c r="X39" s="807"/>
      <c r="Y39" s="807"/>
    </row>
    <row r="40" spans="2:25" ht="14.25" outlineLevel="1">
      <c r="B40" s="730" t="s">
        <v>509</v>
      </c>
      <c r="C40" s="731"/>
      <c r="D40" s="732"/>
      <c r="E40" s="736"/>
      <c r="F40" s="736"/>
      <c r="G40" s="736"/>
      <c r="H40" s="736"/>
      <c r="I40" s="736"/>
      <c r="J40" s="736"/>
      <c r="K40" s="736"/>
      <c r="L40" s="736"/>
      <c r="M40" s="736"/>
      <c r="N40" s="736"/>
      <c r="O40" s="736"/>
      <c r="P40" s="736"/>
      <c r="Q40" s="736"/>
      <c r="T40" s="948"/>
      <c r="U40" s="948"/>
      <c r="V40" s="948"/>
      <c r="W40" s="948"/>
      <c r="X40" s="948"/>
      <c r="Y40" s="948"/>
    </row>
    <row r="41" spans="2:25" outlineLevel="1">
      <c r="B41" s="735" t="s">
        <v>511</v>
      </c>
      <c r="C41" s="720" t="s">
        <v>516</v>
      </c>
      <c r="D41" s="721"/>
      <c r="E41" s="809">
        <f t="shared" ref="E41:L41" si="5">+E24*E36*365</f>
        <v>230.58882000000006</v>
      </c>
      <c r="F41" s="809">
        <f t="shared" si="5"/>
        <v>716.72195999999997</v>
      </c>
      <c r="G41" s="809">
        <f t="shared" si="5"/>
        <v>192.02400000000003</v>
      </c>
      <c r="H41" s="809">
        <f t="shared" si="5"/>
        <v>985.21075500000006</v>
      </c>
      <c r="I41" s="809">
        <f t="shared" si="5"/>
        <v>717.53666499999997</v>
      </c>
      <c r="J41" s="809">
        <f t="shared" si="5"/>
        <v>222.57152000000002</v>
      </c>
      <c r="K41" s="809">
        <f t="shared" si="5"/>
        <v>1222.9261799999999</v>
      </c>
      <c r="L41" s="809">
        <f t="shared" si="5"/>
        <v>1585.6203999999998</v>
      </c>
      <c r="M41" s="809">
        <f t="shared" ref="M41" si="6">+M24*M36*365</f>
        <v>0</v>
      </c>
      <c r="N41" s="809">
        <f>+N24*N36*365</f>
        <v>0</v>
      </c>
      <c r="O41" s="809">
        <f>+O24*O36*365</f>
        <v>0</v>
      </c>
      <c r="P41" s="809">
        <f>+P24*P36*365</f>
        <v>0</v>
      </c>
      <c r="Q41" s="809">
        <f>+Q24*Q36*365</f>
        <v>0</v>
      </c>
      <c r="T41" s="809">
        <f t="shared" ref="T41:Y41" si="7">+T24*T36*365</f>
        <v>0</v>
      </c>
      <c r="U41" s="809">
        <f t="shared" si="7"/>
        <v>0</v>
      </c>
      <c r="V41" s="809">
        <f t="shared" si="7"/>
        <v>0</v>
      </c>
      <c r="W41" s="809">
        <f t="shared" si="7"/>
        <v>0</v>
      </c>
      <c r="X41" s="809">
        <f t="shared" si="7"/>
        <v>0</v>
      </c>
      <c r="Y41" s="809">
        <f t="shared" si="7"/>
        <v>0</v>
      </c>
    </row>
    <row r="42" spans="2:25" outlineLevel="1">
      <c r="B42" s="735" t="s">
        <v>512</v>
      </c>
      <c r="C42" s="720" t="s">
        <v>516</v>
      </c>
      <c r="D42" s="721"/>
      <c r="E42" s="803"/>
      <c r="F42" s="803"/>
      <c r="G42" s="803"/>
      <c r="H42" s="803"/>
      <c r="I42" s="803"/>
      <c r="J42" s="803"/>
      <c r="K42" s="803"/>
      <c r="L42" s="803"/>
      <c r="M42" s="803"/>
      <c r="N42" s="803"/>
      <c r="O42" s="803"/>
      <c r="P42" s="803"/>
      <c r="Q42" s="803"/>
      <c r="T42" s="803"/>
      <c r="U42" s="803"/>
      <c r="V42" s="803"/>
      <c r="W42" s="803"/>
      <c r="X42" s="803"/>
      <c r="Y42" s="803"/>
    </row>
    <row r="43" spans="2:25" ht="14.25" outlineLevel="1">
      <c r="B43" s="737" t="s">
        <v>517</v>
      </c>
      <c r="C43" s="720" t="s">
        <v>518</v>
      </c>
      <c r="D43" s="721"/>
      <c r="E43" s="802"/>
      <c r="F43" s="802"/>
      <c r="G43" s="802"/>
      <c r="H43" s="802"/>
      <c r="I43" s="802"/>
      <c r="J43" s="802"/>
      <c r="K43" s="802"/>
      <c r="L43" s="802"/>
      <c r="M43" s="802"/>
      <c r="N43" s="802"/>
      <c r="O43" s="802"/>
      <c r="P43" s="802"/>
      <c r="Q43" s="802"/>
      <c r="T43" s="802"/>
      <c r="U43" s="802"/>
      <c r="V43" s="802"/>
      <c r="W43" s="802"/>
      <c r="X43" s="802"/>
      <c r="Y43" s="802"/>
    </row>
    <row r="44" spans="2:25" outlineLevel="1">
      <c r="B44" s="735"/>
      <c r="C44" s="724"/>
      <c r="D44" s="725"/>
      <c r="E44" s="738"/>
      <c r="F44" s="738"/>
      <c r="G44" s="738"/>
      <c r="H44" s="738"/>
      <c r="I44" s="738"/>
      <c r="J44" s="738"/>
      <c r="K44" s="738"/>
      <c r="L44" s="738"/>
      <c r="M44" s="738"/>
      <c r="N44" s="738"/>
      <c r="O44" s="738"/>
      <c r="P44" s="738"/>
      <c r="Q44" s="738"/>
      <c r="T44" s="949"/>
      <c r="U44" s="949"/>
      <c r="V44" s="949"/>
      <c r="W44" s="949"/>
      <c r="X44" s="949"/>
      <c r="Y44" s="949"/>
    </row>
    <row r="45" spans="2:25" outlineLevel="1">
      <c r="B45" s="735" t="s">
        <v>519</v>
      </c>
      <c r="C45" s="720" t="s">
        <v>309</v>
      </c>
      <c r="D45" s="721"/>
      <c r="E45" s="810"/>
      <c r="F45" s="810"/>
      <c r="G45" s="810"/>
      <c r="H45" s="810"/>
      <c r="I45" s="810"/>
      <c r="J45" s="810"/>
      <c r="K45" s="810"/>
      <c r="L45" s="810"/>
      <c r="M45" s="810"/>
      <c r="N45" s="810"/>
      <c r="O45" s="810"/>
      <c r="P45" s="810"/>
      <c r="Q45" s="810"/>
      <c r="T45" s="810"/>
      <c r="U45" s="810"/>
      <c r="V45" s="810"/>
      <c r="W45" s="810"/>
      <c r="X45" s="810"/>
      <c r="Y45" s="810"/>
    </row>
    <row r="46" spans="2:25" outlineLevel="1">
      <c r="B46" s="735"/>
      <c r="C46" s="724"/>
      <c r="D46" s="725"/>
      <c r="E46" s="738"/>
      <c r="F46" s="738"/>
      <c r="G46" s="738"/>
      <c r="H46" s="738"/>
      <c r="I46" s="738"/>
      <c r="J46" s="738"/>
      <c r="K46" s="738"/>
      <c r="L46" s="738"/>
      <c r="M46" s="738"/>
      <c r="N46" s="738"/>
      <c r="O46" s="738"/>
      <c r="P46" s="738"/>
      <c r="Q46" s="738"/>
      <c r="T46" s="949"/>
      <c r="U46" s="949"/>
      <c r="V46" s="949"/>
      <c r="W46" s="949"/>
      <c r="X46" s="949"/>
      <c r="Y46" s="949"/>
    </row>
    <row r="47" spans="2:25" outlineLevel="1">
      <c r="B47" s="735" t="s">
        <v>520</v>
      </c>
      <c r="C47" s="720" t="s">
        <v>309</v>
      </c>
      <c r="D47" s="721"/>
      <c r="E47" s="803"/>
      <c r="F47" s="803"/>
      <c r="G47" s="803"/>
      <c r="H47" s="803"/>
      <c r="I47" s="803"/>
      <c r="J47" s="803"/>
      <c r="K47" s="803"/>
      <c r="L47" s="803"/>
      <c r="M47" s="803"/>
      <c r="N47" s="803"/>
      <c r="O47" s="803"/>
      <c r="P47" s="803"/>
      <c r="Q47" s="803"/>
      <c r="T47" s="803"/>
      <c r="U47" s="803"/>
      <c r="V47" s="803"/>
      <c r="W47" s="803"/>
      <c r="X47" s="803"/>
      <c r="Y47" s="803"/>
    </row>
    <row r="48" spans="2:25" outlineLevel="1">
      <c r="B48" s="735" t="s">
        <v>521</v>
      </c>
      <c r="C48" s="720" t="s">
        <v>309</v>
      </c>
      <c r="D48" s="721"/>
      <c r="E48" s="803"/>
      <c r="F48" s="803"/>
      <c r="G48" s="803"/>
      <c r="H48" s="803"/>
      <c r="I48" s="803"/>
      <c r="J48" s="803"/>
      <c r="K48" s="803"/>
      <c r="L48" s="803"/>
      <c r="M48" s="803"/>
      <c r="N48" s="803"/>
      <c r="O48" s="803"/>
      <c r="P48" s="803"/>
      <c r="Q48" s="803"/>
      <c r="T48" s="803"/>
      <c r="U48" s="803"/>
      <c r="V48" s="803"/>
      <c r="W48" s="803"/>
      <c r="X48" s="803"/>
      <c r="Y48" s="803"/>
    </row>
    <row r="49" spans="2:25" outlineLevel="1">
      <c r="B49" s="735" t="s">
        <v>522</v>
      </c>
      <c r="C49" s="720" t="s">
        <v>309</v>
      </c>
      <c r="D49" s="721" t="s">
        <v>498</v>
      </c>
      <c r="E49" s="811">
        <v>2E-3</v>
      </c>
      <c r="F49" s="811">
        <v>2E-3</v>
      </c>
      <c r="G49" s="811">
        <v>2E-3</v>
      </c>
      <c r="H49" s="811">
        <v>2E-3</v>
      </c>
      <c r="I49" s="811">
        <v>2E-3</v>
      </c>
      <c r="J49" s="811">
        <v>2E-3</v>
      </c>
      <c r="K49" s="811">
        <v>2E-3</v>
      </c>
      <c r="L49" s="811">
        <v>2E-3</v>
      </c>
      <c r="M49" s="811">
        <v>2E-3</v>
      </c>
      <c r="N49" s="811">
        <v>2E-3</v>
      </c>
      <c r="O49" s="811">
        <v>2E-3</v>
      </c>
      <c r="P49" s="811">
        <v>2E-3</v>
      </c>
      <c r="Q49" s="811">
        <v>2E-3</v>
      </c>
      <c r="T49" s="811">
        <v>2E-3</v>
      </c>
      <c r="U49" s="811">
        <v>2E-3</v>
      </c>
      <c r="V49" s="811">
        <v>2E-3</v>
      </c>
      <c r="W49" s="811">
        <v>2E-3</v>
      </c>
      <c r="X49" s="811">
        <v>2E-3</v>
      </c>
      <c r="Y49" s="811">
        <v>2E-3</v>
      </c>
    </row>
    <row r="50" spans="2:25" outlineLevel="1">
      <c r="B50" s="735"/>
      <c r="C50" s="724"/>
      <c r="D50" s="725"/>
      <c r="E50" s="739"/>
      <c r="F50" s="739"/>
      <c r="G50" s="739"/>
      <c r="H50" s="739"/>
      <c r="I50" s="739"/>
      <c r="J50" s="739"/>
      <c r="K50" s="739"/>
      <c r="L50" s="739"/>
      <c r="M50" s="739"/>
      <c r="N50" s="739"/>
      <c r="O50" s="739"/>
      <c r="P50" s="739"/>
      <c r="Q50" s="739"/>
      <c r="T50" s="950"/>
      <c r="U50" s="950"/>
      <c r="V50" s="950"/>
      <c r="W50" s="950"/>
      <c r="X50" s="950"/>
      <c r="Y50" s="950"/>
    </row>
    <row r="51" spans="2:25" outlineLevel="1">
      <c r="B51" s="735" t="s">
        <v>523</v>
      </c>
      <c r="C51" s="720" t="s">
        <v>309</v>
      </c>
      <c r="D51" s="721"/>
      <c r="E51" s="812">
        <v>0.02</v>
      </c>
      <c r="F51" s="812">
        <v>0.02</v>
      </c>
      <c r="G51" s="812">
        <v>0.02</v>
      </c>
      <c r="H51" s="812">
        <v>0.02</v>
      </c>
      <c r="I51" s="812">
        <v>0.02</v>
      </c>
      <c r="J51" s="812">
        <v>0.02</v>
      </c>
      <c r="K51" s="812">
        <v>0.02</v>
      </c>
      <c r="L51" s="812">
        <v>0.02</v>
      </c>
      <c r="M51" s="812">
        <v>0.02</v>
      </c>
      <c r="N51" s="812">
        <v>0.02</v>
      </c>
      <c r="O51" s="812">
        <v>0.02</v>
      </c>
      <c r="P51" s="812">
        <v>0.02</v>
      </c>
      <c r="Q51" s="812">
        <v>0.02</v>
      </c>
      <c r="T51" s="812">
        <v>0.02</v>
      </c>
      <c r="U51" s="812">
        <v>0.02</v>
      </c>
      <c r="V51" s="812">
        <v>0.02</v>
      </c>
      <c r="W51" s="812">
        <v>0.02</v>
      </c>
      <c r="X51" s="812">
        <v>0.02</v>
      </c>
      <c r="Y51" s="812">
        <v>0.02</v>
      </c>
    </row>
    <row r="52" spans="2:25" outlineLevel="1">
      <c r="B52" s="735"/>
      <c r="C52" s="724"/>
      <c r="D52" s="725"/>
      <c r="E52" s="727"/>
      <c r="F52" s="727"/>
      <c r="G52" s="727"/>
      <c r="H52" s="727"/>
      <c r="I52" s="727"/>
      <c r="J52" s="727"/>
      <c r="K52" s="727"/>
      <c r="L52" s="727"/>
      <c r="M52" s="727"/>
      <c r="N52" s="727"/>
      <c r="O52" s="727"/>
      <c r="P52" s="727"/>
      <c r="Q52" s="727"/>
      <c r="T52" s="807"/>
      <c r="U52" s="807"/>
      <c r="V52" s="807"/>
      <c r="W52" s="807"/>
      <c r="X52" s="807"/>
      <c r="Y52" s="807"/>
    </row>
    <row r="53" spans="2:25" outlineLevel="1">
      <c r="B53" s="735" t="s">
        <v>524</v>
      </c>
      <c r="C53" s="720" t="s">
        <v>309</v>
      </c>
      <c r="D53" s="721"/>
      <c r="E53" s="803"/>
      <c r="F53" s="803"/>
      <c r="G53" s="803"/>
      <c r="H53" s="803"/>
      <c r="I53" s="803"/>
      <c r="J53" s="803"/>
      <c r="K53" s="803"/>
      <c r="L53" s="803"/>
      <c r="M53" s="803"/>
      <c r="N53" s="803"/>
      <c r="O53" s="803"/>
      <c r="P53" s="803"/>
      <c r="Q53" s="803"/>
      <c r="T53" s="803"/>
      <c r="U53" s="803"/>
      <c r="V53" s="803"/>
      <c r="W53" s="803"/>
      <c r="X53" s="803"/>
      <c r="Y53" s="803"/>
    </row>
    <row r="54" spans="2:25" outlineLevel="1">
      <c r="B54" s="735"/>
      <c r="C54" s="724"/>
      <c r="D54" s="725"/>
      <c r="E54" s="727"/>
      <c r="F54" s="727"/>
      <c r="G54" s="727"/>
      <c r="H54" s="727"/>
      <c r="I54" s="727"/>
      <c r="J54" s="727"/>
      <c r="K54" s="727"/>
      <c r="L54" s="727"/>
      <c r="M54" s="727"/>
      <c r="N54" s="727"/>
      <c r="O54" s="727"/>
      <c r="P54" s="727"/>
      <c r="Q54" s="727"/>
      <c r="T54" s="807"/>
      <c r="U54" s="807"/>
      <c r="V54" s="807"/>
      <c r="W54" s="807"/>
      <c r="X54" s="807"/>
      <c r="Y54" s="807"/>
    </row>
    <row r="55" spans="2:25" outlineLevel="1">
      <c r="B55" s="735" t="s">
        <v>525</v>
      </c>
      <c r="C55" s="720" t="s">
        <v>309</v>
      </c>
      <c r="D55" s="721"/>
      <c r="E55" s="803"/>
      <c r="F55" s="803"/>
      <c r="G55" s="803"/>
      <c r="H55" s="803"/>
      <c r="I55" s="803"/>
      <c r="J55" s="803"/>
      <c r="K55" s="803"/>
      <c r="L55" s="803"/>
      <c r="M55" s="803"/>
      <c r="N55" s="803"/>
      <c r="O55" s="803"/>
      <c r="P55" s="803"/>
      <c r="Q55" s="803"/>
      <c r="T55" s="803"/>
      <c r="U55" s="803"/>
      <c r="V55" s="803"/>
      <c r="W55" s="803"/>
      <c r="X55" s="803"/>
      <c r="Y55" s="803"/>
    </row>
    <row r="56" spans="2:25" s="707" customFormat="1" ht="15">
      <c r="B56" s="709"/>
      <c r="C56" s="710"/>
      <c r="D56" s="711"/>
      <c r="E56" s="717"/>
      <c r="F56" s="717"/>
      <c r="G56" s="717"/>
      <c r="H56" s="717"/>
      <c r="I56" s="717"/>
      <c r="J56" s="717"/>
      <c r="K56" s="717"/>
      <c r="L56" s="717"/>
      <c r="M56" s="717"/>
      <c r="N56" s="717"/>
      <c r="O56" s="717"/>
      <c r="P56" s="717"/>
      <c r="Q56" s="717"/>
      <c r="T56" s="945"/>
      <c r="U56" s="945"/>
      <c r="V56" s="945"/>
      <c r="W56" s="945"/>
      <c r="X56" s="945"/>
      <c r="Y56" s="945"/>
    </row>
    <row r="57" spans="2:25" s="707" customFormat="1" ht="27.75" customHeight="1">
      <c r="B57" s="713" t="s">
        <v>526</v>
      </c>
      <c r="C57" s="714"/>
      <c r="D57" s="714" t="s">
        <v>527</v>
      </c>
      <c r="E57" s="715" t="s">
        <v>528</v>
      </c>
      <c r="F57" s="715" t="s">
        <v>528</v>
      </c>
      <c r="G57" s="715" t="s">
        <v>528</v>
      </c>
      <c r="H57" s="715" t="s">
        <v>528</v>
      </c>
      <c r="I57" s="715" t="s">
        <v>528</v>
      </c>
      <c r="J57" s="715" t="s">
        <v>528</v>
      </c>
      <c r="K57" s="715" t="s">
        <v>528</v>
      </c>
      <c r="L57" s="715" t="s">
        <v>528</v>
      </c>
      <c r="M57" s="715" t="s">
        <v>528</v>
      </c>
      <c r="N57" s="715" t="s">
        <v>528</v>
      </c>
      <c r="O57" s="715" t="s">
        <v>528</v>
      </c>
      <c r="P57" s="715" t="s">
        <v>528</v>
      </c>
      <c r="Q57" s="715" t="s">
        <v>528</v>
      </c>
      <c r="T57" s="944" t="s">
        <v>528</v>
      </c>
      <c r="U57" s="944" t="s">
        <v>528</v>
      </c>
      <c r="V57" s="944" t="s">
        <v>528</v>
      </c>
      <c r="W57" s="944" t="s">
        <v>528</v>
      </c>
      <c r="X57" s="944" t="s">
        <v>528</v>
      </c>
      <c r="Y57" s="944" t="s">
        <v>528</v>
      </c>
    </row>
    <row r="58" spans="2:25" outlineLevel="1">
      <c r="B58" s="735"/>
      <c r="E58" s="1044"/>
      <c r="F58" s="1044"/>
      <c r="G58" s="1044"/>
      <c r="H58" s="1044"/>
      <c r="I58" s="1044"/>
      <c r="J58" s="1044"/>
      <c r="K58" s="1044"/>
      <c r="L58" s="1044"/>
      <c r="M58" s="741">
        <f t="shared" ref="M58" si="8">+M61+M106+IFERROR(M125,0)</f>
        <v>0</v>
      </c>
      <c r="N58" s="741" t="e">
        <f>+'[6]O&amp;M'!N14</f>
        <v>#REF!</v>
      </c>
      <c r="O58" s="741" t="e">
        <f>+'[6]O&amp;M'!O14</f>
        <v>#REF!</v>
      </c>
      <c r="P58" s="741" t="e">
        <f>+'[6]O&amp;M'!P14</f>
        <v>#REF!</v>
      </c>
      <c r="Q58" s="741" t="e">
        <f>+'[6]O&amp;M'!Q14</f>
        <v>#REF!</v>
      </c>
      <c r="T58" s="951" t="e">
        <f>+'[6]O&amp;M'!T14</f>
        <v>#REF!</v>
      </c>
      <c r="U58" s="951"/>
      <c r="V58" s="951"/>
      <c r="W58" s="951"/>
      <c r="X58" s="951"/>
      <c r="Y58" s="951">
        <f>+Y61+Y106+IFERROR(Y125,0)</f>
        <v>0</v>
      </c>
    </row>
    <row r="59" spans="2:25" ht="16.5" customHeight="1" outlineLevel="1">
      <c r="B59" s="730" t="s">
        <v>529</v>
      </c>
      <c r="C59" s="742"/>
      <c r="D59" s="743"/>
      <c r="E59" s="775" t="b">
        <f>+E61+E70+E88+E106+E115+E125+E134+E143+E152='Input 기초'!F45</f>
        <v>1</v>
      </c>
      <c r="F59" s="775" t="b">
        <f>+F61+F70+F88+F106+F115+F125+F134+F143+F152='Input 기초'!G45</f>
        <v>1</v>
      </c>
      <c r="G59" s="775" t="b">
        <f>+G61+G70+G88+G106+G115+G125+G134+G143+G152='Input 기초'!H45</f>
        <v>1</v>
      </c>
      <c r="H59" s="775" t="b">
        <f>+H61+H70+H88+H106+H115+H125+H134+H143+H152='Input 기초'!I45</f>
        <v>1</v>
      </c>
      <c r="I59" s="775" t="b">
        <f>+I61+I70+I88+I106+I115+I125+I134+I143+I152='Input 기초'!J45</f>
        <v>1</v>
      </c>
      <c r="J59" s="775" t="b">
        <f>+J61+J70+J88+J106+J115+J125+J134+J143+J152='Input 기초'!K45</f>
        <v>1</v>
      </c>
      <c r="K59" s="775" t="b">
        <f>+K61+K70+K88+K106+K115+K125+K134+K143+K152='Input 기초'!L45</f>
        <v>1</v>
      </c>
      <c r="L59" s="775" t="b">
        <f>+L61+L70+L88+L106+L115+L125+L134+L143+L152='Input 기초'!M45</f>
        <v>1</v>
      </c>
      <c r="M59" s="775" t="b">
        <f>+M61+M70+M88+M106+M115+M125+M134+M143+M152='Input 기초'!N45</f>
        <v>1</v>
      </c>
      <c r="N59" s="775" t="b">
        <f>+N61+N70+N88+N106+N115+N125+N134+N143+N152='Input 기초'!O45</f>
        <v>1</v>
      </c>
      <c r="O59" s="775" t="b">
        <f>+O61+O70+O88+O106+O115+O125+O134+O143+O152='Input 기초'!P45</f>
        <v>1</v>
      </c>
      <c r="P59" s="775" t="b">
        <f>+P61+P70+P88+P106+P115+P125+P134+P143+P152='Input 기초'!Q45</f>
        <v>1</v>
      </c>
      <c r="Q59" s="775" t="b">
        <f>+Q61+Q70+Q88+Q106+Q115+Q125+Q134+Q143+Q152='Input 기초'!R45</f>
        <v>1</v>
      </c>
      <c r="T59" s="952" t="b">
        <f>+T61+T70+T88+T106+T115+T125+T134+T143+T152='Input 기초'!U70</f>
        <v>1</v>
      </c>
      <c r="U59" s="952" t="b">
        <f>+U61+U70+U88+U106+U115+U125+U134+U143+U152='Input 기초'!V70</f>
        <v>1</v>
      </c>
      <c r="V59" s="952" t="b">
        <f>+V61+V70+V88+V106+V115+V125+V134+V143+V152='Input 기초'!W70</f>
        <v>1</v>
      </c>
      <c r="W59" s="952" t="b">
        <f>+W61+W70+W88+W106+W115+W125+W134+W143+W152='Input 기초'!X70</f>
        <v>1</v>
      </c>
      <c r="X59" s="952" t="b">
        <f>+X61+X70+X88+X106+X115+X125+X134+X143+X152='Input 기초'!Y70</f>
        <v>1</v>
      </c>
      <c r="Y59" s="952" t="b">
        <f>+Y61+Y70+Y88+Y106+Y115+Y125+Y134+Y143+Y152='Input 기초'!Z70</f>
        <v>1</v>
      </c>
    </row>
    <row r="60" spans="2:25" ht="16.5" customHeight="1" outlineLevel="1">
      <c r="B60" s="735" t="s">
        <v>487</v>
      </c>
      <c r="E60" s="801"/>
      <c r="F60" s="801"/>
      <c r="G60" s="801"/>
      <c r="H60" s="801"/>
      <c r="I60" s="801"/>
      <c r="J60" s="801"/>
      <c r="K60" s="801"/>
      <c r="L60" s="801"/>
      <c r="M60" s="801"/>
      <c r="N60" s="801"/>
      <c r="O60" s="801"/>
      <c r="P60" s="801"/>
      <c r="Q60" s="801"/>
      <c r="T60" s="801"/>
      <c r="U60" s="801"/>
      <c r="V60" s="801"/>
      <c r="W60" s="801"/>
      <c r="X60" s="801"/>
      <c r="Y60" s="801"/>
    </row>
    <row r="61" spans="2:25" ht="16.5" customHeight="1" outlineLevel="1">
      <c r="B61" s="735" t="s">
        <v>528</v>
      </c>
      <c r="C61" s="724" t="s">
        <v>530</v>
      </c>
      <c r="D61" s="813" t="s">
        <v>581</v>
      </c>
      <c r="E61" s="814">
        <f>+'Input 기초'!F46</f>
        <v>2079625.0000000002</v>
      </c>
      <c r="F61" s="814">
        <f>+'Input 기초'!G46</f>
        <v>6238875</v>
      </c>
      <c r="G61" s="814">
        <f>+'Input 기초'!H46</f>
        <v>1785937.5</v>
      </c>
      <c r="H61" s="814">
        <f>+'Input 기초'!I46</f>
        <v>8866187.5</v>
      </c>
      <c r="I61" s="814">
        <f>+'Input 기초'!J46</f>
        <v>6532562.5</v>
      </c>
      <c r="J61" s="814">
        <f>+'Input 기초'!K46</f>
        <v>1856000</v>
      </c>
      <c r="K61" s="814">
        <f>+'Input 기초'!L46</f>
        <v>11223625</v>
      </c>
      <c r="L61" s="814">
        <f>+'Input 기초'!M46</f>
        <v>14446250</v>
      </c>
      <c r="M61" s="814">
        <f>+'Input 기초'!N46</f>
        <v>0</v>
      </c>
      <c r="N61" s="814">
        <f>+'Input 기초'!O46</f>
        <v>0</v>
      </c>
      <c r="O61" s="814">
        <f>+'Input 기초'!P46</f>
        <v>0</v>
      </c>
      <c r="P61" s="814">
        <f>+'Input 기초'!Q46</f>
        <v>0</v>
      </c>
      <c r="Q61" s="814">
        <f>+'Input 기초'!R46</f>
        <v>0</v>
      </c>
      <c r="R61" s="745"/>
      <c r="T61" s="814">
        <f>+'Input 기초'!U71</f>
        <v>0</v>
      </c>
      <c r="U61" s="814">
        <f>+'Input 기초'!V71</f>
        <v>0</v>
      </c>
      <c r="V61" s="814">
        <f>+'Input 기초'!W71</f>
        <v>0</v>
      </c>
      <c r="W61" s="814">
        <f>+'Input 기초'!X71</f>
        <v>0</v>
      </c>
      <c r="X61" s="814">
        <f>+'Input 기초'!Y71</f>
        <v>0</v>
      </c>
      <c r="Y61" s="814">
        <f>+'Input 기초'!Z71</f>
        <v>0</v>
      </c>
    </row>
    <row r="62" spans="2:25" ht="16.5" customHeight="1" outlineLevel="1">
      <c r="B62" s="746" t="s">
        <v>532</v>
      </c>
      <c r="C62" s="720" t="s">
        <v>533</v>
      </c>
      <c r="D62" s="721"/>
      <c r="E62" s="815" t="s">
        <v>67</v>
      </c>
      <c r="F62" s="815" t="s">
        <v>67</v>
      </c>
      <c r="G62" s="815" t="s">
        <v>67</v>
      </c>
      <c r="H62" s="815" t="s">
        <v>67</v>
      </c>
      <c r="I62" s="815" t="s">
        <v>67</v>
      </c>
      <c r="J62" s="815" t="s">
        <v>67</v>
      </c>
      <c r="K62" s="815" t="s">
        <v>67</v>
      </c>
      <c r="L62" s="815" t="s">
        <v>67</v>
      </c>
      <c r="M62" s="815" t="s">
        <v>67</v>
      </c>
      <c r="N62" s="815" t="s">
        <v>67</v>
      </c>
      <c r="O62" s="815" t="s">
        <v>67</v>
      </c>
      <c r="P62" s="815" t="s">
        <v>67</v>
      </c>
      <c r="Q62" s="815" t="s">
        <v>67</v>
      </c>
      <c r="R62" s="748"/>
      <c r="T62" s="815" t="s">
        <v>67</v>
      </c>
      <c r="U62" s="815" t="s">
        <v>67</v>
      </c>
      <c r="V62" s="815" t="s">
        <v>67</v>
      </c>
      <c r="W62" s="815" t="s">
        <v>67</v>
      </c>
      <c r="X62" s="815" t="s">
        <v>67</v>
      </c>
      <c r="Y62" s="815" t="s">
        <v>67</v>
      </c>
    </row>
    <row r="63" spans="2:25" ht="16.5" customHeight="1" outlineLevel="1">
      <c r="B63" s="746" t="s">
        <v>534</v>
      </c>
      <c r="C63" s="720" t="s">
        <v>301</v>
      </c>
      <c r="D63" s="721" t="s">
        <v>535</v>
      </c>
      <c r="E63" s="799">
        <f>+E18</f>
        <v>46053</v>
      </c>
      <c r="F63" s="799">
        <f t="shared" ref="F63:L63" si="9">+F18</f>
        <v>46053</v>
      </c>
      <c r="G63" s="799">
        <f t="shared" si="9"/>
        <v>46053</v>
      </c>
      <c r="H63" s="799">
        <f t="shared" si="9"/>
        <v>46053</v>
      </c>
      <c r="I63" s="799">
        <f t="shared" si="9"/>
        <v>46053</v>
      </c>
      <c r="J63" s="799">
        <f t="shared" si="9"/>
        <v>46053</v>
      </c>
      <c r="K63" s="799">
        <f t="shared" si="9"/>
        <v>46053</v>
      </c>
      <c r="L63" s="799">
        <f t="shared" si="9"/>
        <v>46053</v>
      </c>
      <c r="M63" s="799">
        <v>46112</v>
      </c>
      <c r="N63" s="799">
        <v>46112</v>
      </c>
      <c r="O63" s="799">
        <v>46112</v>
      </c>
      <c r="P63" s="799">
        <v>46112</v>
      </c>
      <c r="Q63" s="799">
        <v>46112</v>
      </c>
      <c r="T63" s="799">
        <v>46112</v>
      </c>
      <c r="U63" s="799">
        <v>46112</v>
      </c>
      <c r="V63" s="799">
        <v>46112</v>
      </c>
      <c r="W63" s="799">
        <v>46112</v>
      </c>
      <c r="X63" s="799">
        <v>46112</v>
      </c>
      <c r="Y63" s="799">
        <v>46112</v>
      </c>
    </row>
    <row r="64" spans="2:25" ht="16.5" customHeight="1" outlineLevel="1">
      <c r="B64" s="735" t="s">
        <v>536</v>
      </c>
      <c r="C64" s="720" t="s">
        <v>309</v>
      </c>
      <c r="D64" s="721" t="s">
        <v>537</v>
      </c>
      <c r="E64" s="799" t="s">
        <v>538</v>
      </c>
      <c r="F64" s="799" t="s">
        <v>538</v>
      </c>
      <c r="G64" s="799" t="s">
        <v>538</v>
      </c>
      <c r="H64" s="799" t="s">
        <v>538</v>
      </c>
      <c r="I64" s="799" t="s">
        <v>538</v>
      </c>
      <c r="J64" s="799" t="s">
        <v>538</v>
      </c>
      <c r="K64" s="799" t="s">
        <v>538</v>
      </c>
      <c r="L64" s="799" t="s">
        <v>538</v>
      </c>
      <c r="M64" s="799" t="s">
        <v>538</v>
      </c>
      <c r="N64" s="799" t="s">
        <v>538</v>
      </c>
      <c r="O64" s="799" t="s">
        <v>538</v>
      </c>
      <c r="P64" s="799" t="s">
        <v>538</v>
      </c>
      <c r="Q64" s="799" t="s">
        <v>538</v>
      </c>
      <c r="T64" s="799" t="s">
        <v>538</v>
      </c>
      <c r="U64" s="799" t="s">
        <v>538</v>
      </c>
      <c r="V64" s="799" t="s">
        <v>538</v>
      </c>
      <c r="W64" s="799" t="s">
        <v>538</v>
      </c>
      <c r="X64" s="799" t="s">
        <v>538</v>
      </c>
      <c r="Y64" s="799" t="s">
        <v>538</v>
      </c>
    </row>
    <row r="65" spans="2:25" ht="16.5" customHeight="1" outlineLevel="1">
      <c r="B65" s="735" t="s">
        <v>539</v>
      </c>
      <c r="C65" s="720" t="s">
        <v>301</v>
      </c>
      <c r="D65" s="721"/>
      <c r="E65" s="799">
        <f>+E19</f>
        <v>46203</v>
      </c>
      <c r="F65" s="799">
        <f t="shared" ref="F65:L65" si="10">+F19</f>
        <v>46203</v>
      </c>
      <c r="G65" s="799">
        <f t="shared" si="10"/>
        <v>46203</v>
      </c>
      <c r="H65" s="799">
        <f t="shared" si="10"/>
        <v>46203</v>
      </c>
      <c r="I65" s="799">
        <f t="shared" si="10"/>
        <v>46203</v>
      </c>
      <c r="J65" s="799">
        <f t="shared" si="10"/>
        <v>46203</v>
      </c>
      <c r="K65" s="799">
        <f t="shared" si="10"/>
        <v>46203</v>
      </c>
      <c r="L65" s="799">
        <f t="shared" si="10"/>
        <v>46203</v>
      </c>
      <c r="M65" s="799">
        <f t="shared" ref="M65:Q65" si="11">M19</f>
        <v>0</v>
      </c>
      <c r="N65" s="799">
        <f t="shared" si="11"/>
        <v>0</v>
      </c>
      <c r="O65" s="799">
        <f t="shared" si="11"/>
        <v>0</v>
      </c>
      <c r="P65" s="799">
        <f t="shared" si="11"/>
        <v>0</v>
      </c>
      <c r="Q65" s="799">
        <f t="shared" si="11"/>
        <v>0</v>
      </c>
      <c r="T65" s="799">
        <f t="shared" ref="T65:Y65" si="12">T19</f>
        <v>46203</v>
      </c>
      <c r="U65" s="799">
        <f t="shared" si="12"/>
        <v>46173</v>
      </c>
      <c r="V65" s="799">
        <f t="shared" si="12"/>
        <v>46173</v>
      </c>
      <c r="W65" s="799">
        <f t="shared" si="12"/>
        <v>46173</v>
      </c>
      <c r="X65" s="799">
        <f t="shared" si="12"/>
        <v>46173</v>
      </c>
      <c r="Y65" s="799">
        <f t="shared" si="12"/>
        <v>46203</v>
      </c>
    </row>
    <row r="66" spans="2:25" ht="18.600000000000001" customHeight="1" outlineLevel="1">
      <c r="B66" s="735" t="s">
        <v>540</v>
      </c>
      <c r="C66" s="1358" t="s">
        <v>541</v>
      </c>
      <c r="D66" s="1358"/>
      <c r="E66" s="803"/>
      <c r="F66" s="803"/>
      <c r="G66" s="803"/>
      <c r="H66" s="803"/>
      <c r="I66" s="803"/>
      <c r="J66" s="803"/>
      <c r="K66" s="803"/>
      <c r="L66" s="803"/>
      <c r="M66" s="803"/>
      <c r="N66" s="803"/>
      <c r="O66" s="803"/>
      <c r="P66" s="803"/>
      <c r="Q66" s="803"/>
      <c r="T66" s="803"/>
      <c r="U66" s="803"/>
      <c r="V66" s="803"/>
      <c r="W66" s="803"/>
      <c r="X66" s="803"/>
      <c r="Y66" s="803"/>
    </row>
    <row r="67" spans="2:25" ht="18.600000000000001" customHeight="1" outlineLevel="1">
      <c r="B67" s="735"/>
      <c r="C67" s="1358"/>
      <c r="D67" s="1358"/>
      <c r="T67" s="777"/>
      <c r="U67" s="777"/>
      <c r="V67" s="777"/>
      <c r="W67" s="777"/>
      <c r="X67" s="777"/>
      <c r="Y67" s="777"/>
    </row>
    <row r="68" spans="2:25" ht="16.5" customHeight="1" outlineLevel="1">
      <c r="B68" s="730" t="s">
        <v>424</v>
      </c>
      <c r="C68" s="742"/>
      <c r="D68" s="749"/>
      <c r="E68" s="750"/>
      <c r="F68" s="750"/>
      <c r="G68" s="750"/>
      <c r="H68" s="750"/>
      <c r="I68" s="750"/>
      <c r="J68" s="750"/>
      <c r="K68" s="750"/>
      <c r="L68" s="750"/>
      <c r="M68" s="750"/>
      <c r="N68" s="750"/>
      <c r="O68" s="750"/>
      <c r="P68" s="750"/>
      <c r="Q68" s="750"/>
      <c r="T68" s="953"/>
      <c r="U68" s="953"/>
      <c r="V68" s="953"/>
      <c r="W68" s="953"/>
      <c r="X68" s="953"/>
      <c r="Y68" s="953"/>
    </row>
    <row r="69" spans="2:25" ht="16.5" customHeight="1" outlineLevel="1">
      <c r="B69" s="735" t="s">
        <v>487</v>
      </c>
      <c r="E69" s="801"/>
      <c r="F69" s="801"/>
      <c r="G69" s="801"/>
      <c r="H69" s="801"/>
      <c r="I69" s="801"/>
      <c r="J69" s="801"/>
      <c r="K69" s="801"/>
      <c r="L69" s="801"/>
      <c r="M69" s="801"/>
      <c r="N69" s="801"/>
      <c r="O69" s="801"/>
      <c r="P69" s="801"/>
      <c r="Q69" s="801"/>
      <c r="T69" s="801"/>
      <c r="U69" s="801"/>
      <c r="V69" s="801"/>
      <c r="W69" s="801"/>
      <c r="X69" s="801"/>
      <c r="Y69" s="801"/>
    </row>
    <row r="70" spans="2:25" ht="16.5" customHeight="1" outlineLevel="1">
      <c r="B70" s="735" t="s">
        <v>528</v>
      </c>
      <c r="C70" s="724" t="s">
        <v>530</v>
      </c>
      <c r="D70" s="813" t="s">
        <v>531</v>
      </c>
      <c r="E70" s="814">
        <f>+'Input 기초'!F47</f>
        <v>0</v>
      </c>
      <c r="F70" s="814">
        <f>+'Input 기초'!G47</f>
        <v>0</v>
      </c>
      <c r="G70" s="814">
        <f>+'Input 기초'!H47</f>
        <v>0</v>
      </c>
      <c r="H70" s="814">
        <f>+'Input 기초'!I47</f>
        <v>0</v>
      </c>
      <c r="I70" s="814">
        <f>+'Input 기초'!J47</f>
        <v>0</v>
      </c>
      <c r="J70" s="814">
        <f>+'Input 기초'!K47</f>
        <v>0</v>
      </c>
      <c r="K70" s="814">
        <f>+'Input 기초'!L47</f>
        <v>0</v>
      </c>
      <c r="L70" s="814">
        <f>+'Input 기초'!M47</f>
        <v>0</v>
      </c>
      <c r="M70" s="814">
        <f>+'Input 기초'!N47</f>
        <v>0</v>
      </c>
      <c r="N70" s="814">
        <f>+'Input 기초'!O47</f>
        <v>0</v>
      </c>
      <c r="O70" s="814">
        <f>+'Input 기초'!P47</f>
        <v>0</v>
      </c>
      <c r="P70" s="814">
        <f>+'Input 기초'!Q47</f>
        <v>0</v>
      </c>
      <c r="Q70" s="814">
        <f>+'Input 기초'!R47</f>
        <v>0</v>
      </c>
      <c r="T70" s="814">
        <f>+'Input 기초'!U72</f>
        <v>0</v>
      </c>
      <c r="U70" s="814">
        <f>+'Input 기초'!V72</f>
        <v>0</v>
      </c>
      <c r="V70" s="814">
        <f>+'Input 기초'!W72</f>
        <v>0</v>
      </c>
      <c r="W70" s="814">
        <f>+'Input 기초'!X72</f>
        <v>0</v>
      </c>
      <c r="X70" s="814">
        <f>+'Input 기초'!Y72</f>
        <v>0</v>
      </c>
      <c r="Y70" s="814">
        <f>+'Input 기초'!Z72</f>
        <v>0</v>
      </c>
    </row>
    <row r="71" spans="2:25" ht="16.5" customHeight="1" outlineLevel="1">
      <c r="B71" s="735" t="s">
        <v>542</v>
      </c>
      <c r="C71" s="720" t="s">
        <v>533</v>
      </c>
      <c r="D71" s="721"/>
      <c r="E71" s="815">
        <v>1</v>
      </c>
      <c r="F71" s="815">
        <v>1</v>
      </c>
      <c r="G71" s="815">
        <v>1</v>
      </c>
      <c r="H71" s="815">
        <v>1</v>
      </c>
      <c r="I71" s="815">
        <v>1</v>
      </c>
      <c r="J71" s="815">
        <v>1</v>
      </c>
      <c r="K71" s="815">
        <v>1</v>
      </c>
      <c r="L71" s="815">
        <v>1</v>
      </c>
      <c r="M71" s="815">
        <v>1</v>
      </c>
      <c r="N71" s="815">
        <v>1</v>
      </c>
      <c r="O71" s="815">
        <v>1</v>
      </c>
      <c r="P71" s="815">
        <v>1</v>
      </c>
      <c r="Q71" s="815">
        <v>1</v>
      </c>
      <c r="T71" s="815">
        <v>1</v>
      </c>
      <c r="U71" s="815">
        <v>1</v>
      </c>
      <c r="V71" s="815">
        <v>1</v>
      </c>
      <c r="W71" s="815">
        <v>1</v>
      </c>
      <c r="X71" s="815">
        <v>1</v>
      </c>
      <c r="Y71" s="815">
        <v>1</v>
      </c>
    </row>
    <row r="72" spans="2:25" ht="15.75" customHeight="1" outlineLevel="1">
      <c r="B72" s="735" t="s">
        <v>534</v>
      </c>
      <c r="C72" s="720" t="s">
        <v>301</v>
      </c>
      <c r="D72" s="721" t="s">
        <v>535</v>
      </c>
      <c r="E72" s="799">
        <f t="shared" ref="E72:L72" si="13">+E18</f>
        <v>46053</v>
      </c>
      <c r="F72" s="799">
        <f t="shared" si="13"/>
        <v>46053</v>
      </c>
      <c r="G72" s="799">
        <f t="shared" si="13"/>
        <v>46053</v>
      </c>
      <c r="H72" s="799">
        <f t="shared" si="13"/>
        <v>46053</v>
      </c>
      <c r="I72" s="799">
        <f t="shared" si="13"/>
        <v>46053</v>
      </c>
      <c r="J72" s="799">
        <f t="shared" si="13"/>
        <v>46053</v>
      </c>
      <c r="K72" s="799">
        <f t="shared" si="13"/>
        <v>46053</v>
      </c>
      <c r="L72" s="799">
        <f t="shared" si="13"/>
        <v>46053</v>
      </c>
      <c r="M72" s="799" t="e">
        <f t="shared" ref="M72" si="14">+EDATE(M16,-25)</f>
        <v>#NUM!</v>
      </c>
      <c r="N72" s="799" t="e">
        <f>+EDATE(N16,-25)</f>
        <v>#NUM!</v>
      </c>
      <c r="O72" s="799" t="e">
        <f>+EDATE(O16,-25)</f>
        <v>#NUM!</v>
      </c>
      <c r="P72" s="799" t="e">
        <f>+EDATE(P16,-25)</f>
        <v>#NUM!</v>
      </c>
      <c r="Q72" s="799" t="e">
        <f>+EDATE(Q16,-25)</f>
        <v>#NUM!</v>
      </c>
      <c r="T72" s="799">
        <f t="shared" ref="T72:Y72" si="15">+EDATE(T16,-25)</f>
        <v>45200</v>
      </c>
      <c r="U72" s="799">
        <f t="shared" si="15"/>
        <v>45200</v>
      </c>
      <c r="V72" s="799">
        <f t="shared" si="15"/>
        <v>45200</v>
      </c>
      <c r="W72" s="799">
        <f t="shared" si="15"/>
        <v>45200</v>
      </c>
      <c r="X72" s="799">
        <f t="shared" si="15"/>
        <v>45200</v>
      </c>
      <c r="Y72" s="799">
        <f t="shared" si="15"/>
        <v>45260</v>
      </c>
    </row>
    <row r="73" spans="2:25" ht="16.5" customHeight="1" outlineLevel="1">
      <c r="B73" s="735" t="s">
        <v>536</v>
      </c>
      <c r="C73" s="720" t="s">
        <v>309</v>
      </c>
      <c r="D73" s="721" t="s">
        <v>537</v>
      </c>
      <c r="E73" s="799" t="str">
        <f>+'[6]입력 시트(0124)'!E72</f>
        <v>CPI</v>
      </c>
      <c r="F73" s="799" t="str">
        <f>+'[6]입력 시트(0124)'!F72</f>
        <v>CPI</v>
      </c>
      <c r="G73" s="799" t="str">
        <f>+'[6]입력 시트(0124)'!G72</f>
        <v>CPI</v>
      </c>
      <c r="H73" s="799" t="str">
        <f>+'[6]입력 시트(0124)'!H72</f>
        <v>CPI</v>
      </c>
      <c r="I73" s="799" t="str">
        <f>+'[6]입력 시트(0124)'!I72</f>
        <v>CPI</v>
      </c>
      <c r="J73" s="799" t="s">
        <v>538</v>
      </c>
      <c r="K73" s="799" t="s">
        <v>538</v>
      </c>
      <c r="L73" s="799" t="s">
        <v>538</v>
      </c>
      <c r="M73" s="799" t="s">
        <v>538</v>
      </c>
      <c r="N73" s="799" t="s">
        <v>538</v>
      </c>
      <c r="O73" s="799" t="s">
        <v>538</v>
      </c>
      <c r="P73" s="799" t="s">
        <v>538</v>
      </c>
      <c r="Q73" s="799" t="s">
        <v>538</v>
      </c>
      <c r="T73" s="799" t="e">
        <f>+'[6]입력 시트(0124)'!T72</f>
        <v>#REF!</v>
      </c>
      <c r="U73" s="799" t="e">
        <f>+'[6]입력 시트(0124)'!U72</f>
        <v>#REF!</v>
      </c>
      <c r="V73" s="799" t="e">
        <f>+'[6]입력 시트(0124)'!V72</f>
        <v>#REF!</v>
      </c>
      <c r="W73" s="799" t="e">
        <f>+'[6]입력 시트(0124)'!W72</f>
        <v>#REF!</v>
      </c>
      <c r="X73" s="799" t="e">
        <f>+'[6]입력 시트(0124)'!X72</f>
        <v>#REF!</v>
      </c>
      <c r="Y73" s="799" t="s">
        <v>538</v>
      </c>
    </row>
    <row r="74" spans="2:25" ht="16.5" customHeight="1" outlineLevel="1">
      <c r="B74" s="735" t="s">
        <v>539</v>
      </c>
      <c r="C74" s="720" t="s">
        <v>301</v>
      </c>
      <c r="D74" s="721"/>
      <c r="E74" s="799">
        <f t="shared" ref="E74:L74" si="16">+E19</f>
        <v>46203</v>
      </c>
      <c r="F74" s="799">
        <f t="shared" si="16"/>
        <v>46203</v>
      </c>
      <c r="G74" s="799">
        <f t="shared" si="16"/>
        <v>46203</v>
      </c>
      <c r="H74" s="799">
        <f t="shared" si="16"/>
        <v>46203</v>
      </c>
      <c r="I74" s="799">
        <f t="shared" si="16"/>
        <v>46203</v>
      </c>
      <c r="J74" s="799">
        <f t="shared" si="16"/>
        <v>46203</v>
      </c>
      <c r="K74" s="799">
        <f t="shared" si="16"/>
        <v>46203</v>
      </c>
      <c r="L74" s="799">
        <f t="shared" si="16"/>
        <v>46203</v>
      </c>
      <c r="M74" s="799">
        <f t="shared" ref="M74:Q74" si="17">M19</f>
        <v>0</v>
      </c>
      <c r="N74" s="799">
        <f t="shared" si="17"/>
        <v>0</v>
      </c>
      <c r="O74" s="799">
        <f t="shared" si="17"/>
        <v>0</v>
      </c>
      <c r="P74" s="799">
        <f t="shared" si="17"/>
        <v>0</v>
      </c>
      <c r="Q74" s="799">
        <f t="shared" si="17"/>
        <v>0</v>
      </c>
      <c r="T74" s="799">
        <f t="shared" ref="T74:Y74" si="18">T19</f>
        <v>46203</v>
      </c>
      <c r="U74" s="799">
        <f t="shared" si="18"/>
        <v>46173</v>
      </c>
      <c r="V74" s="799">
        <f t="shared" si="18"/>
        <v>46173</v>
      </c>
      <c r="W74" s="799">
        <f t="shared" si="18"/>
        <v>46173</v>
      </c>
      <c r="X74" s="799">
        <f t="shared" si="18"/>
        <v>46173</v>
      </c>
      <c r="Y74" s="799">
        <f t="shared" si="18"/>
        <v>46203</v>
      </c>
    </row>
    <row r="75" spans="2:25" ht="16.5" customHeight="1" outlineLevel="1">
      <c r="B75" s="735" t="s">
        <v>540</v>
      </c>
      <c r="C75" s="1355"/>
      <c r="D75" s="1356"/>
      <c r="E75" s="803"/>
      <c r="F75" s="803"/>
      <c r="G75" s="803"/>
      <c r="H75" s="803"/>
      <c r="I75" s="803"/>
      <c r="J75" s="803"/>
      <c r="K75" s="803"/>
      <c r="L75" s="803"/>
      <c r="M75" s="803"/>
      <c r="N75" s="803"/>
      <c r="O75" s="803"/>
      <c r="P75" s="803"/>
      <c r="Q75" s="803"/>
      <c r="T75" s="803"/>
      <c r="U75" s="803"/>
      <c r="V75" s="803"/>
      <c r="W75" s="803"/>
      <c r="X75" s="803"/>
      <c r="Y75" s="803"/>
    </row>
    <row r="76" spans="2:25" ht="16.5" hidden="1" customHeight="1" outlineLevel="1">
      <c r="B76" s="735"/>
      <c r="C76" s="751"/>
      <c r="T76" s="777"/>
      <c r="U76" s="777"/>
      <c r="V76" s="777"/>
      <c r="W76" s="777"/>
      <c r="X76" s="777"/>
      <c r="Y76" s="777"/>
    </row>
    <row r="77" spans="2:25" ht="16.5" hidden="1" customHeight="1" outlineLevel="1">
      <c r="B77" s="730" t="s">
        <v>544</v>
      </c>
      <c r="C77" s="742"/>
      <c r="D77" s="749"/>
      <c r="E77" s="750"/>
      <c r="F77" s="750"/>
      <c r="G77" s="750"/>
      <c r="H77" s="750"/>
      <c r="I77" s="750"/>
      <c r="J77" s="750"/>
      <c r="K77" s="750"/>
      <c r="L77" s="750"/>
      <c r="M77" s="750"/>
      <c r="N77" s="750"/>
      <c r="O77" s="750"/>
      <c r="P77" s="750"/>
      <c r="Q77" s="750"/>
      <c r="T77" s="953"/>
      <c r="U77" s="953"/>
      <c r="V77" s="953"/>
      <c r="W77" s="953"/>
      <c r="X77" s="953"/>
      <c r="Y77" s="953"/>
    </row>
    <row r="78" spans="2:25" ht="16.5" hidden="1" customHeight="1" outlineLevel="1">
      <c r="B78" s="735" t="s">
        <v>487</v>
      </c>
      <c r="E78" s="726" t="s">
        <v>545</v>
      </c>
      <c r="F78" s="726" t="s">
        <v>545</v>
      </c>
      <c r="G78" s="726" t="s">
        <v>545</v>
      </c>
      <c r="H78" s="726" t="s">
        <v>545</v>
      </c>
      <c r="I78" s="726" t="s">
        <v>545</v>
      </c>
      <c r="J78" s="726" t="s">
        <v>545</v>
      </c>
      <c r="K78" s="726" t="s">
        <v>545</v>
      </c>
      <c r="L78" s="726" t="s">
        <v>545</v>
      </c>
      <c r="M78" s="726" t="s">
        <v>545</v>
      </c>
      <c r="N78" s="726" t="s">
        <v>545</v>
      </c>
      <c r="O78" s="726" t="s">
        <v>545</v>
      </c>
      <c r="P78" s="726" t="s">
        <v>545</v>
      </c>
      <c r="Q78" s="726" t="s">
        <v>545</v>
      </c>
      <c r="T78" s="726" t="s">
        <v>545</v>
      </c>
      <c r="U78" s="726" t="s">
        <v>545</v>
      </c>
      <c r="V78" s="726" t="s">
        <v>545</v>
      </c>
      <c r="W78" s="726" t="s">
        <v>545</v>
      </c>
      <c r="X78" s="726" t="s">
        <v>545</v>
      </c>
      <c r="Y78" s="726" t="s">
        <v>545</v>
      </c>
    </row>
    <row r="79" spans="2:25" ht="16.5" hidden="1" customHeight="1" outlineLevel="1">
      <c r="B79" s="735" t="s">
        <v>528</v>
      </c>
      <c r="C79" s="724" t="s">
        <v>530</v>
      </c>
      <c r="D79" s="744" t="s">
        <v>531</v>
      </c>
      <c r="E79" s="752"/>
      <c r="F79" s="752"/>
      <c r="G79" s="752"/>
      <c r="H79" s="752"/>
      <c r="I79" s="752"/>
      <c r="J79" s="752"/>
      <c r="K79" s="752"/>
      <c r="L79" s="752"/>
      <c r="M79" s="752"/>
      <c r="N79" s="752"/>
      <c r="O79" s="752"/>
      <c r="P79" s="752"/>
      <c r="Q79" s="752"/>
      <c r="T79" s="752"/>
      <c r="U79" s="752"/>
      <c r="V79" s="752"/>
      <c r="W79" s="752"/>
      <c r="X79" s="752"/>
      <c r="Y79" s="752"/>
    </row>
    <row r="80" spans="2:25" ht="16.5" hidden="1" customHeight="1" outlineLevel="1">
      <c r="B80" s="735" t="s">
        <v>542</v>
      </c>
      <c r="C80" s="720" t="s">
        <v>533</v>
      </c>
      <c r="D80" s="721"/>
      <c r="E80" s="747">
        <v>1</v>
      </c>
      <c r="F80" s="747">
        <v>1</v>
      </c>
      <c r="G80" s="747">
        <v>1</v>
      </c>
      <c r="H80" s="747">
        <v>1</v>
      </c>
      <c r="I80" s="747">
        <v>1</v>
      </c>
      <c r="J80" s="747">
        <v>1</v>
      </c>
      <c r="K80" s="747">
        <v>1</v>
      </c>
      <c r="L80" s="747">
        <v>1</v>
      </c>
      <c r="M80" s="747">
        <v>1</v>
      </c>
      <c r="N80" s="747">
        <v>1</v>
      </c>
      <c r="O80" s="747">
        <v>1</v>
      </c>
      <c r="P80" s="747">
        <v>1</v>
      </c>
      <c r="Q80" s="747">
        <v>1</v>
      </c>
      <c r="T80" s="747">
        <v>1</v>
      </c>
      <c r="U80" s="747">
        <v>1</v>
      </c>
      <c r="V80" s="747">
        <v>1</v>
      </c>
      <c r="W80" s="747">
        <v>1</v>
      </c>
      <c r="X80" s="747">
        <v>1</v>
      </c>
      <c r="Y80" s="747">
        <v>1</v>
      </c>
    </row>
    <row r="81" spans="2:25" ht="16.5" hidden="1" customHeight="1" outlineLevel="1">
      <c r="B81" s="735" t="s">
        <v>534</v>
      </c>
      <c r="C81" s="720" t="s">
        <v>301</v>
      </c>
      <c r="D81" s="721" t="s">
        <v>546</v>
      </c>
      <c r="E81" s="722">
        <f>+'[6]입력 시트(0124)'!E80</f>
        <v>45901</v>
      </c>
      <c r="F81" s="722">
        <f>+'[6]입력 시트(0124)'!F80</f>
        <v>45901</v>
      </c>
      <c r="G81" s="722">
        <f>+'[6]입력 시트(0124)'!G80</f>
        <v>45901</v>
      </c>
      <c r="H81" s="722">
        <f>+'[6]입력 시트(0124)'!H80</f>
        <v>45901</v>
      </c>
      <c r="I81" s="722">
        <f>+'[6]입력 시트(0124)'!I80</f>
        <v>45931</v>
      </c>
      <c r="J81" s="722">
        <f>+'[6]입력 시트(0124)'!F80</f>
        <v>45901</v>
      </c>
      <c r="K81" s="722">
        <f>+'[6]입력 시트(0124)'!G80</f>
        <v>45901</v>
      </c>
      <c r="L81" s="722">
        <f>+'[6]입력 시트(0124)'!H80</f>
        <v>45901</v>
      </c>
      <c r="M81" s="722">
        <f>+'[6]입력 시트(0124)'!I80</f>
        <v>45931</v>
      </c>
      <c r="N81" s="722" t="e">
        <f>+'[6]입력 시트(0124)'!N80</f>
        <v>#REF!</v>
      </c>
      <c r="O81" s="722" t="e">
        <f>+'[6]입력 시트(0124)'!O80</f>
        <v>#REF!</v>
      </c>
      <c r="P81" s="722" t="e">
        <f>+'[6]입력 시트(0124)'!P80</f>
        <v>#REF!</v>
      </c>
      <c r="Q81" s="722" t="e">
        <f>+'[6]입력 시트(0124)'!Q80</f>
        <v>#REF!</v>
      </c>
      <c r="T81" s="722" t="e">
        <f>+'[6]입력 시트(0124)'!T80</f>
        <v>#REF!</v>
      </c>
      <c r="U81" s="722" t="e">
        <f>+'[6]입력 시트(0124)'!U80</f>
        <v>#REF!</v>
      </c>
      <c r="V81" s="722" t="e">
        <f>+'[6]입력 시트(0124)'!V80</f>
        <v>#REF!</v>
      </c>
      <c r="W81" s="722" t="e">
        <f>+'[6]입력 시트(0124)'!W80</f>
        <v>#REF!</v>
      </c>
      <c r="X81" s="722" t="e">
        <f>+'[6]입력 시트(0124)'!X80</f>
        <v>#REF!</v>
      </c>
      <c r="Y81" s="722" t="e">
        <f>+'[6]입력 시트(0124)'!U80</f>
        <v>#REF!</v>
      </c>
    </row>
    <row r="82" spans="2:25" ht="16.5" hidden="1" customHeight="1" outlineLevel="1">
      <c r="B82" s="735" t="s">
        <v>536</v>
      </c>
      <c r="C82" s="720" t="s">
        <v>309</v>
      </c>
      <c r="D82" s="721" t="s">
        <v>537</v>
      </c>
      <c r="E82" s="722" t="str">
        <f>+'[6]입력 시트(0124)'!E81</f>
        <v>CPI</v>
      </c>
      <c r="F82" s="722" t="str">
        <f>+'[6]입력 시트(0124)'!F81</f>
        <v>CPI</v>
      </c>
      <c r="G82" s="722" t="str">
        <f>+'[6]입력 시트(0124)'!G81</f>
        <v>CPI</v>
      </c>
      <c r="H82" s="722" t="str">
        <f>+'[6]입력 시트(0124)'!H81</f>
        <v>CPI</v>
      </c>
      <c r="I82" s="722" t="str">
        <f>+'[6]입력 시트(0124)'!I81</f>
        <v>CPI</v>
      </c>
      <c r="J82" s="722" t="str">
        <f>+'[6]입력 시트(0124)'!F81</f>
        <v>CPI</v>
      </c>
      <c r="K82" s="722" t="str">
        <f>+'[6]입력 시트(0124)'!G81</f>
        <v>CPI</v>
      </c>
      <c r="L82" s="722" t="str">
        <f>+'[6]입력 시트(0124)'!H81</f>
        <v>CPI</v>
      </c>
      <c r="M82" s="722" t="str">
        <f>+'[6]입력 시트(0124)'!I81</f>
        <v>CPI</v>
      </c>
      <c r="N82" s="722" t="e">
        <f>+'[6]입력 시트(0124)'!N81</f>
        <v>#REF!</v>
      </c>
      <c r="O82" s="722" t="e">
        <f>+'[6]입력 시트(0124)'!O81</f>
        <v>#REF!</v>
      </c>
      <c r="P82" s="722" t="e">
        <f>+'[6]입력 시트(0124)'!P81</f>
        <v>#REF!</v>
      </c>
      <c r="Q82" s="722" t="e">
        <f>+'[6]입력 시트(0124)'!Q81</f>
        <v>#REF!</v>
      </c>
      <c r="T82" s="722" t="e">
        <f>+'[6]입력 시트(0124)'!T81</f>
        <v>#REF!</v>
      </c>
      <c r="U82" s="722" t="e">
        <f>+'[6]입력 시트(0124)'!U81</f>
        <v>#REF!</v>
      </c>
      <c r="V82" s="722" t="e">
        <f>+'[6]입력 시트(0124)'!V81</f>
        <v>#REF!</v>
      </c>
      <c r="W82" s="722" t="e">
        <f>+'[6]입력 시트(0124)'!W81</f>
        <v>#REF!</v>
      </c>
      <c r="X82" s="722" t="e">
        <f>+'[6]입력 시트(0124)'!X81</f>
        <v>#REF!</v>
      </c>
      <c r="Y82" s="722" t="e">
        <f>+'[6]입력 시트(0124)'!U81</f>
        <v>#REF!</v>
      </c>
    </row>
    <row r="83" spans="2:25" ht="16.5" hidden="1" customHeight="1" outlineLevel="1">
      <c r="B83" s="735" t="s">
        <v>539</v>
      </c>
      <c r="C83" s="720" t="s">
        <v>301</v>
      </c>
      <c r="D83" s="721"/>
      <c r="E83" s="722">
        <f>+'[6]입력 시트(0124)'!E82</f>
        <v>45901</v>
      </c>
      <c r="F83" s="722">
        <f>+'[6]입력 시트(0124)'!F82</f>
        <v>45901</v>
      </c>
      <c r="G83" s="722">
        <f>+'[6]입력 시트(0124)'!G82</f>
        <v>45901</v>
      </c>
      <c r="H83" s="722">
        <f>+'[6]입력 시트(0124)'!H82</f>
        <v>45901</v>
      </c>
      <c r="I83" s="722">
        <f>+'[6]입력 시트(0124)'!I82</f>
        <v>45931</v>
      </c>
      <c r="J83" s="722">
        <f>+'[6]입력 시트(0124)'!F82</f>
        <v>45901</v>
      </c>
      <c r="K83" s="722">
        <f>+'[6]입력 시트(0124)'!G82</f>
        <v>45901</v>
      </c>
      <c r="L83" s="722">
        <f>+'[6]입력 시트(0124)'!H82</f>
        <v>45901</v>
      </c>
      <c r="M83" s="722">
        <f>+'[6]입력 시트(0124)'!I82</f>
        <v>45931</v>
      </c>
      <c r="N83" s="722" t="e">
        <f>+'[6]입력 시트(0124)'!N82</f>
        <v>#REF!</v>
      </c>
      <c r="O83" s="722" t="e">
        <f>+'[6]입력 시트(0124)'!O82</f>
        <v>#REF!</v>
      </c>
      <c r="P83" s="722" t="e">
        <f>+'[6]입력 시트(0124)'!P82</f>
        <v>#REF!</v>
      </c>
      <c r="Q83" s="722" t="e">
        <f>+'[6]입력 시트(0124)'!Q82</f>
        <v>#REF!</v>
      </c>
      <c r="T83" s="722" t="e">
        <f>+'[6]입력 시트(0124)'!T82</f>
        <v>#REF!</v>
      </c>
      <c r="U83" s="722" t="e">
        <f>+'[6]입력 시트(0124)'!U82</f>
        <v>#REF!</v>
      </c>
      <c r="V83" s="722" t="e">
        <f>+'[6]입력 시트(0124)'!V82</f>
        <v>#REF!</v>
      </c>
      <c r="W83" s="722" t="e">
        <f>+'[6]입력 시트(0124)'!W82</f>
        <v>#REF!</v>
      </c>
      <c r="X83" s="722" t="e">
        <f>+'[6]입력 시트(0124)'!X82</f>
        <v>#REF!</v>
      </c>
      <c r="Y83" s="722" t="e">
        <f>+'[6]입력 시트(0124)'!U82</f>
        <v>#REF!</v>
      </c>
    </row>
    <row r="84" spans="2:25" ht="16.5" hidden="1" customHeight="1" outlineLevel="1">
      <c r="B84" s="735" t="s">
        <v>540</v>
      </c>
      <c r="C84" s="1355" t="s">
        <v>547</v>
      </c>
      <c r="D84" s="1356"/>
      <c r="E84" s="728"/>
      <c r="F84" s="728"/>
      <c r="G84" s="728"/>
      <c r="H84" s="728"/>
      <c r="I84" s="728"/>
      <c r="J84" s="728"/>
      <c r="K84" s="728"/>
      <c r="L84" s="728"/>
      <c r="M84" s="728"/>
      <c r="N84" s="728"/>
      <c r="O84" s="728"/>
      <c r="P84" s="728"/>
      <c r="Q84" s="728"/>
      <c r="T84" s="728"/>
      <c r="U84" s="728"/>
      <c r="V84" s="728"/>
      <c r="W84" s="728"/>
      <c r="X84" s="728"/>
      <c r="Y84" s="728"/>
    </row>
    <row r="85" spans="2:25" ht="16.5" customHeight="1" outlineLevel="1">
      <c r="B85" s="735"/>
      <c r="T85" s="777"/>
      <c r="U85" s="777"/>
      <c r="V85" s="777"/>
      <c r="W85" s="777"/>
      <c r="X85" s="777"/>
      <c r="Y85" s="777"/>
    </row>
    <row r="86" spans="2:25" ht="16.5" customHeight="1" outlineLevel="1">
      <c r="B86" s="730" t="s">
        <v>548</v>
      </c>
      <c r="C86" s="742"/>
      <c r="D86" s="749"/>
      <c r="E86" s="750"/>
      <c r="F86" s="750"/>
      <c r="G86" s="750"/>
      <c r="H86" s="750"/>
      <c r="I86" s="750"/>
      <c r="J86" s="750"/>
      <c r="K86" s="750"/>
      <c r="L86" s="750"/>
      <c r="M86" s="750"/>
      <c r="N86" s="750"/>
      <c r="O86" s="750"/>
      <c r="P86" s="750"/>
      <c r="Q86" s="750"/>
      <c r="T86" s="953"/>
      <c r="U86" s="953"/>
      <c r="V86" s="953"/>
      <c r="W86" s="953"/>
      <c r="X86" s="953"/>
      <c r="Y86" s="953"/>
    </row>
    <row r="87" spans="2:25" ht="16.5" customHeight="1" outlineLevel="1">
      <c r="B87" s="735" t="s">
        <v>487</v>
      </c>
      <c r="E87" s="801"/>
      <c r="F87" s="801"/>
      <c r="G87" s="801"/>
      <c r="H87" s="801"/>
      <c r="I87" s="801"/>
      <c r="J87" s="801"/>
      <c r="K87" s="801"/>
      <c r="L87" s="801"/>
      <c r="M87" s="801"/>
      <c r="N87" s="801"/>
      <c r="O87" s="801"/>
      <c r="P87" s="801"/>
      <c r="Q87" s="801"/>
      <c r="T87" s="801"/>
      <c r="U87" s="801"/>
      <c r="V87" s="801"/>
      <c r="W87" s="801"/>
      <c r="X87" s="801"/>
      <c r="Y87" s="801"/>
    </row>
    <row r="88" spans="2:25" ht="16.5" customHeight="1" outlineLevel="1">
      <c r="B88" s="735" t="s">
        <v>528</v>
      </c>
      <c r="C88" s="724" t="s">
        <v>530</v>
      </c>
      <c r="D88" s="813" t="s">
        <v>531</v>
      </c>
      <c r="E88" s="814">
        <f>+'Input 기초'!F48</f>
        <v>432562.00000000006</v>
      </c>
      <c r="F88" s="814">
        <f>+'Input 기초'!G48</f>
        <v>1297686</v>
      </c>
      <c r="G88" s="814">
        <f>+'Input 기초'!H48</f>
        <v>371475</v>
      </c>
      <c r="H88" s="814">
        <f>+'Input 기초'!I48</f>
        <v>1844167</v>
      </c>
      <c r="I88" s="814">
        <f>+'Input 기초'!J48</f>
        <v>1358773</v>
      </c>
      <c r="J88" s="814">
        <f>+'Input 기초'!K48</f>
        <v>386048</v>
      </c>
      <c r="K88" s="814">
        <f>+'Input 기초'!L48</f>
        <v>2334514</v>
      </c>
      <c r="L88" s="814">
        <f>+'Input 기초'!M48</f>
        <v>3004820</v>
      </c>
      <c r="M88" s="814">
        <f>+'Input 기초'!N48</f>
        <v>0</v>
      </c>
      <c r="N88" s="814">
        <f>+'Input 기초'!O48</f>
        <v>0</v>
      </c>
      <c r="O88" s="814">
        <f>+'Input 기초'!P48</f>
        <v>0</v>
      </c>
      <c r="P88" s="814">
        <f>+'Input 기초'!Q48</f>
        <v>0</v>
      </c>
      <c r="Q88" s="814">
        <f>+'Input 기초'!R48</f>
        <v>0</v>
      </c>
      <c r="T88" s="814">
        <f>+'Input 기초'!U73</f>
        <v>0</v>
      </c>
      <c r="U88" s="814">
        <f>+'Input 기초'!V73</f>
        <v>0</v>
      </c>
      <c r="V88" s="814">
        <f>+'Input 기초'!W73</f>
        <v>0</v>
      </c>
      <c r="W88" s="814">
        <f>+'Input 기초'!X73</f>
        <v>0</v>
      </c>
      <c r="X88" s="814">
        <f>+'Input 기초'!Y73</f>
        <v>0</v>
      </c>
      <c r="Y88" s="814">
        <f>+'Input 기초'!Z73</f>
        <v>0</v>
      </c>
    </row>
    <row r="89" spans="2:25" ht="16.5" customHeight="1" outlineLevel="1">
      <c r="B89" s="735" t="s">
        <v>542</v>
      </c>
      <c r="C89" s="720" t="s">
        <v>533</v>
      </c>
      <c r="D89" s="721"/>
      <c r="E89" s="815">
        <v>1</v>
      </c>
      <c r="F89" s="815">
        <v>1</v>
      </c>
      <c r="G89" s="815">
        <v>1</v>
      </c>
      <c r="H89" s="815">
        <v>1</v>
      </c>
      <c r="I89" s="815">
        <v>1</v>
      </c>
      <c r="J89" s="815">
        <v>1</v>
      </c>
      <c r="K89" s="815">
        <v>1</v>
      </c>
      <c r="L89" s="815">
        <v>1</v>
      </c>
      <c r="M89" s="815">
        <v>1</v>
      </c>
      <c r="N89" s="815">
        <v>1</v>
      </c>
      <c r="O89" s="815">
        <v>1</v>
      </c>
      <c r="P89" s="815">
        <v>1</v>
      </c>
      <c r="Q89" s="815">
        <v>1</v>
      </c>
      <c r="T89" s="815">
        <v>1</v>
      </c>
      <c r="U89" s="815">
        <v>1</v>
      </c>
      <c r="V89" s="815">
        <v>1</v>
      </c>
      <c r="W89" s="815">
        <v>1</v>
      </c>
      <c r="X89" s="815">
        <v>1</v>
      </c>
      <c r="Y89" s="815">
        <v>1</v>
      </c>
    </row>
    <row r="90" spans="2:25" ht="16.5" customHeight="1" outlineLevel="1">
      <c r="B90" s="735" t="s">
        <v>534</v>
      </c>
      <c r="C90" s="720" t="s">
        <v>301</v>
      </c>
      <c r="D90" s="721" t="s">
        <v>535</v>
      </c>
      <c r="E90" s="799">
        <f t="shared" ref="E90:L90" si="19">+E18</f>
        <v>46053</v>
      </c>
      <c r="F90" s="799">
        <f t="shared" si="19"/>
        <v>46053</v>
      </c>
      <c r="G90" s="799">
        <f t="shared" si="19"/>
        <v>46053</v>
      </c>
      <c r="H90" s="799">
        <f t="shared" si="19"/>
        <v>46053</v>
      </c>
      <c r="I90" s="799">
        <f t="shared" si="19"/>
        <v>46053</v>
      </c>
      <c r="J90" s="799">
        <f t="shared" si="19"/>
        <v>46053</v>
      </c>
      <c r="K90" s="799">
        <f t="shared" si="19"/>
        <v>46053</v>
      </c>
      <c r="L90" s="799">
        <f t="shared" si="19"/>
        <v>46053</v>
      </c>
      <c r="M90" s="799">
        <v>46112</v>
      </c>
      <c r="N90" s="799">
        <v>46112</v>
      </c>
      <c r="O90" s="799">
        <v>46112</v>
      </c>
      <c r="P90" s="799">
        <v>46112</v>
      </c>
      <c r="Q90" s="799">
        <v>46112</v>
      </c>
      <c r="T90" s="799">
        <v>46112</v>
      </c>
      <c r="U90" s="799">
        <v>46112</v>
      </c>
      <c r="V90" s="799">
        <v>46112</v>
      </c>
      <c r="W90" s="799">
        <v>46112</v>
      </c>
      <c r="X90" s="799">
        <v>46112</v>
      </c>
      <c r="Y90" s="799">
        <v>46112</v>
      </c>
    </row>
    <row r="91" spans="2:25" ht="16.5" customHeight="1" outlineLevel="1">
      <c r="B91" s="735" t="s">
        <v>536</v>
      </c>
      <c r="C91" s="720" t="s">
        <v>309</v>
      </c>
      <c r="D91" s="721" t="s">
        <v>537</v>
      </c>
      <c r="E91" s="799" t="str">
        <f>+'[6]입력 시트(0124)'!E90</f>
        <v>CPI</v>
      </c>
      <c r="F91" s="799" t="s">
        <v>538</v>
      </c>
      <c r="G91" s="799" t="s">
        <v>538</v>
      </c>
      <c r="H91" s="799" t="s">
        <v>538</v>
      </c>
      <c r="I91" s="799" t="s">
        <v>538</v>
      </c>
      <c r="J91" s="799" t="s">
        <v>538</v>
      </c>
      <c r="K91" s="799" t="s">
        <v>538</v>
      </c>
      <c r="L91" s="799" t="s">
        <v>538</v>
      </c>
      <c r="M91" s="799" t="s">
        <v>538</v>
      </c>
      <c r="N91" s="799" t="s">
        <v>538</v>
      </c>
      <c r="O91" s="799" t="s">
        <v>538</v>
      </c>
      <c r="P91" s="799" t="s">
        <v>538</v>
      </c>
      <c r="Q91" s="799" t="s">
        <v>538</v>
      </c>
      <c r="T91" s="799" t="e">
        <f>+'[6]입력 시트(0124)'!T90</f>
        <v>#REF!</v>
      </c>
      <c r="U91" s="799" t="s">
        <v>538</v>
      </c>
      <c r="V91" s="799" t="s">
        <v>538</v>
      </c>
      <c r="W91" s="799" t="s">
        <v>538</v>
      </c>
      <c r="X91" s="799" t="s">
        <v>538</v>
      </c>
      <c r="Y91" s="799" t="s">
        <v>538</v>
      </c>
    </row>
    <row r="92" spans="2:25" ht="16.5" customHeight="1" outlineLevel="1">
      <c r="B92" s="735" t="s">
        <v>539</v>
      </c>
      <c r="C92" s="720" t="s">
        <v>301</v>
      </c>
      <c r="D92" s="721"/>
      <c r="E92" s="799">
        <f t="shared" ref="E92:L92" si="20">+E19</f>
        <v>46203</v>
      </c>
      <c r="F92" s="799">
        <f t="shared" si="20"/>
        <v>46203</v>
      </c>
      <c r="G92" s="799">
        <f t="shared" si="20"/>
        <v>46203</v>
      </c>
      <c r="H92" s="799">
        <f t="shared" si="20"/>
        <v>46203</v>
      </c>
      <c r="I92" s="799">
        <f t="shared" si="20"/>
        <v>46203</v>
      </c>
      <c r="J92" s="799">
        <f t="shared" si="20"/>
        <v>46203</v>
      </c>
      <c r="K92" s="799">
        <f t="shared" si="20"/>
        <v>46203</v>
      </c>
      <c r="L92" s="799">
        <f t="shared" si="20"/>
        <v>46203</v>
      </c>
      <c r="M92" s="799">
        <f t="shared" ref="M92:Q92" si="21">M19</f>
        <v>0</v>
      </c>
      <c r="N92" s="799">
        <f t="shared" si="21"/>
        <v>0</v>
      </c>
      <c r="O92" s="799">
        <f t="shared" si="21"/>
        <v>0</v>
      </c>
      <c r="P92" s="799">
        <f t="shared" si="21"/>
        <v>0</v>
      </c>
      <c r="Q92" s="799">
        <f t="shared" si="21"/>
        <v>0</v>
      </c>
      <c r="T92" s="799">
        <f t="shared" ref="T92:Y92" si="22">T19</f>
        <v>46203</v>
      </c>
      <c r="U92" s="799">
        <f t="shared" si="22"/>
        <v>46173</v>
      </c>
      <c r="V92" s="799">
        <f t="shared" si="22"/>
        <v>46173</v>
      </c>
      <c r="W92" s="799">
        <f t="shared" si="22"/>
        <v>46173</v>
      </c>
      <c r="X92" s="799">
        <f t="shared" si="22"/>
        <v>46173</v>
      </c>
      <c r="Y92" s="799">
        <f t="shared" si="22"/>
        <v>46203</v>
      </c>
    </row>
    <row r="93" spans="2:25" ht="16.5" customHeight="1" outlineLevel="1">
      <c r="B93" s="735" t="s">
        <v>540</v>
      </c>
      <c r="C93" s="1375" t="s">
        <v>549</v>
      </c>
      <c r="D93" s="1375"/>
      <c r="E93" s="803"/>
      <c r="F93" s="803"/>
      <c r="G93" s="803"/>
      <c r="H93" s="803"/>
      <c r="I93" s="803"/>
      <c r="J93" s="803"/>
      <c r="K93" s="803"/>
      <c r="L93" s="803"/>
      <c r="M93" s="803"/>
      <c r="N93" s="803"/>
      <c r="O93" s="803"/>
      <c r="P93" s="803"/>
      <c r="Q93" s="803"/>
      <c r="T93" s="803"/>
      <c r="U93" s="803"/>
      <c r="V93" s="803"/>
      <c r="W93" s="803"/>
      <c r="X93" s="803"/>
      <c r="Y93" s="803"/>
    </row>
    <row r="94" spans="2:25" ht="16.5" customHeight="1" outlineLevel="1">
      <c r="B94" s="735"/>
      <c r="T94" s="777"/>
      <c r="U94" s="777"/>
      <c r="V94" s="777"/>
      <c r="W94" s="777"/>
      <c r="X94" s="777"/>
      <c r="Y94" s="777"/>
    </row>
    <row r="95" spans="2:25" ht="16.5" hidden="1" customHeight="1" outlineLevel="1">
      <c r="B95" s="730" t="s">
        <v>550</v>
      </c>
      <c r="C95" s="742"/>
      <c r="D95" s="749"/>
      <c r="E95" s="750"/>
      <c r="F95" s="750"/>
      <c r="G95" s="750"/>
      <c r="H95" s="750"/>
      <c r="I95" s="750"/>
      <c r="J95" s="750"/>
      <c r="K95" s="750"/>
      <c r="L95" s="750"/>
      <c r="M95" s="750"/>
      <c r="N95" s="750"/>
      <c r="O95" s="750"/>
      <c r="P95" s="750"/>
      <c r="Q95" s="750"/>
      <c r="T95" s="953"/>
      <c r="U95" s="953"/>
      <c r="V95" s="953"/>
      <c r="W95" s="953"/>
      <c r="X95" s="953"/>
      <c r="Y95" s="953"/>
    </row>
    <row r="96" spans="2:25" ht="16.5" hidden="1" customHeight="1" outlineLevel="1">
      <c r="B96" s="735" t="s">
        <v>487</v>
      </c>
      <c r="E96" s="726"/>
      <c r="F96" s="726"/>
      <c r="G96" s="726"/>
      <c r="H96" s="726"/>
      <c r="I96" s="726"/>
      <c r="J96" s="726"/>
      <c r="K96" s="726"/>
      <c r="L96" s="726"/>
      <c r="M96" s="726"/>
      <c r="N96" s="726"/>
      <c r="O96" s="726"/>
      <c r="P96" s="726"/>
      <c r="Q96" s="726"/>
      <c r="T96" s="726"/>
      <c r="U96" s="726"/>
      <c r="V96" s="726"/>
      <c r="W96" s="726"/>
      <c r="X96" s="726"/>
      <c r="Y96" s="726"/>
    </row>
    <row r="97" spans="2:25" ht="16.5" hidden="1" customHeight="1" outlineLevel="1">
      <c r="B97" s="735" t="s">
        <v>528</v>
      </c>
      <c r="C97" s="724" t="s">
        <v>530</v>
      </c>
      <c r="D97" s="744" t="s">
        <v>551</v>
      </c>
      <c r="E97" s="753" t="s">
        <v>552</v>
      </c>
      <c r="F97" s="753" t="s">
        <v>552</v>
      </c>
      <c r="G97" s="753" t="s">
        <v>552</v>
      </c>
      <c r="H97" s="753" t="s">
        <v>552</v>
      </c>
      <c r="I97" s="753" t="s">
        <v>552</v>
      </c>
      <c r="J97" s="753" t="s">
        <v>552</v>
      </c>
      <c r="K97" s="753" t="s">
        <v>552</v>
      </c>
      <c r="L97" s="753" t="s">
        <v>552</v>
      </c>
      <c r="M97" s="753" t="s">
        <v>552</v>
      </c>
      <c r="N97" s="753" t="s">
        <v>552</v>
      </c>
      <c r="O97" s="753" t="s">
        <v>552</v>
      </c>
      <c r="P97" s="753" t="s">
        <v>552</v>
      </c>
      <c r="Q97" s="753" t="s">
        <v>552</v>
      </c>
      <c r="T97" s="753" t="s">
        <v>552</v>
      </c>
      <c r="U97" s="753" t="s">
        <v>552</v>
      </c>
      <c r="V97" s="753" t="s">
        <v>552</v>
      </c>
      <c r="W97" s="753" t="s">
        <v>552</v>
      </c>
      <c r="X97" s="753" t="s">
        <v>552</v>
      </c>
      <c r="Y97" s="753" t="s">
        <v>552</v>
      </c>
    </row>
    <row r="98" spans="2:25" ht="16.5" hidden="1" customHeight="1" outlineLevel="1">
      <c r="B98" s="735" t="s">
        <v>542</v>
      </c>
      <c r="C98" s="720" t="s">
        <v>533</v>
      </c>
      <c r="D98" s="721"/>
      <c r="E98" s="747" t="s">
        <v>67</v>
      </c>
      <c r="F98" s="747" t="s">
        <v>67</v>
      </c>
      <c r="G98" s="747" t="s">
        <v>67</v>
      </c>
      <c r="H98" s="747" t="s">
        <v>67</v>
      </c>
      <c r="I98" s="747" t="s">
        <v>67</v>
      </c>
      <c r="J98" s="747" t="s">
        <v>67</v>
      </c>
      <c r="K98" s="747" t="s">
        <v>67</v>
      </c>
      <c r="L98" s="747" t="s">
        <v>67</v>
      </c>
      <c r="M98" s="747" t="s">
        <v>67</v>
      </c>
      <c r="N98" s="747" t="s">
        <v>67</v>
      </c>
      <c r="O98" s="747" t="s">
        <v>67</v>
      </c>
      <c r="P98" s="747" t="s">
        <v>67</v>
      </c>
      <c r="Q98" s="747" t="s">
        <v>67</v>
      </c>
      <c r="T98" s="747" t="s">
        <v>67</v>
      </c>
      <c r="U98" s="747" t="s">
        <v>67</v>
      </c>
      <c r="V98" s="747" t="s">
        <v>67</v>
      </c>
      <c r="W98" s="747" t="s">
        <v>67</v>
      </c>
      <c r="X98" s="747" t="s">
        <v>67</v>
      </c>
      <c r="Y98" s="747" t="s">
        <v>67</v>
      </c>
    </row>
    <row r="99" spans="2:25" ht="16.5" hidden="1" customHeight="1" outlineLevel="1">
      <c r="B99" s="735" t="s">
        <v>534</v>
      </c>
      <c r="C99" s="720" t="s">
        <v>301</v>
      </c>
      <c r="D99" s="721" t="s">
        <v>546</v>
      </c>
      <c r="E99" s="722">
        <f>+EDATE(E16,-25)</f>
        <v>45200</v>
      </c>
      <c r="F99" s="722">
        <f t="shared" ref="F99:M99" si="23">+EDATE(F16,-25)</f>
        <v>45200</v>
      </c>
      <c r="G99" s="722">
        <f t="shared" si="23"/>
        <v>45200</v>
      </c>
      <c r="H99" s="722">
        <f t="shared" si="23"/>
        <v>45260</v>
      </c>
      <c r="I99" s="722">
        <f t="shared" si="23"/>
        <v>45200</v>
      </c>
      <c r="J99" s="722">
        <f t="shared" si="23"/>
        <v>45260</v>
      </c>
      <c r="K99" s="722">
        <f t="shared" si="23"/>
        <v>45200</v>
      </c>
      <c r="L99" s="722">
        <f t="shared" si="23"/>
        <v>45200</v>
      </c>
      <c r="M99" s="722" t="e">
        <f t="shared" si="23"/>
        <v>#NUM!</v>
      </c>
      <c r="N99" s="722" t="e">
        <f>+EDATE(N16,-25)</f>
        <v>#NUM!</v>
      </c>
      <c r="O99" s="722" t="e">
        <f>+EDATE(O16,-25)</f>
        <v>#NUM!</v>
      </c>
      <c r="P99" s="722" t="e">
        <f>+EDATE(P16,-25)</f>
        <v>#NUM!</v>
      </c>
      <c r="Q99" s="722" t="e">
        <f>+EDATE(Q16,-25)</f>
        <v>#NUM!</v>
      </c>
      <c r="T99" s="722">
        <f t="shared" ref="T99:Y99" si="24">+EDATE(T16,-25)</f>
        <v>45200</v>
      </c>
      <c r="U99" s="722">
        <f t="shared" si="24"/>
        <v>45200</v>
      </c>
      <c r="V99" s="722">
        <f t="shared" si="24"/>
        <v>45200</v>
      </c>
      <c r="W99" s="722">
        <f t="shared" si="24"/>
        <v>45200</v>
      </c>
      <c r="X99" s="722">
        <f t="shared" si="24"/>
        <v>45200</v>
      </c>
      <c r="Y99" s="722">
        <f t="shared" si="24"/>
        <v>45260</v>
      </c>
    </row>
    <row r="100" spans="2:25" ht="16.5" hidden="1" customHeight="1" outlineLevel="1">
      <c r="B100" s="735" t="s">
        <v>553</v>
      </c>
      <c r="C100" s="720" t="s">
        <v>309</v>
      </c>
      <c r="D100" s="721" t="s">
        <v>537</v>
      </c>
      <c r="E100" s="722" t="str">
        <f>+'[6]입력 시트(0124)'!E99</f>
        <v>N/A</v>
      </c>
      <c r="F100" s="722" t="str">
        <f>+'[6]입력 시트(0124)'!F99</f>
        <v>N/A</v>
      </c>
      <c r="G100" s="722" t="str">
        <f>+'[6]입력 시트(0124)'!G99</f>
        <v>N/A</v>
      </c>
      <c r="H100" s="722" t="str">
        <f>+'[6]입력 시트(0124)'!H99</f>
        <v>N/A</v>
      </c>
      <c r="I100" s="722" t="str">
        <f>+'[6]입력 시트(0124)'!I99</f>
        <v>N/A</v>
      </c>
      <c r="J100" s="722" t="s">
        <v>554</v>
      </c>
      <c r="K100" s="722" t="s">
        <v>554</v>
      </c>
      <c r="L100" s="722" t="s">
        <v>554</v>
      </c>
      <c r="M100" s="722" t="s">
        <v>554</v>
      </c>
      <c r="N100" s="722" t="e">
        <f>+'[6]입력 시트(0124)'!N99</f>
        <v>#REF!</v>
      </c>
      <c r="O100" s="722" t="e">
        <f>+'[6]입력 시트(0124)'!O99</f>
        <v>#REF!</v>
      </c>
      <c r="P100" s="722" t="e">
        <f>+'[6]입력 시트(0124)'!P99</f>
        <v>#REF!</v>
      </c>
      <c r="Q100" s="722" t="e">
        <f>+'[6]입력 시트(0124)'!Q99</f>
        <v>#REF!</v>
      </c>
      <c r="T100" s="722" t="e">
        <f>+'[6]입력 시트(0124)'!T99</f>
        <v>#REF!</v>
      </c>
      <c r="U100" s="722" t="e">
        <f>+'[6]입력 시트(0124)'!U99</f>
        <v>#REF!</v>
      </c>
      <c r="V100" s="722" t="e">
        <f>+'[6]입력 시트(0124)'!V99</f>
        <v>#REF!</v>
      </c>
      <c r="W100" s="722" t="e">
        <f>+'[6]입력 시트(0124)'!W99</f>
        <v>#REF!</v>
      </c>
      <c r="X100" s="722" t="e">
        <f>+'[6]입력 시트(0124)'!X99</f>
        <v>#REF!</v>
      </c>
      <c r="Y100" s="722" t="s">
        <v>554</v>
      </c>
    </row>
    <row r="101" spans="2:25" ht="16.5" hidden="1" customHeight="1" outlineLevel="1">
      <c r="B101" s="735" t="s">
        <v>539</v>
      </c>
      <c r="C101" s="720" t="s">
        <v>301</v>
      </c>
      <c r="D101" s="721"/>
      <c r="E101" s="722">
        <f>+'[6]입력 시트(0124)'!E100</f>
        <v>45901</v>
      </c>
      <c r="F101" s="722">
        <f>+'[6]입력 시트(0124)'!F100</f>
        <v>45901</v>
      </c>
      <c r="G101" s="722">
        <f>+'[6]입력 시트(0124)'!G100</f>
        <v>45901</v>
      </c>
      <c r="H101" s="722">
        <f>+'[6]입력 시트(0124)'!H100</f>
        <v>45901</v>
      </c>
      <c r="I101" s="722">
        <f>+'[6]입력 시트(0124)'!I100</f>
        <v>45931</v>
      </c>
      <c r="J101" s="722" t="e">
        <f>+'[6]입력 시트(0124)'!J100</f>
        <v>#REF!</v>
      </c>
      <c r="K101" s="722" t="e">
        <f>+'[6]입력 시트(0124)'!K100</f>
        <v>#REF!</v>
      </c>
      <c r="L101" s="722" t="e">
        <f>+'[6]입력 시트(0124)'!L100</f>
        <v>#REF!</v>
      </c>
      <c r="M101" s="722" t="e">
        <f>+'[6]입력 시트(0124)'!M100</f>
        <v>#REF!</v>
      </c>
      <c r="N101" s="722" t="e">
        <f>+'[6]입력 시트(0124)'!N100</f>
        <v>#REF!</v>
      </c>
      <c r="O101" s="722" t="e">
        <f>+'[6]입력 시트(0124)'!O100</f>
        <v>#REF!</v>
      </c>
      <c r="P101" s="722" t="e">
        <f>+'[6]입력 시트(0124)'!P100</f>
        <v>#REF!</v>
      </c>
      <c r="Q101" s="722" t="e">
        <f>+'[6]입력 시트(0124)'!Q100</f>
        <v>#REF!</v>
      </c>
      <c r="T101" s="722" t="e">
        <f>+'[6]입력 시트(0124)'!T100</f>
        <v>#REF!</v>
      </c>
      <c r="U101" s="722" t="e">
        <f>+'[6]입력 시트(0124)'!U100</f>
        <v>#REF!</v>
      </c>
      <c r="V101" s="722" t="e">
        <f>+'[6]입력 시트(0124)'!V100</f>
        <v>#REF!</v>
      </c>
      <c r="W101" s="722" t="e">
        <f>+'[6]입력 시트(0124)'!W100</f>
        <v>#REF!</v>
      </c>
      <c r="X101" s="722" t="e">
        <f>+'[6]입력 시트(0124)'!X100</f>
        <v>#REF!</v>
      </c>
      <c r="Y101" s="722" t="e">
        <f>+'[6]입력 시트(0124)'!Y100</f>
        <v>#REF!</v>
      </c>
    </row>
    <row r="102" spans="2:25" ht="16.5" hidden="1" customHeight="1" outlineLevel="1">
      <c r="B102" s="735" t="s">
        <v>540</v>
      </c>
      <c r="C102" s="1355" t="s">
        <v>547</v>
      </c>
      <c r="D102" s="1356"/>
      <c r="E102" s="728"/>
      <c r="F102" s="728"/>
      <c r="G102" s="728"/>
      <c r="H102" s="728"/>
      <c r="I102" s="728"/>
      <c r="J102" s="728"/>
      <c r="K102" s="728"/>
      <c r="L102" s="728"/>
      <c r="M102" s="728"/>
      <c r="N102" s="728"/>
      <c r="O102" s="728"/>
      <c r="P102" s="728"/>
      <c r="Q102" s="728"/>
      <c r="T102" s="728"/>
      <c r="U102" s="728"/>
      <c r="V102" s="728"/>
      <c r="W102" s="728"/>
      <c r="X102" s="728"/>
      <c r="Y102" s="728"/>
    </row>
    <row r="103" spans="2:25" ht="16.5" hidden="1" customHeight="1" outlineLevel="1">
      <c r="B103" s="735"/>
      <c r="T103" s="777"/>
      <c r="U103" s="777"/>
      <c r="V103" s="777"/>
      <c r="W103" s="777"/>
      <c r="X103" s="777"/>
      <c r="Y103" s="777"/>
    </row>
    <row r="104" spans="2:25" ht="16.5" customHeight="1" outlineLevel="1">
      <c r="B104" s="730" t="s">
        <v>555</v>
      </c>
      <c r="C104" s="742"/>
      <c r="D104" s="749"/>
      <c r="E104" s="750"/>
      <c r="F104" s="750"/>
      <c r="G104" s="750"/>
      <c r="H104" s="750"/>
      <c r="I104" s="750"/>
      <c r="J104" s="750"/>
      <c r="K104" s="750"/>
      <c r="L104" s="750"/>
      <c r="M104" s="750"/>
      <c r="N104" s="750"/>
      <c r="O104" s="750"/>
      <c r="P104" s="750"/>
      <c r="Q104" s="750"/>
      <c r="T104" s="953"/>
      <c r="U104" s="953"/>
      <c r="V104" s="953"/>
      <c r="W104" s="953"/>
      <c r="X104" s="953"/>
      <c r="Y104" s="953"/>
    </row>
    <row r="105" spans="2:25" ht="16.5" customHeight="1" outlineLevel="1">
      <c r="B105" s="735" t="s">
        <v>487</v>
      </c>
      <c r="E105" s="801"/>
      <c r="F105" s="801"/>
      <c r="G105" s="801"/>
      <c r="H105" s="801"/>
      <c r="I105" s="801"/>
      <c r="J105" s="801"/>
      <c r="K105" s="801"/>
      <c r="L105" s="801"/>
      <c r="M105" s="801"/>
      <c r="N105" s="801"/>
      <c r="O105" s="801"/>
      <c r="P105" s="801"/>
      <c r="Q105" s="801"/>
      <c r="T105" s="801"/>
      <c r="U105" s="801"/>
      <c r="V105" s="801"/>
      <c r="W105" s="801"/>
      <c r="X105" s="801"/>
      <c r="Y105" s="801"/>
    </row>
    <row r="106" spans="2:25" ht="16.5" customHeight="1" outlineLevel="1">
      <c r="B106" s="735" t="s">
        <v>528</v>
      </c>
      <c r="C106" s="724" t="s">
        <v>530</v>
      </c>
      <c r="D106" s="813" t="s">
        <v>531</v>
      </c>
      <c r="E106" s="819">
        <f>+'Input 기초'!F49</f>
        <v>998220.00000000012</v>
      </c>
      <c r="F106" s="819">
        <f>+'Input 기초'!G49</f>
        <v>2994660</v>
      </c>
      <c r="G106" s="819">
        <f>+'Input 기초'!H49</f>
        <v>857250</v>
      </c>
      <c r="H106" s="819">
        <f>+'Input 기초'!I49</f>
        <v>4255770</v>
      </c>
      <c r="I106" s="819">
        <f>+'Input 기초'!J49</f>
        <v>3135630</v>
      </c>
      <c r="J106" s="819">
        <f>+'Input 기초'!K49</f>
        <v>890880</v>
      </c>
      <c r="K106" s="819">
        <f>+'Input 기초'!L49</f>
        <v>5387340</v>
      </c>
      <c r="L106" s="819">
        <f>+'Input 기초'!M49</f>
        <v>6934200</v>
      </c>
      <c r="M106" s="814">
        <f>+'Input 기초'!N49</f>
        <v>0</v>
      </c>
      <c r="N106" s="814">
        <f>+'Input 기초'!O49</f>
        <v>0</v>
      </c>
      <c r="O106" s="814">
        <f>+'Input 기초'!P49</f>
        <v>0</v>
      </c>
      <c r="P106" s="814">
        <f>+'Input 기초'!Q49</f>
        <v>0</v>
      </c>
      <c r="Q106" s="814">
        <f>+'Input 기초'!R49</f>
        <v>0</v>
      </c>
      <c r="T106" s="816">
        <f>+'Input 기초'!U74</f>
        <v>0</v>
      </c>
      <c r="U106" s="816">
        <f>+'Input 기초'!V74</f>
        <v>0</v>
      </c>
      <c r="V106" s="816">
        <f>+'Input 기초'!W74</f>
        <v>0</v>
      </c>
      <c r="W106" s="816">
        <f>+'Input 기초'!X74</f>
        <v>0</v>
      </c>
      <c r="X106" s="816">
        <f>+'Input 기초'!Y74</f>
        <v>0</v>
      </c>
      <c r="Y106" s="816">
        <f>+'Input 기초'!Z74</f>
        <v>0</v>
      </c>
    </row>
    <row r="107" spans="2:25" ht="16.5" customHeight="1" outlineLevel="1">
      <c r="B107" s="735" t="s">
        <v>542</v>
      </c>
      <c r="C107" s="720" t="s">
        <v>533</v>
      </c>
      <c r="D107" s="721"/>
      <c r="E107" s="815" t="s">
        <v>67</v>
      </c>
      <c r="F107" s="815" t="s">
        <v>67</v>
      </c>
      <c r="G107" s="815" t="s">
        <v>67</v>
      </c>
      <c r="H107" s="815" t="s">
        <v>67</v>
      </c>
      <c r="I107" s="815" t="s">
        <v>67</v>
      </c>
      <c r="J107" s="815" t="s">
        <v>67</v>
      </c>
      <c r="K107" s="815" t="s">
        <v>67</v>
      </c>
      <c r="L107" s="815" t="s">
        <v>67</v>
      </c>
      <c r="M107" s="815" t="s">
        <v>67</v>
      </c>
      <c r="N107" s="815" t="s">
        <v>67</v>
      </c>
      <c r="O107" s="815" t="s">
        <v>67</v>
      </c>
      <c r="P107" s="815" t="s">
        <v>67</v>
      </c>
      <c r="Q107" s="815" t="s">
        <v>67</v>
      </c>
      <c r="T107" s="815" t="s">
        <v>67</v>
      </c>
      <c r="U107" s="815" t="s">
        <v>67</v>
      </c>
      <c r="V107" s="815" t="s">
        <v>67</v>
      </c>
      <c r="W107" s="815" t="s">
        <v>67</v>
      </c>
      <c r="X107" s="815" t="s">
        <v>67</v>
      </c>
      <c r="Y107" s="815" t="s">
        <v>67</v>
      </c>
    </row>
    <row r="108" spans="2:25" ht="16.5" customHeight="1" outlineLevel="1">
      <c r="B108" s="735" t="s">
        <v>534</v>
      </c>
      <c r="C108" s="720" t="s">
        <v>301</v>
      </c>
      <c r="D108" s="721" t="s">
        <v>535</v>
      </c>
      <c r="E108" s="799">
        <f t="shared" ref="E108:L108" si="25">+E18</f>
        <v>46053</v>
      </c>
      <c r="F108" s="799">
        <f t="shared" si="25"/>
        <v>46053</v>
      </c>
      <c r="G108" s="799">
        <f t="shared" si="25"/>
        <v>46053</v>
      </c>
      <c r="H108" s="799">
        <f t="shared" si="25"/>
        <v>46053</v>
      </c>
      <c r="I108" s="799">
        <f t="shared" si="25"/>
        <v>46053</v>
      </c>
      <c r="J108" s="799">
        <f t="shared" si="25"/>
        <v>46053</v>
      </c>
      <c r="K108" s="799">
        <f t="shared" si="25"/>
        <v>46053</v>
      </c>
      <c r="L108" s="799">
        <f t="shared" si="25"/>
        <v>46053</v>
      </c>
      <c r="M108" s="799">
        <v>46112</v>
      </c>
      <c r="N108" s="799">
        <v>46112</v>
      </c>
      <c r="O108" s="799">
        <v>46112</v>
      </c>
      <c r="P108" s="799">
        <v>46112</v>
      </c>
      <c r="Q108" s="799">
        <v>46112</v>
      </c>
      <c r="T108" s="799">
        <v>46112</v>
      </c>
      <c r="U108" s="799">
        <v>46112</v>
      </c>
      <c r="V108" s="799">
        <v>46112</v>
      </c>
      <c r="W108" s="799">
        <v>46112</v>
      </c>
      <c r="X108" s="799">
        <v>46112</v>
      </c>
      <c r="Y108" s="799">
        <v>46112</v>
      </c>
    </row>
    <row r="109" spans="2:25" ht="16.5" customHeight="1" outlineLevel="1">
      <c r="B109" s="735" t="s">
        <v>536</v>
      </c>
      <c r="C109" s="720" t="s">
        <v>309</v>
      </c>
      <c r="D109" s="721" t="s">
        <v>537</v>
      </c>
      <c r="E109" s="799" t="str">
        <f>+'[6]입력 시트(0124)'!E108</f>
        <v>N/A</v>
      </c>
      <c r="F109" s="799" t="str">
        <f>+'[6]입력 시트(0124)'!F108</f>
        <v>N/A</v>
      </c>
      <c r="G109" s="799" t="str">
        <f>+'[6]입력 시트(0124)'!G108</f>
        <v>N/A</v>
      </c>
      <c r="H109" s="799" t="str">
        <f>+'[6]입력 시트(0124)'!H108</f>
        <v>N/A</v>
      </c>
      <c r="I109" s="799" t="str">
        <f>+'[6]입력 시트(0124)'!I108</f>
        <v>N/A</v>
      </c>
      <c r="J109" s="799" t="s">
        <v>554</v>
      </c>
      <c r="K109" s="799" t="s">
        <v>554</v>
      </c>
      <c r="L109" s="799" t="s">
        <v>554</v>
      </c>
      <c r="M109" s="799" t="s">
        <v>554</v>
      </c>
      <c r="N109" s="799" t="s">
        <v>554</v>
      </c>
      <c r="O109" s="799" t="s">
        <v>554</v>
      </c>
      <c r="P109" s="799" t="s">
        <v>554</v>
      </c>
      <c r="Q109" s="799" t="s">
        <v>554</v>
      </c>
      <c r="T109" s="799" t="e">
        <f>+'[6]입력 시트(0124)'!T108</f>
        <v>#REF!</v>
      </c>
      <c r="U109" s="799" t="e">
        <f>+'[6]입력 시트(0124)'!U108</f>
        <v>#REF!</v>
      </c>
      <c r="V109" s="799" t="e">
        <f>+'[6]입력 시트(0124)'!V108</f>
        <v>#REF!</v>
      </c>
      <c r="W109" s="799" t="e">
        <f>+'[6]입력 시트(0124)'!W108</f>
        <v>#REF!</v>
      </c>
      <c r="X109" s="799" t="e">
        <f>+'[6]입력 시트(0124)'!X108</f>
        <v>#REF!</v>
      </c>
      <c r="Y109" s="799" t="s">
        <v>554</v>
      </c>
    </row>
    <row r="110" spans="2:25" ht="16.5" customHeight="1" outlineLevel="1">
      <c r="B110" s="735" t="s">
        <v>539</v>
      </c>
      <c r="C110" s="720" t="s">
        <v>301</v>
      </c>
      <c r="D110" s="721"/>
      <c r="E110" s="799">
        <f t="shared" ref="E110:L110" si="26">+E19</f>
        <v>46203</v>
      </c>
      <c r="F110" s="799">
        <f t="shared" si="26"/>
        <v>46203</v>
      </c>
      <c r="G110" s="799">
        <f t="shared" si="26"/>
        <v>46203</v>
      </c>
      <c r="H110" s="799">
        <f t="shared" si="26"/>
        <v>46203</v>
      </c>
      <c r="I110" s="799">
        <f t="shared" si="26"/>
        <v>46203</v>
      </c>
      <c r="J110" s="799">
        <f t="shared" si="26"/>
        <v>46203</v>
      </c>
      <c r="K110" s="799">
        <f t="shared" si="26"/>
        <v>46203</v>
      </c>
      <c r="L110" s="799">
        <f t="shared" si="26"/>
        <v>46203</v>
      </c>
      <c r="M110" s="799">
        <f t="shared" ref="M110:Q110" si="27">M19</f>
        <v>0</v>
      </c>
      <c r="N110" s="799">
        <f t="shared" si="27"/>
        <v>0</v>
      </c>
      <c r="O110" s="799">
        <f t="shared" si="27"/>
        <v>0</v>
      </c>
      <c r="P110" s="799">
        <f t="shared" si="27"/>
        <v>0</v>
      </c>
      <c r="Q110" s="799">
        <f t="shared" si="27"/>
        <v>0</v>
      </c>
      <c r="T110" s="799">
        <f t="shared" ref="T110:Y110" si="28">T19</f>
        <v>46203</v>
      </c>
      <c r="U110" s="799">
        <f t="shared" si="28"/>
        <v>46173</v>
      </c>
      <c r="V110" s="799">
        <f t="shared" si="28"/>
        <v>46173</v>
      </c>
      <c r="W110" s="799">
        <f t="shared" si="28"/>
        <v>46173</v>
      </c>
      <c r="X110" s="799">
        <f t="shared" si="28"/>
        <v>46173</v>
      </c>
      <c r="Y110" s="799">
        <f t="shared" si="28"/>
        <v>46203</v>
      </c>
    </row>
    <row r="111" spans="2:25" ht="16.5" customHeight="1" outlineLevel="1">
      <c r="B111" s="735" t="s">
        <v>540</v>
      </c>
      <c r="C111" s="1375" t="s">
        <v>556</v>
      </c>
      <c r="D111" s="1375"/>
      <c r="E111" s="803"/>
      <c r="F111" s="803"/>
      <c r="G111" s="803"/>
      <c r="H111" s="803"/>
      <c r="I111" s="803"/>
      <c r="J111" s="803"/>
      <c r="K111" s="803"/>
      <c r="L111" s="803"/>
      <c r="M111" s="803"/>
      <c r="N111" s="803"/>
      <c r="O111" s="803"/>
      <c r="P111" s="803"/>
      <c r="Q111" s="803"/>
      <c r="T111" s="803"/>
      <c r="U111" s="803"/>
      <c r="V111" s="803"/>
      <c r="W111" s="803"/>
      <c r="X111" s="803"/>
      <c r="Y111" s="803"/>
    </row>
    <row r="112" spans="2:25" ht="16.5" customHeight="1" outlineLevel="1">
      <c r="B112" s="735"/>
      <c r="E112" s="723"/>
      <c r="F112" s="723"/>
      <c r="G112" s="723"/>
      <c r="H112" s="723"/>
      <c r="I112" s="723"/>
      <c r="J112" s="723"/>
      <c r="K112" s="723"/>
      <c r="L112" s="723"/>
      <c r="M112" s="723"/>
      <c r="N112" s="723"/>
      <c r="O112" s="723"/>
      <c r="P112" s="723"/>
      <c r="Q112" s="723"/>
      <c r="T112" s="954"/>
      <c r="U112" s="954"/>
      <c r="V112" s="954"/>
      <c r="W112" s="954"/>
      <c r="X112" s="954"/>
      <c r="Y112" s="954"/>
    </row>
    <row r="113" spans="2:25" ht="16.5" customHeight="1" outlineLevel="1">
      <c r="B113" s="730" t="s">
        <v>557</v>
      </c>
      <c r="C113" s="742"/>
      <c r="D113" s="749"/>
      <c r="E113" s="750"/>
      <c r="F113" s="750"/>
      <c r="G113" s="750"/>
      <c r="H113" s="750"/>
      <c r="I113" s="750"/>
      <c r="J113" s="750"/>
      <c r="K113" s="750"/>
      <c r="L113" s="750"/>
      <c r="M113" s="750"/>
      <c r="N113" s="750"/>
      <c r="O113" s="750"/>
      <c r="P113" s="750"/>
      <c r="Q113" s="750"/>
      <c r="T113" s="953"/>
      <c r="U113" s="953"/>
      <c r="V113" s="953"/>
      <c r="W113" s="953"/>
      <c r="X113" s="953"/>
      <c r="Y113" s="953"/>
    </row>
    <row r="114" spans="2:25" ht="16.5" customHeight="1" outlineLevel="1">
      <c r="B114" s="735" t="s">
        <v>487</v>
      </c>
      <c r="E114" s="801"/>
      <c r="F114" s="801"/>
      <c r="G114" s="801"/>
      <c r="H114" s="801"/>
      <c r="I114" s="801"/>
      <c r="J114" s="801"/>
      <c r="K114" s="801"/>
      <c r="L114" s="801"/>
      <c r="M114" s="801"/>
      <c r="N114" s="801"/>
      <c r="O114" s="801"/>
      <c r="P114" s="801"/>
      <c r="Q114" s="801"/>
      <c r="T114" s="801"/>
      <c r="U114" s="801"/>
      <c r="V114" s="801"/>
      <c r="W114" s="801"/>
      <c r="X114" s="801"/>
      <c r="Y114" s="801"/>
    </row>
    <row r="115" spans="2:25" ht="16.5" customHeight="1" outlineLevel="1">
      <c r="B115" s="735" t="s">
        <v>528</v>
      </c>
      <c r="C115" s="724" t="s">
        <v>530</v>
      </c>
      <c r="D115" s="813" t="s">
        <v>551</v>
      </c>
      <c r="E115" s="817"/>
      <c r="F115" s="817"/>
      <c r="G115" s="817"/>
      <c r="H115" s="817"/>
      <c r="I115" s="817"/>
      <c r="J115" s="817"/>
      <c r="K115" s="817"/>
      <c r="L115" s="817"/>
      <c r="M115" s="817"/>
      <c r="N115" s="817"/>
      <c r="O115" s="817"/>
      <c r="P115" s="817"/>
      <c r="Q115" s="817"/>
      <c r="T115" s="817"/>
      <c r="U115" s="817"/>
      <c r="V115" s="817"/>
      <c r="W115" s="817"/>
      <c r="X115" s="817"/>
      <c r="Y115" s="817"/>
    </row>
    <row r="116" spans="2:25" ht="16.5" customHeight="1" outlineLevel="1">
      <c r="B116" s="735" t="s">
        <v>542</v>
      </c>
      <c r="C116" s="720" t="s">
        <v>533</v>
      </c>
      <c r="D116" s="721"/>
      <c r="E116" s="815" t="s">
        <v>67</v>
      </c>
      <c r="F116" s="815" t="s">
        <v>67</v>
      </c>
      <c r="G116" s="815" t="s">
        <v>67</v>
      </c>
      <c r="H116" s="815" t="s">
        <v>67</v>
      </c>
      <c r="I116" s="815" t="s">
        <v>67</v>
      </c>
      <c r="J116" s="815" t="s">
        <v>67</v>
      </c>
      <c r="K116" s="815" t="s">
        <v>67</v>
      </c>
      <c r="L116" s="815" t="s">
        <v>67</v>
      </c>
      <c r="M116" s="815" t="s">
        <v>67</v>
      </c>
      <c r="N116" s="815" t="s">
        <v>67</v>
      </c>
      <c r="O116" s="815" t="s">
        <v>67</v>
      </c>
      <c r="P116" s="815" t="s">
        <v>67</v>
      </c>
      <c r="Q116" s="815" t="s">
        <v>67</v>
      </c>
      <c r="T116" s="815" t="s">
        <v>67</v>
      </c>
      <c r="U116" s="815" t="s">
        <v>67</v>
      </c>
      <c r="V116" s="815" t="s">
        <v>67</v>
      </c>
      <c r="W116" s="815" t="s">
        <v>67</v>
      </c>
      <c r="X116" s="815" t="s">
        <v>67</v>
      </c>
      <c r="Y116" s="815" t="s">
        <v>67</v>
      </c>
    </row>
    <row r="117" spans="2:25" ht="16.5" customHeight="1" outlineLevel="1">
      <c r="B117" s="735" t="s">
        <v>534</v>
      </c>
      <c r="C117" s="720" t="s">
        <v>301</v>
      </c>
      <c r="D117" s="721" t="s">
        <v>535</v>
      </c>
      <c r="E117" s="799">
        <f t="shared" ref="E117:L117" si="29">+E18</f>
        <v>46053</v>
      </c>
      <c r="F117" s="799">
        <f t="shared" si="29"/>
        <v>46053</v>
      </c>
      <c r="G117" s="799">
        <f t="shared" si="29"/>
        <v>46053</v>
      </c>
      <c r="H117" s="799">
        <f t="shared" si="29"/>
        <v>46053</v>
      </c>
      <c r="I117" s="799">
        <f t="shared" si="29"/>
        <v>46053</v>
      </c>
      <c r="J117" s="799">
        <f t="shared" si="29"/>
        <v>46053</v>
      </c>
      <c r="K117" s="799">
        <f t="shared" si="29"/>
        <v>46053</v>
      </c>
      <c r="L117" s="799">
        <f t="shared" si="29"/>
        <v>46053</v>
      </c>
      <c r="M117" s="799">
        <v>45931</v>
      </c>
      <c r="N117" s="799" t="e">
        <f>+'[6]입력 시트(0124)'!N116</f>
        <v>#REF!</v>
      </c>
      <c r="O117" s="799" t="e">
        <f>+'[6]입력 시트(0124)'!O116</f>
        <v>#REF!</v>
      </c>
      <c r="P117" s="799" t="e">
        <f>+'[6]입력 시트(0124)'!P116</f>
        <v>#REF!</v>
      </c>
      <c r="Q117" s="799" t="e">
        <f>+'[6]입력 시트(0124)'!Q116</f>
        <v>#REF!</v>
      </c>
      <c r="T117" s="799" t="e">
        <f>+'[6]입력 시트(0124)'!T116</f>
        <v>#REF!</v>
      </c>
      <c r="U117" s="799" t="e">
        <f>+'[6]입력 시트(0124)'!U116</f>
        <v>#REF!</v>
      </c>
      <c r="V117" s="799" t="e">
        <f>+'[6]입력 시트(0124)'!V116</f>
        <v>#REF!</v>
      </c>
      <c r="W117" s="799" t="e">
        <f>+'[6]입력 시트(0124)'!W116</f>
        <v>#REF!</v>
      </c>
      <c r="X117" s="799" t="e">
        <f>+'[6]입력 시트(0124)'!X116</f>
        <v>#REF!</v>
      </c>
      <c r="Y117" s="799">
        <v>45931</v>
      </c>
    </row>
    <row r="118" spans="2:25" ht="16.5" customHeight="1" outlineLevel="1">
      <c r="B118" s="735" t="s">
        <v>536</v>
      </c>
      <c r="C118" s="720" t="s">
        <v>309</v>
      </c>
      <c r="D118" s="721" t="s">
        <v>537</v>
      </c>
      <c r="E118" s="799" t="str">
        <f>+'[6]입력 시트(0124)'!E117</f>
        <v>N/A</v>
      </c>
      <c r="F118" s="799" t="str">
        <f>+'[6]입력 시트(0124)'!F117</f>
        <v>N/A</v>
      </c>
      <c r="G118" s="799" t="str">
        <f>+'[6]입력 시트(0124)'!G117</f>
        <v>N/A</v>
      </c>
      <c r="H118" s="799" t="str">
        <f>+'[6]입력 시트(0124)'!H117</f>
        <v>N/A</v>
      </c>
      <c r="I118" s="799" t="str">
        <f>+'[6]입력 시트(0124)'!I117</f>
        <v>N/A</v>
      </c>
      <c r="J118" s="799" t="s">
        <v>554</v>
      </c>
      <c r="K118" s="799" t="s">
        <v>554</v>
      </c>
      <c r="L118" s="799" t="s">
        <v>554</v>
      </c>
      <c r="M118" s="799" t="s">
        <v>554</v>
      </c>
      <c r="N118" s="799" t="s">
        <v>554</v>
      </c>
      <c r="O118" s="799" t="s">
        <v>554</v>
      </c>
      <c r="P118" s="799" t="s">
        <v>554</v>
      </c>
      <c r="Q118" s="799" t="s">
        <v>554</v>
      </c>
      <c r="T118" s="799" t="e">
        <f>+'[6]입력 시트(0124)'!T117</f>
        <v>#REF!</v>
      </c>
      <c r="U118" s="799" t="e">
        <f>+'[6]입력 시트(0124)'!U117</f>
        <v>#REF!</v>
      </c>
      <c r="V118" s="799" t="e">
        <f>+'[6]입력 시트(0124)'!V117</f>
        <v>#REF!</v>
      </c>
      <c r="W118" s="799" t="e">
        <f>+'[6]입력 시트(0124)'!W117</f>
        <v>#REF!</v>
      </c>
      <c r="X118" s="799" t="e">
        <f>+'[6]입력 시트(0124)'!X117</f>
        <v>#REF!</v>
      </c>
      <c r="Y118" s="799" t="s">
        <v>554</v>
      </c>
    </row>
    <row r="119" spans="2:25" ht="16.5" customHeight="1" outlineLevel="1">
      <c r="B119" s="735" t="s">
        <v>539</v>
      </c>
      <c r="C119" s="720" t="s">
        <v>301</v>
      </c>
      <c r="D119" s="721"/>
      <c r="E119" s="799">
        <f t="shared" ref="E119:L119" si="30">+E19</f>
        <v>46203</v>
      </c>
      <c r="F119" s="799">
        <f t="shared" si="30"/>
        <v>46203</v>
      </c>
      <c r="G119" s="799">
        <f t="shared" si="30"/>
        <v>46203</v>
      </c>
      <c r="H119" s="799">
        <f t="shared" si="30"/>
        <v>46203</v>
      </c>
      <c r="I119" s="799">
        <f t="shared" si="30"/>
        <v>46203</v>
      </c>
      <c r="J119" s="799">
        <f t="shared" si="30"/>
        <v>46203</v>
      </c>
      <c r="K119" s="799">
        <f t="shared" si="30"/>
        <v>46203</v>
      </c>
      <c r="L119" s="799">
        <f t="shared" si="30"/>
        <v>46203</v>
      </c>
      <c r="M119" s="799">
        <v>45931</v>
      </c>
      <c r="N119" s="799" t="e">
        <f>+'[6]입력 시트(0124)'!N118</f>
        <v>#REF!</v>
      </c>
      <c r="O119" s="799" t="e">
        <f>+'[6]입력 시트(0124)'!O118</f>
        <v>#REF!</v>
      </c>
      <c r="P119" s="799" t="e">
        <f>+'[6]입력 시트(0124)'!P118</f>
        <v>#REF!</v>
      </c>
      <c r="Q119" s="799" t="e">
        <f>+'[6]입력 시트(0124)'!Q118</f>
        <v>#REF!</v>
      </c>
      <c r="T119" s="799" t="e">
        <f>+'[6]입력 시트(0124)'!T118</f>
        <v>#REF!</v>
      </c>
      <c r="U119" s="799" t="e">
        <f>+'[6]입력 시트(0124)'!U118</f>
        <v>#REF!</v>
      </c>
      <c r="V119" s="799" t="e">
        <f>+'[6]입력 시트(0124)'!V118</f>
        <v>#REF!</v>
      </c>
      <c r="W119" s="799" t="e">
        <f>+'[6]입력 시트(0124)'!W118</f>
        <v>#REF!</v>
      </c>
      <c r="X119" s="799" t="e">
        <f>+'[6]입력 시트(0124)'!X118</f>
        <v>#REF!</v>
      </c>
      <c r="Y119" s="799">
        <v>45931</v>
      </c>
    </row>
    <row r="120" spans="2:25" ht="16.5" customHeight="1" outlineLevel="1">
      <c r="B120" s="735" t="s">
        <v>540</v>
      </c>
      <c r="C120" s="1375" t="s">
        <v>558</v>
      </c>
      <c r="D120" s="1375"/>
      <c r="E120" s="803"/>
      <c r="F120" s="803"/>
      <c r="G120" s="803"/>
      <c r="H120" s="803"/>
      <c r="I120" s="803"/>
      <c r="J120" s="803"/>
      <c r="K120" s="803"/>
      <c r="L120" s="803"/>
      <c r="M120" s="803"/>
      <c r="N120" s="803"/>
      <c r="O120" s="803"/>
      <c r="P120" s="803"/>
      <c r="Q120" s="803"/>
      <c r="T120" s="803"/>
      <c r="U120" s="803"/>
      <c r="V120" s="803"/>
      <c r="W120" s="803"/>
      <c r="X120" s="803"/>
      <c r="Y120" s="803"/>
    </row>
    <row r="121" spans="2:25" ht="16.5" customHeight="1" outlineLevel="1">
      <c r="B121" s="735"/>
      <c r="E121" s="754"/>
      <c r="F121" s="754"/>
      <c r="G121" s="754"/>
      <c r="H121" s="754"/>
      <c r="I121" s="754"/>
      <c r="J121" s="754"/>
      <c r="K121" s="754"/>
      <c r="L121" s="754"/>
      <c r="M121" s="754"/>
      <c r="N121" s="754"/>
      <c r="O121" s="754"/>
      <c r="P121" s="754"/>
      <c r="Q121" s="754"/>
      <c r="T121" s="955"/>
      <c r="U121" s="955"/>
      <c r="V121" s="955"/>
      <c r="W121" s="955"/>
      <c r="X121" s="955"/>
      <c r="Y121" s="955"/>
    </row>
    <row r="122" spans="2:25" ht="16.5" customHeight="1" outlineLevel="1">
      <c r="B122" s="730" t="s">
        <v>559</v>
      </c>
      <c r="C122" s="742"/>
      <c r="D122" s="749"/>
      <c r="E122" s="755">
        <f>+E125/E24</f>
        <v>40000000</v>
      </c>
      <c r="F122" s="755"/>
      <c r="G122" s="755"/>
      <c r="H122" s="755"/>
      <c r="I122" s="755"/>
      <c r="J122" s="755">
        <f>+J125/J24</f>
        <v>40000000</v>
      </c>
      <c r="K122" s="755">
        <f>+K125/K24</f>
        <v>40000000</v>
      </c>
      <c r="L122" s="755">
        <f t="shared" ref="L122:M122" si="31">+L125/L24</f>
        <v>40000000</v>
      </c>
      <c r="M122" s="755" t="e">
        <f t="shared" si="31"/>
        <v>#DIV/0!</v>
      </c>
      <c r="N122" s="755" t="e">
        <f>+N125/N24</f>
        <v>#DIV/0!</v>
      </c>
      <c r="O122" s="755" t="e">
        <f>+O125/O24</f>
        <v>#DIV/0!</v>
      </c>
      <c r="P122" s="755" t="e">
        <f>+P125/P24</f>
        <v>#DIV/0!</v>
      </c>
      <c r="Q122" s="755" t="e">
        <f>+Q125/Q24</f>
        <v>#DIV/0!</v>
      </c>
      <c r="T122" s="956">
        <f>+T125/T24</f>
        <v>0</v>
      </c>
      <c r="U122" s="956"/>
      <c r="V122" s="956"/>
      <c r="W122" s="956"/>
      <c r="X122" s="956"/>
      <c r="Y122" s="956">
        <f>+Y125/Y24</f>
        <v>0</v>
      </c>
    </row>
    <row r="123" spans="2:25" ht="16.5" customHeight="1" outlineLevel="1">
      <c r="B123" s="735" t="s">
        <v>487</v>
      </c>
      <c r="E123" s="801"/>
      <c r="F123" s="801"/>
      <c r="G123" s="801"/>
      <c r="H123" s="801"/>
      <c r="I123" s="801"/>
      <c r="J123" s="801"/>
      <c r="K123" s="801"/>
      <c r="L123" s="801"/>
      <c r="M123" s="801"/>
      <c r="N123" s="801"/>
      <c r="O123" s="801"/>
      <c r="P123" s="801"/>
      <c r="Q123" s="801"/>
      <c r="T123" s="801"/>
      <c r="U123" s="801"/>
      <c r="V123" s="801"/>
      <c r="W123" s="801"/>
      <c r="X123" s="801"/>
      <c r="Y123" s="801"/>
    </row>
    <row r="124" spans="2:25" ht="16.5" customHeight="1" outlineLevel="1">
      <c r="B124" s="735" t="s">
        <v>560</v>
      </c>
      <c r="E124" s="818">
        <v>0</v>
      </c>
      <c r="F124" s="818">
        <v>0</v>
      </c>
      <c r="G124" s="818">
        <v>0</v>
      </c>
      <c r="H124" s="818">
        <v>0</v>
      </c>
      <c r="I124" s="818">
        <v>0</v>
      </c>
      <c r="J124" s="818">
        <v>0</v>
      </c>
      <c r="K124" s="818">
        <v>0</v>
      </c>
      <c r="L124" s="818">
        <v>0</v>
      </c>
      <c r="M124" s="818">
        <v>0</v>
      </c>
      <c r="N124" s="818">
        <v>0</v>
      </c>
      <c r="O124" s="818">
        <v>0</v>
      </c>
      <c r="P124" s="818">
        <v>0</v>
      </c>
      <c r="Q124" s="818">
        <v>0</v>
      </c>
      <c r="T124" s="818">
        <v>0</v>
      </c>
      <c r="U124" s="818">
        <v>0</v>
      </c>
      <c r="V124" s="818">
        <v>0</v>
      </c>
      <c r="W124" s="818">
        <v>0</v>
      </c>
      <c r="X124" s="818">
        <v>0</v>
      </c>
      <c r="Y124" s="818">
        <v>0</v>
      </c>
    </row>
    <row r="125" spans="2:25" ht="16.5" customHeight="1" outlineLevel="1">
      <c r="B125" s="735" t="s">
        <v>528</v>
      </c>
      <c r="C125" s="724" t="s">
        <v>530</v>
      </c>
      <c r="D125" s="813" t="s">
        <v>531</v>
      </c>
      <c r="E125" s="819">
        <f>+'Input 기초'!F51</f>
        <v>6654800.0000000009</v>
      </c>
      <c r="F125" s="819">
        <f>+'Input 기초'!G51</f>
        <v>19964400</v>
      </c>
      <c r="G125" s="819">
        <f>+'Input 기초'!H51</f>
        <v>5715000</v>
      </c>
      <c r="H125" s="819">
        <f>+'Input 기초'!I51</f>
        <v>28371800</v>
      </c>
      <c r="I125" s="819">
        <f>+'Input 기초'!J51</f>
        <v>20904200</v>
      </c>
      <c r="J125" s="819">
        <f>+'Input 기초'!K51</f>
        <v>5939200</v>
      </c>
      <c r="K125" s="819">
        <f>+'Input 기초'!L51</f>
        <v>35915600</v>
      </c>
      <c r="L125" s="819">
        <f>+'Input 기초'!M51</f>
        <v>46228000</v>
      </c>
      <c r="M125" s="819">
        <f>+'Input 기초'!N51</f>
        <v>0</v>
      </c>
      <c r="N125" s="819">
        <f>+'Input 기초'!O51</f>
        <v>0</v>
      </c>
      <c r="O125" s="819">
        <f>+'Input 기초'!P51</f>
        <v>0</v>
      </c>
      <c r="P125" s="819">
        <f>+'Input 기초'!Q51</f>
        <v>0</v>
      </c>
      <c r="Q125" s="819">
        <f>+'Input 기초'!R51</f>
        <v>0</v>
      </c>
      <c r="T125" s="819">
        <f>+'Input 기초'!U76</f>
        <v>0</v>
      </c>
      <c r="U125" s="819">
        <f>+'Input 기초'!V76</f>
        <v>0</v>
      </c>
      <c r="V125" s="819">
        <f>+'Input 기초'!W76</f>
        <v>0</v>
      </c>
      <c r="W125" s="819">
        <f>+'Input 기초'!X76</f>
        <v>0</v>
      </c>
      <c r="X125" s="819">
        <f>+'Input 기초'!Y76</f>
        <v>0</v>
      </c>
      <c r="Y125" s="819">
        <f>+'Input 기초'!Z76</f>
        <v>0</v>
      </c>
    </row>
    <row r="126" spans="2:25" ht="16.5" customHeight="1" outlineLevel="1">
      <c r="B126" s="735" t="s">
        <v>542</v>
      </c>
      <c r="C126" s="720" t="s">
        <v>533</v>
      </c>
      <c r="D126" s="721"/>
      <c r="E126" s="815" t="s">
        <v>67</v>
      </c>
      <c r="F126" s="815" t="s">
        <v>67</v>
      </c>
      <c r="G126" s="815" t="s">
        <v>67</v>
      </c>
      <c r="H126" s="815" t="s">
        <v>67</v>
      </c>
      <c r="I126" s="815" t="s">
        <v>67</v>
      </c>
      <c r="J126" s="815" t="s">
        <v>67</v>
      </c>
      <c r="K126" s="815" t="s">
        <v>67</v>
      </c>
      <c r="L126" s="815" t="s">
        <v>67</v>
      </c>
      <c r="M126" s="815" t="s">
        <v>67</v>
      </c>
      <c r="N126" s="815" t="s">
        <v>67</v>
      </c>
      <c r="O126" s="815" t="s">
        <v>67</v>
      </c>
      <c r="P126" s="815" t="s">
        <v>67</v>
      </c>
      <c r="Q126" s="815" t="s">
        <v>67</v>
      </c>
      <c r="T126" s="815" t="s">
        <v>67</v>
      </c>
      <c r="U126" s="815" t="s">
        <v>67</v>
      </c>
      <c r="V126" s="815" t="s">
        <v>67</v>
      </c>
      <c r="W126" s="815" t="s">
        <v>67</v>
      </c>
      <c r="X126" s="815" t="s">
        <v>67</v>
      </c>
      <c r="Y126" s="815" t="s">
        <v>67</v>
      </c>
    </row>
    <row r="127" spans="2:25" ht="16.5" customHeight="1" outlineLevel="1">
      <c r="B127" s="735" t="s">
        <v>534</v>
      </c>
      <c r="C127" s="720" t="s">
        <v>301</v>
      </c>
      <c r="D127" s="721" t="s">
        <v>535</v>
      </c>
      <c r="E127" s="799">
        <f t="shared" ref="E127:L127" si="32">+E18</f>
        <v>46053</v>
      </c>
      <c r="F127" s="799">
        <f t="shared" si="32"/>
        <v>46053</v>
      </c>
      <c r="G127" s="799">
        <f t="shared" si="32"/>
        <v>46053</v>
      </c>
      <c r="H127" s="799">
        <f t="shared" si="32"/>
        <v>46053</v>
      </c>
      <c r="I127" s="799">
        <f t="shared" si="32"/>
        <v>46053</v>
      </c>
      <c r="J127" s="799">
        <f t="shared" si="32"/>
        <v>46053</v>
      </c>
      <c r="K127" s="799">
        <f t="shared" si="32"/>
        <v>46053</v>
      </c>
      <c r="L127" s="799">
        <f t="shared" si="32"/>
        <v>46053</v>
      </c>
      <c r="M127" s="799">
        <f t="shared" ref="M127:Q127" si="33">M19</f>
        <v>0</v>
      </c>
      <c r="N127" s="799">
        <f t="shared" si="33"/>
        <v>0</v>
      </c>
      <c r="O127" s="799">
        <f t="shared" si="33"/>
        <v>0</v>
      </c>
      <c r="P127" s="799">
        <f t="shared" si="33"/>
        <v>0</v>
      </c>
      <c r="Q127" s="799">
        <f t="shared" si="33"/>
        <v>0</v>
      </c>
      <c r="T127" s="799">
        <f t="shared" ref="T127:Y127" si="34">T19</f>
        <v>46203</v>
      </c>
      <c r="U127" s="799">
        <f t="shared" si="34"/>
        <v>46173</v>
      </c>
      <c r="V127" s="799">
        <f t="shared" si="34"/>
        <v>46173</v>
      </c>
      <c r="W127" s="799">
        <f t="shared" si="34"/>
        <v>46173</v>
      </c>
      <c r="X127" s="799">
        <f t="shared" si="34"/>
        <v>46173</v>
      </c>
      <c r="Y127" s="799">
        <f t="shared" si="34"/>
        <v>46203</v>
      </c>
    </row>
    <row r="128" spans="2:25" ht="16.5" customHeight="1" outlineLevel="1">
      <c r="B128" s="735" t="s">
        <v>536</v>
      </c>
      <c r="C128" s="720" t="s">
        <v>309</v>
      </c>
      <c r="D128" s="721" t="s">
        <v>537</v>
      </c>
      <c r="E128" s="799" t="str">
        <f>+'[6]입력 시트(0124)'!E127</f>
        <v>N/A</v>
      </c>
      <c r="F128" s="799" t="s">
        <v>554</v>
      </c>
      <c r="G128" s="799" t="s">
        <v>554</v>
      </c>
      <c r="H128" s="799" t="s">
        <v>554</v>
      </c>
      <c r="I128" s="799" t="s">
        <v>554</v>
      </c>
      <c r="J128" s="799" t="s">
        <v>554</v>
      </c>
      <c r="K128" s="799" t="s">
        <v>554</v>
      </c>
      <c r="L128" s="799" t="s">
        <v>554</v>
      </c>
      <c r="M128" s="799" t="s">
        <v>554</v>
      </c>
      <c r="N128" s="799" t="s">
        <v>554</v>
      </c>
      <c r="O128" s="799" t="s">
        <v>554</v>
      </c>
      <c r="P128" s="799" t="s">
        <v>554</v>
      </c>
      <c r="Q128" s="799" t="s">
        <v>554</v>
      </c>
      <c r="T128" s="799" t="e">
        <f>+'[6]입력 시트(0124)'!T127</f>
        <v>#REF!</v>
      </c>
      <c r="U128" s="799" t="s">
        <v>554</v>
      </c>
      <c r="V128" s="799" t="s">
        <v>554</v>
      </c>
      <c r="W128" s="799" t="s">
        <v>554</v>
      </c>
      <c r="X128" s="799" t="s">
        <v>554</v>
      </c>
      <c r="Y128" s="799" t="s">
        <v>554</v>
      </c>
    </row>
    <row r="129" spans="2:25" ht="16.5" customHeight="1" outlineLevel="1">
      <c r="B129" s="735" t="s">
        <v>539</v>
      </c>
      <c r="C129" s="720" t="s">
        <v>301</v>
      </c>
      <c r="D129" s="721"/>
      <c r="E129" s="799">
        <f t="shared" ref="E129:L129" si="35">+E19</f>
        <v>46203</v>
      </c>
      <c r="F129" s="799">
        <f t="shared" si="35"/>
        <v>46203</v>
      </c>
      <c r="G129" s="799">
        <f t="shared" si="35"/>
        <v>46203</v>
      </c>
      <c r="H129" s="799">
        <f t="shared" si="35"/>
        <v>46203</v>
      </c>
      <c r="I129" s="799">
        <f t="shared" si="35"/>
        <v>46203</v>
      </c>
      <c r="J129" s="799">
        <f t="shared" si="35"/>
        <v>46203</v>
      </c>
      <c r="K129" s="799">
        <f t="shared" si="35"/>
        <v>46203</v>
      </c>
      <c r="L129" s="799">
        <f t="shared" si="35"/>
        <v>46203</v>
      </c>
      <c r="M129" s="799">
        <f t="shared" ref="M129:Q129" si="36">M19</f>
        <v>0</v>
      </c>
      <c r="N129" s="799">
        <f t="shared" si="36"/>
        <v>0</v>
      </c>
      <c r="O129" s="799">
        <f t="shared" si="36"/>
        <v>0</v>
      </c>
      <c r="P129" s="799">
        <f t="shared" si="36"/>
        <v>0</v>
      </c>
      <c r="Q129" s="799">
        <f t="shared" si="36"/>
        <v>0</v>
      </c>
      <c r="T129" s="799">
        <f t="shared" ref="T129:Y129" si="37">T19</f>
        <v>46203</v>
      </c>
      <c r="U129" s="799">
        <f t="shared" si="37"/>
        <v>46173</v>
      </c>
      <c r="V129" s="799">
        <f t="shared" si="37"/>
        <v>46173</v>
      </c>
      <c r="W129" s="799">
        <f t="shared" si="37"/>
        <v>46173</v>
      </c>
      <c r="X129" s="799">
        <f t="shared" si="37"/>
        <v>46173</v>
      </c>
      <c r="Y129" s="799">
        <f t="shared" si="37"/>
        <v>46203</v>
      </c>
    </row>
    <row r="130" spans="2:25" ht="16.5" customHeight="1" outlineLevel="1">
      <c r="B130" s="735" t="s">
        <v>540</v>
      </c>
      <c r="C130" s="1361"/>
      <c r="D130" s="1362"/>
      <c r="E130" s="803"/>
      <c r="F130" s="803"/>
      <c r="G130" s="803"/>
      <c r="H130" s="803"/>
      <c r="I130" s="803"/>
      <c r="J130" s="803"/>
      <c r="K130" s="803"/>
      <c r="L130" s="803"/>
      <c r="M130" s="803"/>
      <c r="N130" s="803"/>
      <c r="O130" s="803"/>
      <c r="P130" s="803"/>
      <c r="Q130" s="803"/>
      <c r="T130" s="803"/>
      <c r="U130" s="803"/>
      <c r="V130" s="803"/>
      <c r="W130" s="803"/>
      <c r="X130" s="803"/>
      <c r="Y130" s="803"/>
    </row>
    <row r="131" spans="2:25" ht="16.5" customHeight="1" outlineLevel="1">
      <c r="B131" s="735"/>
      <c r="E131" s="756"/>
      <c r="F131" s="756"/>
      <c r="G131" s="756"/>
      <c r="H131" s="756"/>
      <c r="I131" s="756"/>
      <c r="J131" s="756"/>
      <c r="K131" s="756"/>
      <c r="L131" s="756"/>
      <c r="M131" s="756"/>
      <c r="N131" s="756"/>
      <c r="O131" s="756"/>
      <c r="P131" s="756"/>
      <c r="Q131" s="756"/>
      <c r="T131" s="957"/>
      <c r="U131" s="957"/>
      <c r="V131" s="957"/>
      <c r="W131" s="957"/>
      <c r="X131" s="957"/>
      <c r="Y131" s="957"/>
    </row>
    <row r="132" spans="2:25" ht="16.5" hidden="1" customHeight="1" outlineLevel="1">
      <c r="B132" s="730" t="s">
        <v>561</v>
      </c>
      <c r="C132" s="742"/>
      <c r="D132" s="749"/>
      <c r="E132" s="750"/>
      <c r="F132" s="750"/>
      <c r="G132" s="750"/>
      <c r="H132" s="750"/>
      <c r="I132" s="750"/>
      <c r="J132" s="750"/>
      <c r="K132" s="750"/>
      <c r="L132" s="750"/>
      <c r="M132" s="750"/>
      <c r="N132" s="750"/>
      <c r="O132" s="750"/>
      <c r="P132" s="750"/>
      <c r="Q132" s="750"/>
      <c r="T132" s="953"/>
      <c r="U132" s="953"/>
      <c r="V132" s="953"/>
      <c r="W132" s="953"/>
      <c r="X132" s="953"/>
      <c r="Y132" s="953"/>
    </row>
    <row r="133" spans="2:25" ht="16.5" hidden="1" customHeight="1" outlineLevel="1">
      <c r="B133" s="735" t="s">
        <v>487</v>
      </c>
      <c r="E133" s="801" t="s">
        <v>545</v>
      </c>
      <c r="F133" s="801" t="s">
        <v>545</v>
      </c>
      <c r="G133" s="801" t="s">
        <v>545</v>
      </c>
      <c r="H133" s="801" t="s">
        <v>545</v>
      </c>
      <c r="I133" s="801" t="s">
        <v>545</v>
      </c>
      <c r="J133" s="801" t="s">
        <v>545</v>
      </c>
      <c r="K133" s="801" t="s">
        <v>545</v>
      </c>
      <c r="L133" s="801" t="s">
        <v>545</v>
      </c>
      <c r="M133" s="801" t="s">
        <v>545</v>
      </c>
      <c r="N133" s="801" t="s">
        <v>545</v>
      </c>
      <c r="O133" s="801" t="s">
        <v>545</v>
      </c>
      <c r="P133" s="801" t="s">
        <v>545</v>
      </c>
      <c r="Q133" s="801" t="s">
        <v>545</v>
      </c>
      <c r="T133" s="801" t="s">
        <v>545</v>
      </c>
      <c r="U133" s="801" t="s">
        <v>545</v>
      </c>
      <c r="V133" s="801" t="s">
        <v>545</v>
      </c>
      <c r="W133" s="801" t="s">
        <v>545</v>
      </c>
      <c r="X133" s="801" t="s">
        <v>545</v>
      </c>
      <c r="Y133" s="801" t="s">
        <v>545</v>
      </c>
    </row>
    <row r="134" spans="2:25" ht="16.5" hidden="1" customHeight="1" outlineLevel="1">
      <c r="B134" s="735" t="s">
        <v>528</v>
      </c>
      <c r="C134" s="724" t="s">
        <v>530</v>
      </c>
      <c r="D134" s="813" t="s">
        <v>531</v>
      </c>
      <c r="E134" s="820"/>
      <c r="F134" s="820"/>
      <c r="G134" s="820"/>
      <c r="H134" s="820"/>
      <c r="I134" s="820"/>
      <c r="J134" s="820"/>
      <c r="K134" s="820"/>
      <c r="L134" s="820"/>
      <c r="M134" s="820"/>
      <c r="N134" s="820"/>
      <c r="O134" s="820"/>
      <c r="P134" s="820"/>
      <c r="Q134" s="820"/>
      <c r="T134" s="820"/>
      <c r="U134" s="820"/>
      <c r="V134" s="820"/>
      <c r="W134" s="820"/>
      <c r="X134" s="820"/>
      <c r="Y134" s="820"/>
    </row>
    <row r="135" spans="2:25" ht="16.5" hidden="1" customHeight="1" outlineLevel="1">
      <c r="B135" s="735" t="s">
        <v>542</v>
      </c>
      <c r="C135" s="720" t="s">
        <v>533</v>
      </c>
      <c r="D135" s="721"/>
      <c r="E135" s="815">
        <v>1</v>
      </c>
      <c r="F135" s="815">
        <v>1</v>
      </c>
      <c r="G135" s="815">
        <v>1</v>
      </c>
      <c r="H135" s="815">
        <v>1</v>
      </c>
      <c r="I135" s="815">
        <v>1</v>
      </c>
      <c r="J135" s="815">
        <v>1</v>
      </c>
      <c r="K135" s="815">
        <v>1</v>
      </c>
      <c r="L135" s="815">
        <v>1</v>
      </c>
      <c r="M135" s="815">
        <v>1</v>
      </c>
      <c r="N135" s="815">
        <v>1</v>
      </c>
      <c r="O135" s="815">
        <v>1</v>
      </c>
      <c r="P135" s="815">
        <v>1</v>
      </c>
      <c r="Q135" s="815">
        <v>1</v>
      </c>
      <c r="T135" s="815">
        <v>1</v>
      </c>
      <c r="U135" s="815">
        <v>1</v>
      </c>
      <c r="V135" s="815">
        <v>1</v>
      </c>
      <c r="W135" s="815">
        <v>1</v>
      </c>
      <c r="X135" s="815">
        <v>1</v>
      </c>
      <c r="Y135" s="815">
        <v>1</v>
      </c>
    </row>
    <row r="136" spans="2:25" ht="16.5" hidden="1" customHeight="1" outlineLevel="1">
      <c r="B136" s="735" t="s">
        <v>534</v>
      </c>
      <c r="C136" s="720" t="s">
        <v>301</v>
      </c>
      <c r="D136" s="721" t="s">
        <v>535</v>
      </c>
      <c r="E136" s="799"/>
      <c r="F136" s="799"/>
      <c r="G136" s="799"/>
      <c r="H136" s="799"/>
      <c r="I136" s="799"/>
      <c r="J136" s="799"/>
      <c r="K136" s="799"/>
      <c r="L136" s="799"/>
      <c r="M136" s="799"/>
      <c r="N136" s="799"/>
      <c r="O136" s="799"/>
      <c r="P136" s="799"/>
      <c r="Q136" s="799"/>
      <c r="T136" s="799"/>
      <c r="U136" s="799"/>
      <c r="V136" s="799"/>
      <c r="W136" s="799"/>
      <c r="X136" s="799"/>
      <c r="Y136" s="799"/>
    </row>
    <row r="137" spans="2:25" ht="16.5" hidden="1" customHeight="1" outlineLevel="1">
      <c r="B137" s="735" t="s">
        <v>536</v>
      </c>
      <c r="C137" s="720" t="s">
        <v>309</v>
      </c>
      <c r="D137" s="721" t="s">
        <v>537</v>
      </c>
      <c r="E137" s="799"/>
      <c r="F137" s="799"/>
      <c r="G137" s="799"/>
      <c r="H137" s="799"/>
      <c r="I137" s="799"/>
      <c r="J137" s="799"/>
      <c r="K137" s="799"/>
      <c r="L137" s="799"/>
      <c r="M137" s="799"/>
      <c r="N137" s="799"/>
      <c r="O137" s="799"/>
      <c r="P137" s="799"/>
      <c r="Q137" s="799"/>
      <c r="T137" s="799"/>
      <c r="U137" s="799"/>
      <c r="V137" s="799"/>
      <c r="W137" s="799"/>
      <c r="X137" s="799"/>
      <c r="Y137" s="799"/>
    </row>
    <row r="138" spans="2:25" ht="16.5" hidden="1" customHeight="1" outlineLevel="1">
      <c r="B138" s="735" t="s">
        <v>539</v>
      </c>
      <c r="C138" s="720" t="s">
        <v>301</v>
      </c>
      <c r="D138" s="721"/>
      <c r="E138" s="799"/>
      <c r="F138" s="799"/>
      <c r="G138" s="799"/>
      <c r="H138" s="799"/>
      <c r="I138" s="799"/>
      <c r="J138" s="799"/>
      <c r="K138" s="799"/>
      <c r="L138" s="799"/>
      <c r="M138" s="799"/>
      <c r="N138" s="799"/>
      <c r="O138" s="799"/>
      <c r="P138" s="799"/>
      <c r="Q138" s="799"/>
      <c r="T138" s="799"/>
      <c r="U138" s="799"/>
      <c r="V138" s="799"/>
      <c r="W138" s="799"/>
      <c r="X138" s="799"/>
      <c r="Y138" s="799"/>
    </row>
    <row r="139" spans="2:25" ht="16.5" hidden="1" customHeight="1" outlineLevel="1">
      <c r="B139" s="735" t="s">
        <v>540</v>
      </c>
      <c r="C139" s="740" t="s">
        <v>501</v>
      </c>
      <c r="E139" s="803"/>
      <c r="F139" s="803"/>
      <c r="G139" s="803"/>
      <c r="H139" s="803"/>
      <c r="I139" s="803"/>
      <c r="J139" s="803"/>
      <c r="K139" s="803"/>
      <c r="L139" s="803"/>
      <c r="M139" s="803"/>
      <c r="N139" s="803"/>
      <c r="O139" s="803"/>
      <c r="P139" s="803"/>
      <c r="Q139" s="803"/>
      <c r="T139" s="803"/>
      <c r="U139" s="803"/>
      <c r="V139" s="803"/>
      <c r="W139" s="803"/>
      <c r="X139" s="803"/>
      <c r="Y139" s="803"/>
    </row>
    <row r="140" spans="2:25" ht="16.5" hidden="1" customHeight="1" outlineLevel="1">
      <c r="B140" s="735"/>
      <c r="T140" s="777"/>
      <c r="U140" s="777"/>
      <c r="V140" s="777"/>
      <c r="W140" s="777"/>
      <c r="X140" s="777"/>
      <c r="Y140" s="777"/>
    </row>
    <row r="141" spans="2:25" ht="16.5" hidden="1" customHeight="1" outlineLevel="1">
      <c r="B141" s="730" t="s">
        <v>562</v>
      </c>
      <c r="C141" s="742"/>
      <c r="D141" s="749"/>
      <c r="E141" s="750"/>
      <c r="F141" s="750"/>
      <c r="G141" s="750"/>
      <c r="H141" s="750"/>
      <c r="I141" s="750"/>
      <c r="J141" s="750"/>
      <c r="K141" s="750"/>
      <c r="L141" s="750"/>
      <c r="M141" s="750"/>
      <c r="N141" s="750"/>
      <c r="O141" s="750"/>
      <c r="P141" s="750"/>
      <c r="Q141" s="750"/>
      <c r="T141" s="953"/>
      <c r="U141" s="953"/>
      <c r="V141" s="953"/>
      <c r="W141" s="953"/>
      <c r="X141" s="953"/>
      <c r="Y141" s="953"/>
    </row>
    <row r="142" spans="2:25" ht="16.5" hidden="1" customHeight="1" outlineLevel="1">
      <c r="B142" s="735" t="s">
        <v>487</v>
      </c>
      <c r="E142" s="801" t="s">
        <v>545</v>
      </c>
      <c r="F142" s="801" t="s">
        <v>545</v>
      </c>
      <c r="G142" s="801" t="s">
        <v>545</v>
      </c>
      <c r="H142" s="801" t="s">
        <v>545</v>
      </c>
      <c r="I142" s="801" t="s">
        <v>545</v>
      </c>
      <c r="J142" s="801" t="s">
        <v>545</v>
      </c>
      <c r="K142" s="801" t="s">
        <v>545</v>
      </c>
      <c r="L142" s="801" t="s">
        <v>545</v>
      </c>
      <c r="M142" s="801" t="s">
        <v>545</v>
      </c>
      <c r="N142" s="801" t="s">
        <v>545</v>
      </c>
      <c r="O142" s="801" t="s">
        <v>545</v>
      </c>
      <c r="P142" s="801" t="s">
        <v>545</v>
      </c>
      <c r="Q142" s="801" t="s">
        <v>545</v>
      </c>
      <c r="T142" s="801" t="s">
        <v>545</v>
      </c>
      <c r="U142" s="801" t="s">
        <v>545</v>
      </c>
      <c r="V142" s="801" t="s">
        <v>545</v>
      </c>
      <c r="W142" s="801" t="s">
        <v>545</v>
      </c>
      <c r="X142" s="801" t="s">
        <v>545</v>
      </c>
      <c r="Y142" s="801" t="s">
        <v>545</v>
      </c>
    </row>
    <row r="143" spans="2:25" ht="16.5" hidden="1" customHeight="1" outlineLevel="1">
      <c r="B143" s="735" t="s">
        <v>528</v>
      </c>
      <c r="C143" s="724" t="s">
        <v>530</v>
      </c>
      <c r="D143" s="813" t="s">
        <v>531</v>
      </c>
      <c r="E143" s="820"/>
      <c r="F143" s="820"/>
      <c r="G143" s="820"/>
      <c r="H143" s="820"/>
      <c r="I143" s="820"/>
      <c r="J143" s="820"/>
      <c r="K143" s="820"/>
      <c r="L143" s="820"/>
      <c r="M143" s="820"/>
      <c r="N143" s="820"/>
      <c r="O143" s="820"/>
      <c r="P143" s="820"/>
      <c r="Q143" s="820"/>
      <c r="T143" s="820"/>
      <c r="U143" s="820"/>
      <c r="V143" s="820"/>
      <c r="W143" s="820"/>
      <c r="X143" s="820"/>
      <c r="Y143" s="820"/>
    </row>
    <row r="144" spans="2:25" ht="16.5" hidden="1" customHeight="1" outlineLevel="1">
      <c r="B144" s="735" t="s">
        <v>542</v>
      </c>
      <c r="C144" s="720" t="s">
        <v>533</v>
      </c>
      <c r="D144" s="721"/>
      <c r="E144" s="815">
        <v>1</v>
      </c>
      <c r="F144" s="815">
        <v>1</v>
      </c>
      <c r="G144" s="815">
        <v>1</v>
      </c>
      <c r="H144" s="815">
        <v>1</v>
      </c>
      <c r="I144" s="815">
        <v>1</v>
      </c>
      <c r="J144" s="815">
        <v>1</v>
      </c>
      <c r="K144" s="815">
        <v>1</v>
      </c>
      <c r="L144" s="815">
        <v>1</v>
      </c>
      <c r="M144" s="815">
        <v>1</v>
      </c>
      <c r="N144" s="815">
        <v>1</v>
      </c>
      <c r="O144" s="815">
        <v>1</v>
      </c>
      <c r="P144" s="815">
        <v>1</v>
      </c>
      <c r="Q144" s="815">
        <v>1</v>
      </c>
      <c r="T144" s="815">
        <v>1</v>
      </c>
      <c r="U144" s="815">
        <v>1</v>
      </c>
      <c r="V144" s="815">
        <v>1</v>
      </c>
      <c r="W144" s="815">
        <v>1</v>
      </c>
      <c r="X144" s="815">
        <v>1</v>
      </c>
      <c r="Y144" s="815">
        <v>1</v>
      </c>
    </row>
    <row r="145" spans="2:25" ht="16.5" hidden="1" customHeight="1" outlineLevel="1">
      <c r="B145" s="735" t="s">
        <v>534</v>
      </c>
      <c r="C145" s="720" t="s">
        <v>301</v>
      </c>
      <c r="D145" s="721" t="s">
        <v>535</v>
      </c>
      <c r="E145" s="799"/>
      <c r="F145" s="799"/>
      <c r="G145" s="799"/>
      <c r="H145" s="799"/>
      <c r="I145" s="799"/>
      <c r="J145" s="799"/>
      <c r="K145" s="799"/>
      <c r="L145" s="799"/>
      <c r="M145" s="799"/>
      <c r="N145" s="799"/>
      <c r="O145" s="799"/>
      <c r="P145" s="799"/>
      <c r="Q145" s="799"/>
      <c r="T145" s="799"/>
      <c r="U145" s="799"/>
      <c r="V145" s="799"/>
      <c r="W145" s="799"/>
      <c r="X145" s="799"/>
      <c r="Y145" s="799"/>
    </row>
    <row r="146" spans="2:25" ht="16.5" hidden="1" customHeight="1" outlineLevel="1">
      <c r="B146" s="735" t="s">
        <v>536</v>
      </c>
      <c r="C146" s="720" t="s">
        <v>309</v>
      </c>
      <c r="D146" s="721" t="s">
        <v>537</v>
      </c>
      <c r="E146" s="799"/>
      <c r="F146" s="799"/>
      <c r="G146" s="799"/>
      <c r="H146" s="799"/>
      <c r="I146" s="799"/>
      <c r="J146" s="799"/>
      <c r="K146" s="799"/>
      <c r="L146" s="799"/>
      <c r="M146" s="799"/>
      <c r="N146" s="799"/>
      <c r="O146" s="799"/>
      <c r="P146" s="799"/>
      <c r="Q146" s="799"/>
      <c r="T146" s="799"/>
      <c r="U146" s="799"/>
      <c r="V146" s="799"/>
      <c r="W146" s="799"/>
      <c r="X146" s="799"/>
      <c r="Y146" s="799"/>
    </row>
    <row r="147" spans="2:25" ht="16.5" hidden="1" customHeight="1" outlineLevel="1">
      <c r="B147" s="735" t="s">
        <v>539</v>
      </c>
      <c r="C147" s="720" t="s">
        <v>301</v>
      </c>
      <c r="D147" s="721"/>
      <c r="E147" s="799"/>
      <c r="F147" s="799"/>
      <c r="G147" s="799"/>
      <c r="H147" s="799"/>
      <c r="I147" s="799"/>
      <c r="J147" s="799"/>
      <c r="K147" s="799"/>
      <c r="L147" s="799"/>
      <c r="M147" s="799"/>
      <c r="N147" s="799"/>
      <c r="O147" s="799"/>
      <c r="P147" s="799"/>
      <c r="Q147" s="799"/>
      <c r="T147" s="799"/>
      <c r="U147" s="799"/>
      <c r="V147" s="799"/>
      <c r="W147" s="799"/>
      <c r="X147" s="799"/>
      <c r="Y147" s="799"/>
    </row>
    <row r="148" spans="2:25" ht="16.5" hidden="1" customHeight="1" outlineLevel="1">
      <c r="B148" s="735" t="s">
        <v>540</v>
      </c>
      <c r="C148" s="740" t="s">
        <v>501</v>
      </c>
      <c r="E148" s="803"/>
      <c r="F148" s="803"/>
      <c r="G148" s="803"/>
      <c r="H148" s="803"/>
      <c r="I148" s="803"/>
      <c r="J148" s="803"/>
      <c r="K148" s="803"/>
      <c r="L148" s="803"/>
      <c r="M148" s="803"/>
      <c r="N148" s="803"/>
      <c r="O148" s="803"/>
      <c r="P148" s="803"/>
      <c r="Q148" s="803"/>
      <c r="T148" s="803"/>
      <c r="U148" s="803"/>
      <c r="V148" s="803"/>
      <c r="W148" s="803"/>
      <c r="X148" s="803"/>
      <c r="Y148" s="803"/>
    </row>
    <row r="149" spans="2:25" ht="16.5" hidden="1" customHeight="1" outlineLevel="1">
      <c r="B149" s="735"/>
      <c r="T149" s="777"/>
      <c r="U149" s="777"/>
      <c r="V149" s="777"/>
      <c r="W149" s="777"/>
      <c r="X149" s="777"/>
      <c r="Y149" s="777"/>
    </row>
    <row r="150" spans="2:25" ht="16.5" customHeight="1" outlineLevel="1">
      <c r="B150" s="730" t="s">
        <v>430</v>
      </c>
      <c r="C150" s="742"/>
      <c r="D150" s="749"/>
      <c r="E150" s="750"/>
      <c r="F150" s="750"/>
      <c r="G150" s="750"/>
      <c r="H150" s="750"/>
      <c r="I150" s="750"/>
      <c r="J150" s="750"/>
      <c r="K150" s="750"/>
      <c r="L150" s="750"/>
      <c r="M150" s="750"/>
      <c r="N150" s="750"/>
      <c r="O150" s="750"/>
      <c r="P150" s="750"/>
      <c r="Q150" s="1040"/>
      <c r="T150" s="953"/>
      <c r="U150" s="953"/>
      <c r="V150" s="953"/>
      <c r="W150" s="953"/>
      <c r="X150" s="953"/>
      <c r="Y150" s="953"/>
    </row>
    <row r="151" spans="2:25" ht="16.5" customHeight="1" outlineLevel="1">
      <c r="B151" s="735" t="s">
        <v>487</v>
      </c>
      <c r="E151" s="801"/>
      <c r="F151" s="801"/>
      <c r="G151" s="801"/>
      <c r="H151" s="801"/>
      <c r="I151" s="801"/>
      <c r="J151" s="801"/>
      <c r="K151" s="801"/>
      <c r="L151" s="801"/>
      <c r="M151" s="801"/>
      <c r="N151" s="801"/>
      <c r="O151" s="801"/>
      <c r="P151" s="1038"/>
      <c r="Q151" s="1042"/>
      <c r="T151" s="801"/>
      <c r="U151" s="801"/>
      <c r="V151" s="801"/>
      <c r="W151" s="801"/>
      <c r="X151" s="801"/>
      <c r="Y151" s="801"/>
    </row>
    <row r="152" spans="2:25" ht="16.5" customHeight="1" outlineLevel="1">
      <c r="B152" s="735" t="s">
        <v>528</v>
      </c>
      <c r="C152" s="724" t="s">
        <v>530</v>
      </c>
      <c r="D152" s="813" t="s">
        <v>531</v>
      </c>
      <c r="E152" s="819">
        <f>+'Input 기초'!F50</f>
        <v>648843.00000000012</v>
      </c>
      <c r="F152" s="819">
        <f>+'Input 기초'!G50</f>
        <v>1946529</v>
      </c>
      <c r="G152" s="819">
        <f>+'Input 기초'!H50</f>
        <v>557212.5</v>
      </c>
      <c r="H152" s="819">
        <f>+'Input 기초'!I50</f>
        <v>2766250.5</v>
      </c>
      <c r="I152" s="819">
        <f>+'Input 기초'!J50</f>
        <v>2038159.5</v>
      </c>
      <c r="J152" s="819">
        <f>+'Input 기초'!K50</f>
        <v>579072</v>
      </c>
      <c r="K152" s="819">
        <f>+'Input 기초'!L50</f>
        <v>3501771</v>
      </c>
      <c r="L152" s="819">
        <f>+'Input 기초'!M50</f>
        <v>4507230</v>
      </c>
      <c r="M152" s="821">
        <f>+'Input 기초'!N50</f>
        <v>0</v>
      </c>
      <c r="N152" s="821">
        <f>+'Input 기초'!O50</f>
        <v>0</v>
      </c>
      <c r="O152" s="821">
        <f>+'Input 기초'!P50</f>
        <v>0</v>
      </c>
      <c r="P152" s="821">
        <f>+'Input 기초'!Q50</f>
        <v>0</v>
      </c>
      <c r="Q152" s="1043">
        <f>+'Input 기초'!R50</f>
        <v>0</v>
      </c>
      <c r="T152" s="821">
        <f>+'Input 기초'!U75</f>
        <v>0</v>
      </c>
      <c r="U152" s="821">
        <f>+'Input 기초'!V75</f>
        <v>0</v>
      </c>
      <c r="V152" s="821">
        <f>+'Input 기초'!W75</f>
        <v>0</v>
      </c>
      <c r="W152" s="821">
        <f>+'Input 기초'!X75</f>
        <v>0</v>
      </c>
      <c r="X152" s="821">
        <f>+'Input 기초'!Y75</f>
        <v>0</v>
      </c>
      <c r="Y152" s="821">
        <f>+'Input 기초'!Z75</f>
        <v>0</v>
      </c>
    </row>
    <row r="153" spans="2:25" ht="16.5" customHeight="1" outlineLevel="1">
      <c r="B153" s="735" t="s">
        <v>542</v>
      </c>
      <c r="C153" s="720" t="s">
        <v>533</v>
      </c>
      <c r="D153" s="721"/>
      <c r="E153" s="815">
        <v>1</v>
      </c>
      <c r="F153" s="815">
        <v>1</v>
      </c>
      <c r="G153" s="815">
        <v>1</v>
      </c>
      <c r="H153" s="815">
        <v>1</v>
      </c>
      <c r="I153" s="815">
        <v>1</v>
      </c>
      <c r="J153" s="815">
        <v>1</v>
      </c>
      <c r="K153" s="815">
        <v>1</v>
      </c>
      <c r="L153" s="815">
        <v>1</v>
      </c>
      <c r="M153" s="815">
        <v>1</v>
      </c>
      <c r="N153" s="815">
        <v>1</v>
      </c>
      <c r="O153" s="815">
        <v>1</v>
      </c>
      <c r="P153" s="1039">
        <v>1</v>
      </c>
      <c r="Q153" s="815">
        <v>1</v>
      </c>
      <c r="T153" s="815">
        <v>1</v>
      </c>
      <c r="U153" s="815">
        <v>1</v>
      </c>
      <c r="V153" s="815">
        <v>1</v>
      </c>
      <c r="W153" s="815">
        <v>1</v>
      </c>
      <c r="X153" s="815">
        <v>1</v>
      </c>
      <c r="Y153" s="815">
        <v>1</v>
      </c>
    </row>
    <row r="154" spans="2:25" ht="16.5" customHeight="1" outlineLevel="1">
      <c r="B154" s="735" t="s">
        <v>534</v>
      </c>
      <c r="C154" s="720" t="s">
        <v>301</v>
      </c>
      <c r="D154" s="721" t="s">
        <v>535</v>
      </c>
      <c r="E154" s="799">
        <f t="shared" ref="E154:L154" si="38">+E18</f>
        <v>46053</v>
      </c>
      <c r="F154" s="799">
        <f t="shared" si="38"/>
        <v>46053</v>
      </c>
      <c r="G154" s="799">
        <f t="shared" si="38"/>
        <v>46053</v>
      </c>
      <c r="H154" s="799">
        <f t="shared" si="38"/>
        <v>46053</v>
      </c>
      <c r="I154" s="799">
        <f t="shared" si="38"/>
        <v>46053</v>
      </c>
      <c r="J154" s="799">
        <f t="shared" si="38"/>
        <v>46053</v>
      </c>
      <c r="K154" s="799">
        <f t="shared" si="38"/>
        <v>46053</v>
      </c>
      <c r="L154" s="799">
        <f t="shared" si="38"/>
        <v>46053</v>
      </c>
      <c r="M154" s="799">
        <f t="shared" ref="M154:Q154" si="39">M19</f>
        <v>0</v>
      </c>
      <c r="N154" s="799">
        <f t="shared" si="39"/>
        <v>0</v>
      </c>
      <c r="O154" s="799">
        <f t="shared" si="39"/>
        <v>0</v>
      </c>
      <c r="P154" s="823">
        <f t="shared" si="39"/>
        <v>0</v>
      </c>
      <c r="Q154" s="799">
        <f t="shared" si="39"/>
        <v>0</v>
      </c>
      <c r="T154" s="799">
        <f t="shared" ref="T154:Y154" si="40">T19</f>
        <v>46203</v>
      </c>
      <c r="U154" s="799">
        <f t="shared" si="40"/>
        <v>46173</v>
      </c>
      <c r="V154" s="799">
        <f t="shared" si="40"/>
        <v>46173</v>
      </c>
      <c r="W154" s="799">
        <f t="shared" si="40"/>
        <v>46173</v>
      </c>
      <c r="X154" s="799">
        <f t="shared" si="40"/>
        <v>46173</v>
      </c>
      <c r="Y154" s="799">
        <f t="shared" si="40"/>
        <v>46203</v>
      </c>
    </row>
    <row r="155" spans="2:25" ht="16.5" customHeight="1" outlineLevel="1">
      <c r="B155" s="735" t="s">
        <v>536</v>
      </c>
      <c r="C155" s="720" t="s">
        <v>309</v>
      </c>
      <c r="D155" s="721" t="s">
        <v>537</v>
      </c>
      <c r="E155" s="799" t="str">
        <f>+'[6]입력 시트(0124)'!E154</f>
        <v>CPI</v>
      </c>
      <c r="F155" s="799" t="str">
        <f>+'[6]입력 시트(0124)'!F154</f>
        <v>CPI</v>
      </c>
      <c r="G155" s="799" t="str">
        <f>+'[6]입력 시트(0124)'!G154</f>
        <v>CPI</v>
      </c>
      <c r="H155" s="799" t="str">
        <f>+'[6]입력 시트(0124)'!H154</f>
        <v>CPI</v>
      </c>
      <c r="I155" s="799" t="str">
        <f>+'[6]입력 시트(0124)'!I154</f>
        <v>CPI</v>
      </c>
      <c r="J155" s="799" t="s">
        <v>538</v>
      </c>
      <c r="K155" s="799" t="s">
        <v>538</v>
      </c>
      <c r="L155" s="799" t="s">
        <v>538</v>
      </c>
      <c r="M155" s="799" t="s">
        <v>538</v>
      </c>
      <c r="N155" s="799" t="s">
        <v>538</v>
      </c>
      <c r="O155" s="799" t="s">
        <v>538</v>
      </c>
      <c r="P155" s="823" t="s">
        <v>538</v>
      </c>
      <c r="Q155" s="799" t="s">
        <v>538</v>
      </c>
      <c r="T155" s="799" t="e">
        <f>+'[6]입력 시트(0124)'!T154</f>
        <v>#REF!</v>
      </c>
      <c r="U155" s="799" t="e">
        <f>+'[6]입력 시트(0124)'!U154</f>
        <v>#REF!</v>
      </c>
      <c r="V155" s="799" t="e">
        <f>+'[6]입력 시트(0124)'!V154</f>
        <v>#REF!</v>
      </c>
      <c r="W155" s="799" t="e">
        <f>+'[6]입력 시트(0124)'!W154</f>
        <v>#REF!</v>
      </c>
      <c r="X155" s="799" t="e">
        <f>+'[6]입력 시트(0124)'!X154</f>
        <v>#REF!</v>
      </c>
      <c r="Y155" s="799" t="s">
        <v>538</v>
      </c>
    </row>
    <row r="156" spans="2:25" ht="16.5" customHeight="1" outlineLevel="1">
      <c r="B156" s="735" t="s">
        <v>539</v>
      </c>
      <c r="C156" s="720" t="s">
        <v>301</v>
      </c>
      <c r="D156" s="721"/>
      <c r="E156" s="799">
        <f t="shared" ref="E156:L156" si="41">+E19</f>
        <v>46203</v>
      </c>
      <c r="F156" s="799">
        <f t="shared" si="41"/>
        <v>46203</v>
      </c>
      <c r="G156" s="799">
        <f t="shared" si="41"/>
        <v>46203</v>
      </c>
      <c r="H156" s="799">
        <f t="shared" si="41"/>
        <v>46203</v>
      </c>
      <c r="I156" s="799">
        <f t="shared" si="41"/>
        <v>46203</v>
      </c>
      <c r="J156" s="799">
        <f t="shared" si="41"/>
        <v>46203</v>
      </c>
      <c r="K156" s="799">
        <f t="shared" si="41"/>
        <v>46203</v>
      </c>
      <c r="L156" s="799">
        <f t="shared" si="41"/>
        <v>46203</v>
      </c>
      <c r="M156" s="799">
        <f t="shared" ref="M156:Q156" si="42">M19</f>
        <v>0</v>
      </c>
      <c r="N156" s="799">
        <f t="shared" si="42"/>
        <v>0</v>
      </c>
      <c r="O156" s="799">
        <f t="shared" si="42"/>
        <v>0</v>
      </c>
      <c r="P156" s="823">
        <f t="shared" si="42"/>
        <v>0</v>
      </c>
      <c r="Q156" s="799">
        <f t="shared" si="42"/>
        <v>0</v>
      </c>
      <c r="T156" s="799">
        <f t="shared" ref="T156:Y156" si="43">T19</f>
        <v>46203</v>
      </c>
      <c r="U156" s="799">
        <f t="shared" si="43"/>
        <v>46173</v>
      </c>
      <c r="V156" s="799">
        <f t="shared" si="43"/>
        <v>46173</v>
      </c>
      <c r="W156" s="799">
        <f t="shared" si="43"/>
        <v>46173</v>
      </c>
      <c r="X156" s="799">
        <f t="shared" si="43"/>
        <v>46173</v>
      </c>
      <c r="Y156" s="799">
        <f t="shared" si="43"/>
        <v>46203</v>
      </c>
    </row>
    <row r="157" spans="2:25" ht="34.9" customHeight="1" outlineLevel="1">
      <c r="B157" s="735" t="s">
        <v>540</v>
      </c>
      <c r="C157" s="1375" t="s">
        <v>563</v>
      </c>
      <c r="D157" s="1375"/>
      <c r="E157" s="803"/>
      <c r="F157" s="803"/>
      <c r="G157" s="803"/>
      <c r="H157" s="803"/>
      <c r="I157" s="803"/>
      <c r="J157" s="803"/>
      <c r="K157" s="803"/>
      <c r="L157" s="803"/>
      <c r="M157" s="803"/>
      <c r="N157" s="803"/>
      <c r="O157" s="803"/>
      <c r="P157" s="803"/>
      <c r="Q157" s="1041"/>
      <c r="T157" s="803"/>
      <c r="U157" s="803"/>
      <c r="V157" s="803"/>
      <c r="W157" s="803"/>
      <c r="X157" s="803"/>
      <c r="Y157" s="803"/>
    </row>
    <row r="158" spans="2:25" ht="16.5" customHeight="1" outlineLevel="1">
      <c r="B158" s="735"/>
      <c r="T158" s="777"/>
      <c r="U158" s="777"/>
      <c r="V158" s="777"/>
      <c r="W158" s="777"/>
      <c r="X158" s="777"/>
      <c r="Y158" s="777"/>
    </row>
    <row r="159" spans="2:25" s="707" customFormat="1" ht="15">
      <c r="C159" s="708"/>
      <c r="E159" s="779"/>
      <c r="F159" s="780"/>
      <c r="G159" s="780"/>
      <c r="H159" s="780"/>
      <c r="I159" s="780"/>
      <c r="J159" s="780"/>
      <c r="K159" s="780"/>
      <c r="L159" s="780"/>
      <c r="M159" s="780"/>
      <c r="N159" s="780"/>
      <c r="O159" s="780"/>
      <c r="P159" s="780"/>
      <c r="Q159" s="786" t="s">
        <v>564</v>
      </c>
      <c r="R159" s="781"/>
      <c r="S159" s="782"/>
      <c r="T159" s="780"/>
      <c r="U159" s="780"/>
      <c r="V159" s="780"/>
      <c r="W159" s="780"/>
      <c r="X159" s="780"/>
      <c r="Y159" s="780"/>
    </row>
    <row r="160" spans="2:25" s="707" customFormat="1" ht="27.75" customHeight="1">
      <c r="B160" s="713" t="s">
        <v>565</v>
      </c>
      <c r="C160" s="714"/>
      <c r="D160" s="714" t="s">
        <v>527</v>
      </c>
      <c r="E160" s="715" t="s">
        <v>528</v>
      </c>
      <c r="F160" s="715" t="s">
        <v>528</v>
      </c>
      <c r="G160" s="715" t="s">
        <v>528</v>
      </c>
      <c r="H160" s="715" t="s">
        <v>528</v>
      </c>
      <c r="I160" s="715" t="s">
        <v>528</v>
      </c>
      <c r="J160" s="715" t="s">
        <v>528</v>
      </c>
      <c r="K160" s="715" t="s">
        <v>528</v>
      </c>
      <c r="L160" s="715" t="s">
        <v>528</v>
      </c>
      <c r="M160" s="715" t="s">
        <v>528</v>
      </c>
      <c r="N160" s="715" t="s">
        <v>528</v>
      </c>
      <c r="O160" s="715" t="s">
        <v>528</v>
      </c>
      <c r="P160" s="715" t="s">
        <v>528</v>
      </c>
      <c r="Q160" s="715" t="s">
        <v>528</v>
      </c>
      <c r="R160" s="784"/>
      <c r="S160" s="783"/>
      <c r="T160" s="944" t="s">
        <v>528</v>
      </c>
      <c r="U160" s="944" t="s">
        <v>528</v>
      </c>
      <c r="V160" s="944" t="s">
        <v>528</v>
      </c>
      <c r="W160" s="944" t="s">
        <v>528</v>
      </c>
      <c r="X160" s="944" t="s">
        <v>528</v>
      </c>
      <c r="Y160" s="944" t="s">
        <v>528</v>
      </c>
    </row>
    <row r="161" spans="2:25" s="757" customFormat="1" ht="17.25" outlineLevel="1" thickBot="1">
      <c r="D161" s="1045"/>
      <c r="E161" s="1046"/>
      <c r="F161" s="1046"/>
      <c r="G161" s="1046"/>
      <c r="H161" s="1046"/>
      <c r="I161" s="1046"/>
      <c r="J161" s="1046"/>
      <c r="K161" s="1046"/>
      <c r="L161" s="1046"/>
      <c r="M161" s="758">
        <f t="shared" ref="M161:Q161" si="44">+M183+M218</f>
        <v>0</v>
      </c>
      <c r="N161" s="758">
        <f t="shared" si="44"/>
        <v>0</v>
      </c>
      <c r="O161" s="758">
        <f t="shared" si="44"/>
        <v>0</v>
      </c>
      <c r="P161" s="758">
        <f t="shared" si="44"/>
        <v>0</v>
      </c>
      <c r="Q161" s="787">
        <f t="shared" si="44"/>
        <v>0</v>
      </c>
      <c r="R161" s="785"/>
      <c r="T161" s="787">
        <f>+T183+T218</f>
        <v>0</v>
      </c>
      <c r="U161" s="787"/>
      <c r="V161" s="787"/>
      <c r="W161" s="787"/>
      <c r="X161" s="787"/>
      <c r="Y161" s="787">
        <f>+Y183+Y218</f>
        <v>0</v>
      </c>
    </row>
    <row r="162" spans="2:25" s="788" customFormat="1" ht="17.25" outlineLevel="1" thickBot="1">
      <c r="B162" s="789" t="s">
        <v>566</v>
      </c>
      <c r="C162" s="789"/>
      <c r="D162" s="789"/>
      <c r="E162" s="790">
        <f t="shared" ref="E162:Q162" si="45">E165+E183+E201</f>
        <v>183007000.00000003</v>
      </c>
      <c r="F162" s="791">
        <f t="shared" si="45"/>
        <v>549021000</v>
      </c>
      <c r="G162" s="791">
        <f t="shared" si="45"/>
        <v>157162500</v>
      </c>
      <c r="H162" s="791">
        <f t="shared" si="45"/>
        <v>780224500</v>
      </c>
      <c r="I162" s="791">
        <f t="shared" si="45"/>
        <v>574865500</v>
      </c>
      <c r="J162" s="791">
        <f t="shared" si="45"/>
        <v>163328000</v>
      </c>
      <c r="K162" s="791">
        <f t="shared" si="45"/>
        <v>987679000</v>
      </c>
      <c r="L162" s="791">
        <f t="shared" si="45"/>
        <v>1271270000</v>
      </c>
      <c r="M162" s="791">
        <f t="shared" si="45"/>
        <v>0</v>
      </c>
      <c r="N162" s="791">
        <f t="shared" si="45"/>
        <v>0</v>
      </c>
      <c r="O162" s="791">
        <f t="shared" si="45"/>
        <v>0</v>
      </c>
      <c r="P162" s="791">
        <f t="shared" si="45"/>
        <v>0</v>
      </c>
      <c r="Q162" s="791">
        <f t="shared" si="45"/>
        <v>0</v>
      </c>
      <c r="R162" s="792">
        <f>SUM(E162:Q162)</f>
        <v>4666557500</v>
      </c>
      <c r="T162" s="791">
        <f t="shared" ref="T162:Y162" si="46">T165+T183+T201</f>
        <v>0</v>
      </c>
      <c r="U162" s="791">
        <f t="shared" si="46"/>
        <v>0</v>
      </c>
      <c r="V162" s="791">
        <f t="shared" si="46"/>
        <v>0</v>
      </c>
      <c r="W162" s="791">
        <f t="shared" si="46"/>
        <v>0</v>
      </c>
      <c r="X162" s="791">
        <f t="shared" si="46"/>
        <v>0</v>
      </c>
      <c r="Y162" s="791">
        <f t="shared" si="46"/>
        <v>0</v>
      </c>
    </row>
    <row r="163" spans="2:25" outlineLevel="1">
      <c r="B163" s="803" t="s">
        <v>425</v>
      </c>
      <c r="C163" s="777"/>
      <c r="E163" s="775" t="b">
        <f>+E165+E183+E201+E218='Input 기초'!F53+'Input 기초'!F59</f>
        <v>1</v>
      </c>
      <c r="F163" s="775" t="b">
        <f>+F165+F183+F201+F218='Input 기초'!G53+'Input 기초'!G59</f>
        <v>1</v>
      </c>
      <c r="G163" s="775" t="b">
        <f>+G165+G183+G201+G218='Input 기초'!H53+'Input 기초'!H59</f>
        <v>1</v>
      </c>
      <c r="H163" s="775" t="b">
        <f>+H165+H183+H201+H218='Input 기초'!I53+'Input 기초'!I59</f>
        <v>1</v>
      </c>
      <c r="I163" s="775" t="b">
        <f>+I165+I183+I201+I218='Input 기초'!J53+'Input 기초'!J59</f>
        <v>1</v>
      </c>
      <c r="J163" s="775" t="b">
        <f>+J165+J183+J201+J218='Input 기초'!K53+'Input 기초'!K59</f>
        <v>1</v>
      </c>
      <c r="K163" s="775" t="b">
        <f>+K165+K183+K201+K218='Input 기초'!L53+'Input 기초'!L59</f>
        <v>1</v>
      </c>
      <c r="L163" s="775" t="b">
        <f>+L165+L183+L201+L218='Input 기초'!M53+'Input 기초'!M59</f>
        <v>1</v>
      </c>
      <c r="M163" s="775" t="b">
        <f>+M165+M183+M201+M218='Input 기초'!N53+'Input 기초'!N59</f>
        <v>1</v>
      </c>
      <c r="N163" s="775" t="b">
        <f>+N165+N183+N201+N218='Input 기초'!O53+'Input 기초'!O59</f>
        <v>1</v>
      </c>
      <c r="O163" s="775" t="b">
        <f>+O165+O183+O201+O218='Input 기초'!P53+'Input 기초'!P59</f>
        <v>1</v>
      </c>
      <c r="P163" s="775" t="b">
        <f>+P165+P183+P201+P218='Input 기초'!Q53+'Input 기초'!Q59</f>
        <v>1</v>
      </c>
      <c r="Q163" s="775" t="b">
        <f>+Q165+Q183+Q201+Q218='Input 기초'!R53+'Input 기초'!R59</f>
        <v>1</v>
      </c>
      <c r="T163" s="952" t="b">
        <f>+T165+T183+T201+T218='Input 기초'!U78+'Input 기초'!U84</f>
        <v>1</v>
      </c>
      <c r="U163" s="952" t="b">
        <f>+U165+U183+U201+U218='Input 기초'!V78+'Input 기초'!V84</f>
        <v>1</v>
      </c>
      <c r="V163" s="952" t="b">
        <f>+V165+V183+V201+V218='Input 기초'!W78+'Input 기초'!W84</f>
        <v>1</v>
      </c>
      <c r="W163" s="952" t="b">
        <f>+W165+W183+W201+W218='Input 기초'!X78+'Input 기초'!X84</f>
        <v>1</v>
      </c>
      <c r="X163" s="952" t="b">
        <f>+X165+X183+X201+X218='Input 기초'!Y78+'Input 기초'!Y84</f>
        <v>1</v>
      </c>
      <c r="Y163" s="952" t="b">
        <f>+Y165+Y183+Y201+Y218='Input 기초'!Z78+'Input 기초'!Z84</f>
        <v>1</v>
      </c>
    </row>
    <row r="164" spans="2:25" ht="16.5" customHeight="1" outlineLevel="1">
      <c r="B164" s="735" t="s">
        <v>487</v>
      </c>
      <c r="C164" s="777"/>
      <c r="D164" s="777"/>
      <c r="E164" s="801"/>
      <c r="F164" s="801"/>
      <c r="G164" s="801"/>
      <c r="H164" s="801"/>
      <c r="I164" s="801"/>
      <c r="J164" s="801"/>
      <c r="K164" s="801"/>
      <c r="L164" s="801"/>
      <c r="M164" s="801"/>
      <c r="N164" s="801"/>
      <c r="O164" s="801"/>
      <c r="P164" s="801"/>
      <c r="Q164" s="801"/>
      <c r="T164" s="801"/>
      <c r="U164" s="801"/>
      <c r="V164" s="801"/>
      <c r="W164" s="801"/>
      <c r="X164" s="801"/>
      <c r="Y164" s="801"/>
    </row>
    <row r="165" spans="2:25" outlineLevel="1">
      <c r="B165" s="735" t="s">
        <v>528</v>
      </c>
      <c r="D165" s="813" t="s">
        <v>567</v>
      </c>
      <c r="E165" s="821">
        <f>+'Input 기초'!F54</f>
        <v>133096000.00000001</v>
      </c>
      <c r="F165" s="821">
        <f>+'Input 기초'!G54</f>
        <v>399288000</v>
      </c>
      <c r="G165" s="821">
        <f>+'Input 기초'!H54</f>
        <v>114300000</v>
      </c>
      <c r="H165" s="821">
        <f>+'Input 기초'!I54</f>
        <v>567436000</v>
      </c>
      <c r="I165" s="821">
        <f>+'Input 기초'!J54</f>
        <v>418084000</v>
      </c>
      <c r="J165" s="821">
        <f>+'Input 기초'!K54</f>
        <v>118784000</v>
      </c>
      <c r="K165" s="821">
        <f>+'Input 기초'!L54</f>
        <v>718312000</v>
      </c>
      <c r="L165" s="821">
        <f>+'Input 기초'!M54</f>
        <v>924560000</v>
      </c>
      <c r="M165" s="821">
        <f>+'Input 기초'!N54</f>
        <v>0</v>
      </c>
      <c r="N165" s="821">
        <f>+'Input 기초'!O54</f>
        <v>0</v>
      </c>
      <c r="O165" s="821">
        <f>+'Input 기초'!P54</f>
        <v>0</v>
      </c>
      <c r="P165" s="821">
        <f>+'Input 기초'!Q54</f>
        <v>0</v>
      </c>
      <c r="Q165" s="821">
        <f>+'Input 기초'!R54</f>
        <v>0</v>
      </c>
      <c r="T165" s="821">
        <f>+'Input 기초'!U79</f>
        <v>0</v>
      </c>
      <c r="U165" s="821">
        <f>+'Input 기초'!V79</f>
        <v>0</v>
      </c>
      <c r="V165" s="821">
        <f>+'Input 기초'!W79</f>
        <v>0</v>
      </c>
      <c r="W165" s="821">
        <f>+'Input 기초'!X79</f>
        <v>0</v>
      </c>
      <c r="X165" s="821">
        <f>+'Input 기초'!Y79</f>
        <v>0</v>
      </c>
      <c r="Y165" s="821">
        <f>+'Input 기초'!Z79</f>
        <v>0</v>
      </c>
    </row>
    <row r="166" spans="2:25" ht="16.5" customHeight="1" outlineLevel="1">
      <c r="B166" s="735" t="s">
        <v>542</v>
      </c>
      <c r="D166" s="721" t="s">
        <v>533</v>
      </c>
      <c r="E166" s="822">
        <v>1</v>
      </c>
      <c r="F166" s="822">
        <v>1</v>
      </c>
      <c r="G166" s="822">
        <v>1</v>
      </c>
      <c r="H166" s="822">
        <v>1</v>
      </c>
      <c r="I166" s="822">
        <v>1</v>
      </c>
      <c r="J166" s="822">
        <v>1</v>
      </c>
      <c r="K166" s="822">
        <v>1</v>
      </c>
      <c r="L166" s="822">
        <v>1</v>
      </c>
      <c r="M166" s="822">
        <v>1</v>
      </c>
      <c r="N166" s="822">
        <v>1</v>
      </c>
      <c r="O166" s="822">
        <v>1</v>
      </c>
      <c r="P166" s="822">
        <v>1</v>
      </c>
      <c r="Q166" s="822">
        <v>1</v>
      </c>
      <c r="T166" s="822">
        <v>1</v>
      </c>
      <c r="U166" s="822">
        <v>1</v>
      </c>
      <c r="V166" s="822">
        <v>1</v>
      </c>
      <c r="W166" s="822">
        <v>1</v>
      </c>
      <c r="X166" s="822">
        <v>1</v>
      </c>
      <c r="Y166" s="822">
        <v>1</v>
      </c>
    </row>
    <row r="167" spans="2:25" ht="16.5" customHeight="1" outlineLevel="1">
      <c r="B167" s="735" t="s">
        <v>534</v>
      </c>
      <c r="D167" s="721" t="s">
        <v>301</v>
      </c>
      <c r="E167" s="823"/>
      <c r="F167" s="823"/>
      <c r="G167" s="823"/>
      <c r="H167" s="823"/>
      <c r="I167" s="823"/>
      <c r="J167" s="823"/>
      <c r="K167" s="823"/>
      <c r="L167" s="823"/>
      <c r="M167" s="823"/>
      <c r="N167" s="823"/>
      <c r="O167" s="823"/>
      <c r="P167" s="823"/>
      <c r="Q167" s="823"/>
      <c r="T167" s="823"/>
      <c r="U167" s="823"/>
      <c r="V167" s="823"/>
      <c r="W167" s="823"/>
      <c r="X167" s="823"/>
      <c r="Y167" s="823"/>
    </row>
    <row r="168" spans="2:25" ht="16.5" customHeight="1" outlineLevel="1">
      <c r="B168" s="735" t="s">
        <v>536</v>
      </c>
      <c r="D168" s="721" t="s">
        <v>309</v>
      </c>
      <c r="E168" s="824"/>
      <c r="F168" s="824"/>
      <c r="G168" s="824"/>
      <c r="H168" s="824"/>
      <c r="I168" s="824"/>
      <c r="J168" s="824"/>
      <c r="K168" s="824"/>
      <c r="L168" s="824"/>
      <c r="M168" s="824"/>
      <c r="N168" s="824"/>
      <c r="O168" s="824"/>
      <c r="P168" s="824"/>
      <c r="Q168" s="824"/>
      <c r="T168" s="824"/>
      <c r="U168" s="824"/>
      <c r="V168" s="824"/>
      <c r="W168" s="824"/>
      <c r="X168" s="824"/>
      <c r="Y168" s="824"/>
    </row>
    <row r="169" spans="2:25" outlineLevel="1">
      <c r="B169" s="735" t="s">
        <v>568</v>
      </c>
      <c r="C169" s="740" t="s">
        <v>569</v>
      </c>
      <c r="D169" s="716">
        <v>1</v>
      </c>
      <c r="E169" s="825">
        <v>0.5</v>
      </c>
      <c r="F169" s="825">
        <v>0.5</v>
      </c>
      <c r="G169" s="825">
        <v>0.5</v>
      </c>
      <c r="H169" s="825">
        <v>0.5</v>
      </c>
      <c r="I169" s="825">
        <v>0.5</v>
      </c>
      <c r="J169" s="825">
        <v>0.5</v>
      </c>
      <c r="K169" s="825">
        <v>0.5</v>
      </c>
      <c r="L169" s="825">
        <v>0.5</v>
      </c>
      <c r="M169" s="825">
        <v>0.5</v>
      </c>
      <c r="N169" s="825">
        <v>0.5</v>
      </c>
      <c r="O169" s="825">
        <v>0.5</v>
      </c>
      <c r="P169" s="825">
        <v>0.5</v>
      </c>
      <c r="Q169" s="825">
        <v>0.5</v>
      </c>
      <c r="T169" s="825">
        <v>0.5</v>
      </c>
      <c r="U169" s="825">
        <v>0.5</v>
      </c>
      <c r="V169" s="825">
        <v>0.5</v>
      </c>
      <c r="W169" s="825">
        <v>0.5</v>
      </c>
      <c r="X169" s="825">
        <v>0.5</v>
      </c>
      <c r="Y169" s="825">
        <v>0.5</v>
      </c>
    </row>
    <row r="170" spans="2:25" outlineLevel="1">
      <c r="B170" s="735"/>
      <c r="C170" s="740" t="s">
        <v>309</v>
      </c>
      <c r="D170" s="716">
        <f t="shared" ref="D170:D178" si="47">+D169+1</f>
        <v>2</v>
      </c>
      <c r="E170" s="825">
        <v>0</v>
      </c>
      <c r="F170" s="825">
        <v>0</v>
      </c>
      <c r="G170" s="825">
        <v>0</v>
      </c>
      <c r="H170" s="825">
        <v>0</v>
      </c>
      <c r="I170" s="825">
        <v>0</v>
      </c>
      <c r="J170" s="825">
        <v>0</v>
      </c>
      <c r="K170" s="825">
        <v>0</v>
      </c>
      <c r="L170" s="825">
        <v>0</v>
      </c>
      <c r="M170" s="825">
        <v>0</v>
      </c>
      <c r="N170" s="825">
        <v>0</v>
      </c>
      <c r="O170" s="825">
        <v>0</v>
      </c>
      <c r="P170" s="825">
        <v>0</v>
      </c>
      <c r="Q170" s="825">
        <v>0</v>
      </c>
      <c r="T170" s="825">
        <v>0</v>
      </c>
      <c r="U170" s="825">
        <v>0</v>
      </c>
      <c r="V170" s="825">
        <v>0</v>
      </c>
      <c r="W170" s="825">
        <v>0</v>
      </c>
      <c r="X170" s="825">
        <v>0</v>
      </c>
      <c r="Y170" s="825">
        <v>0</v>
      </c>
    </row>
    <row r="171" spans="2:25" outlineLevel="1">
      <c r="B171" s="735"/>
      <c r="C171" s="740" t="s">
        <v>309</v>
      </c>
      <c r="D171" s="716">
        <f t="shared" si="47"/>
        <v>3</v>
      </c>
      <c r="E171" s="825">
        <v>0.4</v>
      </c>
      <c r="F171" s="825">
        <v>0.4</v>
      </c>
      <c r="G171" s="825">
        <v>0.4</v>
      </c>
      <c r="H171" s="825">
        <v>0.4</v>
      </c>
      <c r="I171" s="825">
        <v>0.4</v>
      </c>
      <c r="J171" s="825">
        <v>0.4</v>
      </c>
      <c r="K171" s="825">
        <v>0.4</v>
      </c>
      <c r="L171" s="825">
        <v>0.4</v>
      </c>
      <c r="M171" s="825">
        <v>0</v>
      </c>
      <c r="N171" s="825">
        <v>0</v>
      </c>
      <c r="O171" s="825">
        <v>0</v>
      </c>
      <c r="P171" s="825">
        <v>0</v>
      </c>
      <c r="Q171" s="825">
        <v>0</v>
      </c>
      <c r="T171" s="825">
        <v>0</v>
      </c>
      <c r="U171" s="825">
        <v>0</v>
      </c>
      <c r="V171" s="825">
        <v>0</v>
      </c>
      <c r="W171" s="825">
        <v>0</v>
      </c>
      <c r="X171" s="825">
        <v>0</v>
      </c>
      <c r="Y171" s="825">
        <v>0</v>
      </c>
    </row>
    <row r="172" spans="2:25" outlineLevel="1">
      <c r="B172" s="735"/>
      <c r="C172" s="740" t="s">
        <v>309</v>
      </c>
      <c r="D172" s="716">
        <f t="shared" si="47"/>
        <v>4</v>
      </c>
      <c r="E172" s="825">
        <v>0.1</v>
      </c>
      <c r="F172" s="825">
        <v>0.1</v>
      </c>
      <c r="G172" s="825">
        <v>0.1</v>
      </c>
      <c r="H172" s="825">
        <v>0.1</v>
      </c>
      <c r="I172" s="825">
        <v>0.1</v>
      </c>
      <c r="J172" s="825">
        <v>0.1</v>
      </c>
      <c r="K172" s="825">
        <v>0.1</v>
      </c>
      <c r="L172" s="825">
        <v>0.1</v>
      </c>
      <c r="M172" s="825">
        <v>0.4</v>
      </c>
      <c r="N172" s="825">
        <v>0.4</v>
      </c>
      <c r="O172" s="825">
        <v>0.4</v>
      </c>
      <c r="P172" s="825">
        <v>0.4</v>
      </c>
      <c r="Q172" s="825">
        <v>0.4</v>
      </c>
      <c r="T172" s="825">
        <v>0.4</v>
      </c>
      <c r="U172" s="825">
        <v>0.4</v>
      </c>
      <c r="V172" s="825">
        <v>0.4</v>
      </c>
      <c r="W172" s="825">
        <v>0.4</v>
      </c>
      <c r="X172" s="825">
        <v>0.4</v>
      </c>
      <c r="Y172" s="825">
        <v>0.4</v>
      </c>
    </row>
    <row r="173" spans="2:25" outlineLevel="1">
      <c r="B173" s="735"/>
      <c r="C173" s="740" t="s">
        <v>309</v>
      </c>
      <c r="D173" s="716">
        <f t="shared" si="47"/>
        <v>5</v>
      </c>
      <c r="E173" s="825">
        <v>0</v>
      </c>
      <c r="F173" s="825">
        <v>0</v>
      </c>
      <c r="G173" s="825">
        <v>0</v>
      </c>
      <c r="H173" s="825">
        <v>0</v>
      </c>
      <c r="I173" s="825">
        <v>0</v>
      </c>
      <c r="J173" s="825">
        <v>0</v>
      </c>
      <c r="K173" s="825">
        <v>0</v>
      </c>
      <c r="L173" s="825">
        <v>0</v>
      </c>
      <c r="M173" s="825">
        <v>0.1</v>
      </c>
      <c r="N173" s="825">
        <v>0.1</v>
      </c>
      <c r="O173" s="825">
        <v>0.1</v>
      </c>
      <c r="P173" s="825">
        <v>0.1</v>
      </c>
      <c r="Q173" s="825">
        <v>0.1</v>
      </c>
      <c r="T173" s="825">
        <v>0.1</v>
      </c>
      <c r="U173" s="825">
        <v>0.1</v>
      </c>
      <c r="V173" s="825">
        <v>0.1</v>
      </c>
      <c r="W173" s="825">
        <v>0.1</v>
      </c>
      <c r="X173" s="825">
        <v>0.1</v>
      </c>
      <c r="Y173" s="825">
        <v>0.1</v>
      </c>
    </row>
    <row r="174" spans="2:25" outlineLevel="1">
      <c r="B174" s="735"/>
      <c r="C174" s="740" t="s">
        <v>309</v>
      </c>
      <c r="D174" s="716">
        <f t="shared" si="47"/>
        <v>6</v>
      </c>
      <c r="E174" s="825">
        <v>0</v>
      </c>
      <c r="F174" s="825">
        <v>0</v>
      </c>
      <c r="G174" s="825">
        <v>0</v>
      </c>
      <c r="H174" s="825">
        <v>0</v>
      </c>
      <c r="I174" s="825">
        <v>0</v>
      </c>
      <c r="J174" s="825">
        <v>0</v>
      </c>
      <c r="K174" s="825">
        <v>0</v>
      </c>
      <c r="L174" s="825">
        <v>0</v>
      </c>
      <c r="M174" s="825">
        <v>0</v>
      </c>
      <c r="N174" s="825">
        <v>0</v>
      </c>
      <c r="O174" s="825">
        <v>0</v>
      </c>
      <c r="P174" s="825">
        <v>0</v>
      </c>
      <c r="Q174" s="825">
        <v>0</v>
      </c>
      <c r="T174" s="825">
        <v>0</v>
      </c>
      <c r="U174" s="825">
        <v>0</v>
      </c>
      <c r="V174" s="825">
        <v>0</v>
      </c>
      <c r="W174" s="825">
        <v>0</v>
      </c>
      <c r="X174" s="825">
        <v>0</v>
      </c>
      <c r="Y174" s="825">
        <v>0</v>
      </c>
    </row>
    <row r="175" spans="2:25" outlineLevel="1">
      <c r="B175" s="735"/>
      <c r="C175" s="740" t="s">
        <v>309</v>
      </c>
      <c r="D175" s="716">
        <f t="shared" si="47"/>
        <v>7</v>
      </c>
      <c r="E175" s="825">
        <v>0</v>
      </c>
      <c r="F175" s="825">
        <v>0</v>
      </c>
      <c r="G175" s="825">
        <v>0</v>
      </c>
      <c r="H175" s="825">
        <v>0</v>
      </c>
      <c r="I175" s="825">
        <v>0</v>
      </c>
      <c r="J175" s="825">
        <v>0</v>
      </c>
      <c r="K175" s="825">
        <v>0</v>
      </c>
      <c r="L175" s="825">
        <v>0</v>
      </c>
      <c r="M175" s="825">
        <v>0</v>
      </c>
      <c r="N175" s="825">
        <v>0</v>
      </c>
      <c r="O175" s="825">
        <v>0</v>
      </c>
      <c r="P175" s="825">
        <v>0</v>
      </c>
      <c r="Q175" s="825">
        <v>0</v>
      </c>
      <c r="T175" s="825">
        <v>0</v>
      </c>
      <c r="U175" s="825">
        <v>0</v>
      </c>
      <c r="V175" s="825">
        <v>0</v>
      </c>
      <c r="W175" s="825">
        <v>0</v>
      </c>
      <c r="X175" s="825">
        <v>0</v>
      </c>
      <c r="Y175" s="825">
        <v>0</v>
      </c>
    </row>
    <row r="176" spans="2:25" outlineLevel="2">
      <c r="B176" s="735"/>
      <c r="C176" s="740" t="s">
        <v>309</v>
      </c>
      <c r="D176" s="716">
        <f t="shared" si="47"/>
        <v>8</v>
      </c>
      <c r="E176" s="825"/>
      <c r="F176" s="825"/>
      <c r="G176" s="825"/>
      <c r="H176" s="825"/>
      <c r="I176" s="825"/>
      <c r="J176" s="825"/>
      <c r="K176" s="825"/>
      <c r="L176" s="825"/>
      <c r="M176" s="825"/>
      <c r="N176" s="825"/>
      <c r="O176" s="825"/>
      <c r="P176" s="825"/>
      <c r="Q176" s="825"/>
      <c r="T176" s="825"/>
      <c r="U176" s="825"/>
      <c r="V176" s="825"/>
      <c r="W176" s="825"/>
      <c r="X176" s="825"/>
      <c r="Y176" s="825"/>
    </row>
    <row r="177" spans="2:25" outlineLevel="2">
      <c r="B177" s="735"/>
      <c r="C177" s="740" t="s">
        <v>309</v>
      </c>
      <c r="D177" s="716">
        <f t="shared" si="47"/>
        <v>9</v>
      </c>
      <c r="E177" s="825"/>
      <c r="F177" s="825"/>
      <c r="G177" s="825"/>
      <c r="H177" s="825"/>
      <c r="I177" s="825"/>
      <c r="J177" s="825"/>
      <c r="K177" s="825"/>
      <c r="L177" s="825"/>
      <c r="M177" s="825"/>
      <c r="N177" s="825"/>
      <c r="O177" s="825"/>
      <c r="P177" s="825"/>
      <c r="Q177" s="825"/>
      <c r="T177" s="825"/>
      <c r="U177" s="825"/>
      <c r="V177" s="825"/>
      <c r="W177" s="825"/>
      <c r="X177" s="825"/>
      <c r="Y177" s="825"/>
    </row>
    <row r="178" spans="2:25" outlineLevel="2">
      <c r="B178" s="735"/>
      <c r="C178" s="740" t="s">
        <v>309</v>
      </c>
      <c r="D178" s="716">
        <f t="shared" si="47"/>
        <v>10</v>
      </c>
      <c r="E178" s="825"/>
      <c r="F178" s="825"/>
      <c r="G178" s="825"/>
      <c r="H178" s="825"/>
      <c r="I178" s="825"/>
      <c r="J178" s="825"/>
      <c r="K178" s="825"/>
      <c r="L178" s="825"/>
      <c r="M178" s="825"/>
      <c r="N178" s="825"/>
      <c r="O178" s="825"/>
      <c r="P178" s="825"/>
      <c r="Q178" s="825"/>
      <c r="T178" s="825"/>
      <c r="U178" s="825"/>
      <c r="V178" s="825"/>
      <c r="W178" s="825"/>
      <c r="X178" s="825"/>
      <c r="Y178" s="825"/>
    </row>
    <row r="179" spans="2:25" ht="13.5" outlineLevel="1">
      <c r="B179" s="735" t="s">
        <v>540</v>
      </c>
      <c r="C179" s="1375" t="s">
        <v>570</v>
      </c>
      <c r="D179" s="1375"/>
      <c r="E179" s="826"/>
      <c r="F179" s="826"/>
      <c r="G179" s="826"/>
      <c r="H179" s="826"/>
      <c r="I179" s="826"/>
      <c r="J179" s="826"/>
      <c r="K179" s="826"/>
      <c r="L179" s="826"/>
      <c r="M179" s="826"/>
      <c r="N179" s="826"/>
      <c r="O179" s="826"/>
      <c r="P179" s="826"/>
      <c r="Q179" s="826"/>
      <c r="T179" s="826"/>
      <c r="U179" s="826"/>
      <c r="V179" s="826"/>
      <c r="W179" s="826"/>
      <c r="X179" s="826"/>
      <c r="Y179" s="826"/>
    </row>
    <row r="180" spans="2:25" outlineLevel="1">
      <c r="E180" s="754"/>
      <c r="F180" s="754"/>
      <c r="G180" s="754"/>
      <c r="H180" s="754"/>
      <c r="I180" s="754"/>
      <c r="J180" s="754"/>
      <c r="K180" s="754"/>
      <c r="L180" s="754"/>
      <c r="M180" s="754"/>
      <c r="N180" s="754"/>
      <c r="O180" s="754"/>
      <c r="P180" s="754"/>
      <c r="Q180" s="754"/>
      <c r="T180" s="955"/>
      <c r="U180" s="955"/>
      <c r="V180" s="955"/>
      <c r="W180" s="955"/>
      <c r="X180" s="955"/>
      <c r="Y180" s="955"/>
    </row>
    <row r="181" spans="2:25" outlineLevel="1">
      <c r="B181" s="803" t="s">
        <v>427</v>
      </c>
      <c r="D181" s="749"/>
      <c r="E181" s="755">
        <f>+E183/E24</f>
        <v>180000000</v>
      </c>
      <c r="F181" s="755"/>
      <c r="G181" s="755"/>
      <c r="H181" s="755"/>
      <c r="I181" s="755"/>
      <c r="J181" s="755">
        <f t="shared" ref="J181:Q181" si="48">+J183/J24</f>
        <v>180000000</v>
      </c>
      <c r="K181" s="755">
        <f t="shared" si="48"/>
        <v>180000000</v>
      </c>
      <c r="L181" s="755">
        <f t="shared" si="48"/>
        <v>180000000</v>
      </c>
      <c r="M181" s="755" t="e">
        <f t="shared" si="48"/>
        <v>#DIV/0!</v>
      </c>
      <c r="N181" s="755" t="e">
        <f t="shared" si="48"/>
        <v>#DIV/0!</v>
      </c>
      <c r="O181" s="755" t="e">
        <f t="shared" si="48"/>
        <v>#DIV/0!</v>
      </c>
      <c r="P181" s="755" t="e">
        <f t="shared" si="48"/>
        <v>#DIV/0!</v>
      </c>
      <c r="Q181" s="755" t="e">
        <f t="shared" si="48"/>
        <v>#DIV/0!</v>
      </c>
      <c r="T181" s="956">
        <f>+T183/T24</f>
        <v>0</v>
      </c>
      <c r="U181" s="956"/>
      <c r="V181" s="956"/>
      <c r="W181" s="956"/>
      <c r="X181" s="956"/>
      <c r="Y181" s="956">
        <f>+Y183/Y24</f>
        <v>0</v>
      </c>
    </row>
    <row r="182" spans="2:25" ht="16.5" customHeight="1" outlineLevel="1">
      <c r="B182" s="735" t="s">
        <v>487</v>
      </c>
      <c r="C182" s="760"/>
      <c r="D182" s="759"/>
      <c r="E182" s="801"/>
      <c r="F182" s="801"/>
      <c r="G182" s="801"/>
      <c r="H182" s="801"/>
      <c r="I182" s="801"/>
      <c r="J182" s="801"/>
      <c r="K182" s="801"/>
      <c r="L182" s="801"/>
      <c r="M182" s="801"/>
      <c r="N182" s="801"/>
      <c r="O182" s="801"/>
      <c r="P182" s="801"/>
      <c r="Q182" s="801"/>
      <c r="R182" s="745"/>
      <c r="T182" s="801"/>
      <c r="U182" s="801"/>
      <c r="V182" s="801"/>
      <c r="W182" s="801"/>
      <c r="X182" s="801"/>
      <c r="Y182" s="801"/>
    </row>
    <row r="183" spans="2:25" outlineLevel="1">
      <c r="B183" s="735" t="s">
        <v>528</v>
      </c>
      <c r="D183" s="813" t="s">
        <v>571</v>
      </c>
      <c r="E183" s="821">
        <f>+'Input 기초'!F55</f>
        <v>29946600.000000004</v>
      </c>
      <c r="F183" s="821">
        <f>+'Input 기초'!G55</f>
        <v>89839800</v>
      </c>
      <c r="G183" s="821">
        <f>+'Input 기초'!H55</f>
        <v>25717500</v>
      </c>
      <c r="H183" s="821">
        <f>+'Input 기초'!I55</f>
        <v>127673100</v>
      </c>
      <c r="I183" s="821">
        <f>+'Input 기초'!J55</f>
        <v>94068900</v>
      </c>
      <c r="J183" s="821">
        <f>+'Input 기초'!K55</f>
        <v>26726400</v>
      </c>
      <c r="K183" s="821">
        <f>+'Input 기초'!L55</f>
        <v>161620200</v>
      </c>
      <c r="L183" s="821">
        <f>+'Input 기초'!M55</f>
        <v>208026000</v>
      </c>
      <c r="M183" s="821">
        <f>+'Input 기초'!N55</f>
        <v>0</v>
      </c>
      <c r="N183" s="821">
        <f>+'Input 기초'!O55</f>
        <v>0</v>
      </c>
      <c r="O183" s="821">
        <f>+'Input 기초'!P55</f>
        <v>0</v>
      </c>
      <c r="P183" s="821">
        <f>+'Input 기초'!Q55</f>
        <v>0</v>
      </c>
      <c r="Q183" s="821">
        <f>+'Input 기초'!R55</f>
        <v>0</v>
      </c>
      <c r="R183" s="761"/>
      <c r="T183" s="821">
        <f>+'Input 기초'!U80</f>
        <v>0</v>
      </c>
      <c r="U183" s="821">
        <f>+'Input 기초'!V80</f>
        <v>0</v>
      </c>
      <c r="V183" s="821">
        <f>+'Input 기초'!W80</f>
        <v>0</v>
      </c>
      <c r="W183" s="821">
        <f>+'Input 기초'!X80</f>
        <v>0</v>
      </c>
      <c r="X183" s="821">
        <f>+'Input 기초'!Y80</f>
        <v>0</v>
      </c>
      <c r="Y183" s="821">
        <f>+'Input 기초'!Z80</f>
        <v>0</v>
      </c>
    </row>
    <row r="184" spans="2:25" ht="16.5" customHeight="1" outlineLevel="1">
      <c r="B184" s="735" t="s">
        <v>542</v>
      </c>
      <c r="D184" s="721" t="s">
        <v>533</v>
      </c>
      <c r="E184" s="822">
        <v>1</v>
      </c>
      <c r="F184" s="822">
        <v>1</v>
      </c>
      <c r="G184" s="822">
        <v>1</v>
      </c>
      <c r="H184" s="822">
        <v>1</v>
      </c>
      <c r="I184" s="822">
        <v>1</v>
      </c>
      <c r="J184" s="822">
        <v>1</v>
      </c>
      <c r="K184" s="822">
        <v>1</v>
      </c>
      <c r="L184" s="822">
        <v>1</v>
      </c>
      <c r="M184" s="822">
        <v>1</v>
      </c>
      <c r="N184" s="822">
        <v>1</v>
      </c>
      <c r="O184" s="822">
        <v>1</v>
      </c>
      <c r="P184" s="822">
        <v>1</v>
      </c>
      <c r="Q184" s="822">
        <v>1</v>
      </c>
      <c r="T184" s="822">
        <v>1</v>
      </c>
      <c r="U184" s="822">
        <v>1</v>
      </c>
      <c r="V184" s="822">
        <v>1</v>
      </c>
      <c r="W184" s="822">
        <v>1</v>
      </c>
      <c r="X184" s="822">
        <v>1</v>
      </c>
      <c r="Y184" s="822">
        <v>1</v>
      </c>
    </row>
    <row r="185" spans="2:25" ht="16.5" customHeight="1" outlineLevel="1">
      <c r="B185" s="735" t="s">
        <v>534</v>
      </c>
      <c r="C185" s="740" t="s">
        <v>572</v>
      </c>
      <c r="D185" s="721" t="s">
        <v>301</v>
      </c>
      <c r="E185" s="823"/>
      <c r="F185" s="823"/>
      <c r="G185" s="823"/>
      <c r="H185" s="823"/>
      <c r="I185" s="823"/>
      <c r="J185" s="823"/>
      <c r="K185" s="823"/>
      <c r="L185" s="823"/>
      <c r="M185" s="823"/>
      <c r="N185" s="823"/>
      <c r="O185" s="823"/>
      <c r="P185" s="823"/>
      <c r="Q185" s="823"/>
      <c r="T185" s="823"/>
      <c r="U185" s="823"/>
      <c r="V185" s="823"/>
      <c r="W185" s="823"/>
      <c r="X185" s="823"/>
      <c r="Y185" s="823"/>
    </row>
    <row r="186" spans="2:25" ht="16.5" customHeight="1" outlineLevel="1">
      <c r="B186" s="735" t="s">
        <v>536</v>
      </c>
      <c r="D186" s="721" t="s">
        <v>309</v>
      </c>
      <c r="E186" s="824"/>
      <c r="F186" s="824"/>
      <c r="G186" s="824"/>
      <c r="H186" s="824"/>
      <c r="I186" s="824"/>
      <c r="J186" s="824"/>
      <c r="K186" s="824"/>
      <c r="L186" s="824"/>
      <c r="M186" s="824"/>
      <c r="N186" s="824"/>
      <c r="O186" s="824"/>
      <c r="P186" s="824"/>
      <c r="Q186" s="824"/>
      <c r="T186" s="824"/>
      <c r="U186" s="824"/>
      <c r="V186" s="824"/>
      <c r="W186" s="824"/>
      <c r="X186" s="824"/>
      <c r="Y186" s="824"/>
    </row>
    <row r="187" spans="2:25" outlineLevel="1">
      <c r="B187" s="735" t="s">
        <v>568</v>
      </c>
      <c r="C187" s="740" t="s">
        <v>569</v>
      </c>
      <c r="D187" s="716">
        <v>1</v>
      </c>
      <c r="E187" s="825">
        <v>1</v>
      </c>
      <c r="F187" s="825">
        <v>1</v>
      </c>
      <c r="G187" s="825">
        <v>1</v>
      </c>
      <c r="H187" s="825">
        <v>1</v>
      </c>
      <c r="I187" s="825">
        <v>1</v>
      </c>
      <c r="J187" s="825">
        <v>1</v>
      </c>
      <c r="K187" s="825">
        <v>1</v>
      </c>
      <c r="L187" s="825">
        <v>1</v>
      </c>
      <c r="M187" s="825">
        <v>1</v>
      </c>
      <c r="N187" s="825">
        <v>1</v>
      </c>
      <c r="O187" s="825">
        <v>1</v>
      </c>
      <c r="P187" s="825">
        <v>1</v>
      </c>
      <c r="Q187" s="825">
        <v>1</v>
      </c>
      <c r="T187" s="825">
        <v>1</v>
      </c>
      <c r="U187" s="825">
        <v>1</v>
      </c>
      <c r="V187" s="825">
        <v>1</v>
      </c>
      <c r="W187" s="825">
        <v>1</v>
      </c>
      <c r="X187" s="825">
        <v>1</v>
      </c>
      <c r="Y187" s="825">
        <v>1</v>
      </c>
    </row>
    <row r="188" spans="2:25" hidden="1" outlineLevel="1">
      <c r="B188" s="735"/>
      <c r="C188" s="740" t="s">
        <v>309</v>
      </c>
      <c r="D188" s="716">
        <f t="shared" ref="D188:D196" si="49">+D187+1</f>
        <v>2</v>
      </c>
      <c r="E188" s="825">
        <f>+'[6]입력 시트(0124)'!E200</f>
        <v>0</v>
      </c>
      <c r="F188" s="825">
        <f>+'[6]입력 시트(0124)'!F200</f>
        <v>0</v>
      </c>
      <c r="G188" s="825">
        <f>+'[6]입력 시트(0124)'!G200</f>
        <v>0</v>
      </c>
      <c r="H188" s="825">
        <f>+'[6]입력 시트(0124)'!H200</f>
        <v>0</v>
      </c>
      <c r="I188" s="825">
        <f>+'[6]입력 시트(0124)'!I200</f>
        <v>0</v>
      </c>
      <c r="J188" s="825">
        <v>0</v>
      </c>
      <c r="K188" s="825">
        <v>0</v>
      </c>
      <c r="L188" s="825">
        <v>0</v>
      </c>
      <c r="M188" s="825">
        <v>0</v>
      </c>
      <c r="N188" s="825">
        <v>0</v>
      </c>
      <c r="O188" s="825">
        <v>0</v>
      </c>
      <c r="P188" s="825">
        <v>0</v>
      </c>
      <c r="Q188" s="825">
        <v>0</v>
      </c>
      <c r="T188" s="825" t="e">
        <f>+'[6]입력 시트(0124)'!T200</f>
        <v>#REF!</v>
      </c>
      <c r="U188" s="825" t="e">
        <f>+'[6]입력 시트(0124)'!U200</f>
        <v>#REF!</v>
      </c>
      <c r="V188" s="825" t="e">
        <f>+'[6]입력 시트(0124)'!V200</f>
        <v>#REF!</v>
      </c>
      <c r="W188" s="825" t="e">
        <f>+'[6]입력 시트(0124)'!W200</f>
        <v>#REF!</v>
      </c>
      <c r="X188" s="825" t="e">
        <f>+'[6]입력 시트(0124)'!X200</f>
        <v>#REF!</v>
      </c>
      <c r="Y188" s="825">
        <v>0</v>
      </c>
    </row>
    <row r="189" spans="2:25" hidden="1" outlineLevel="1">
      <c r="B189" s="735"/>
      <c r="C189" s="740" t="s">
        <v>309</v>
      </c>
      <c r="D189" s="716">
        <f t="shared" si="49"/>
        <v>3</v>
      </c>
      <c r="E189" s="825">
        <f>+'[6]입력 시트(0124)'!E201</f>
        <v>0</v>
      </c>
      <c r="F189" s="825">
        <f>+'[6]입력 시트(0124)'!F201</f>
        <v>0</v>
      </c>
      <c r="G189" s="825">
        <f>+'[6]입력 시트(0124)'!G201</f>
        <v>0</v>
      </c>
      <c r="H189" s="825">
        <f>+'[6]입력 시트(0124)'!H201</f>
        <v>0</v>
      </c>
      <c r="I189" s="825">
        <f>+'[6]입력 시트(0124)'!I201</f>
        <v>0</v>
      </c>
      <c r="J189" s="825">
        <v>0</v>
      </c>
      <c r="K189" s="825">
        <v>0</v>
      </c>
      <c r="L189" s="825">
        <v>0</v>
      </c>
      <c r="M189" s="825">
        <v>0</v>
      </c>
      <c r="N189" s="825">
        <v>0</v>
      </c>
      <c r="O189" s="825">
        <v>0</v>
      </c>
      <c r="P189" s="825">
        <v>0</v>
      </c>
      <c r="Q189" s="825">
        <v>0</v>
      </c>
      <c r="T189" s="825" t="e">
        <f>+'[6]입력 시트(0124)'!T201</f>
        <v>#REF!</v>
      </c>
      <c r="U189" s="825" t="e">
        <f>+'[6]입력 시트(0124)'!U201</f>
        <v>#REF!</v>
      </c>
      <c r="V189" s="825" t="e">
        <f>+'[6]입력 시트(0124)'!V201</f>
        <v>#REF!</v>
      </c>
      <c r="W189" s="825" t="e">
        <f>+'[6]입력 시트(0124)'!W201</f>
        <v>#REF!</v>
      </c>
      <c r="X189" s="825" t="e">
        <f>+'[6]입력 시트(0124)'!X201</f>
        <v>#REF!</v>
      </c>
      <c r="Y189" s="825">
        <v>0</v>
      </c>
    </row>
    <row r="190" spans="2:25" hidden="1" outlineLevel="1">
      <c r="B190" s="735"/>
      <c r="C190" s="740" t="s">
        <v>309</v>
      </c>
      <c r="D190" s="716">
        <f t="shared" si="49"/>
        <v>4</v>
      </c>
      <c r="E190" s="825">
        <f>+'[6]입력 시트(0124)'!E202</f>
        <v>0</v>
      </c>
      <c r="F190" s="825">
        <f>+'[6]입력 시트(0124)'!F202</f>
        <v>0</v>
      </c>
      <c r="G190" s="825">
        <f>+'[6]입력 시트(0124)'!G202</f>
        <v>0</v>
      </c>
      <c r="H190" s="825">
        <f>+'[6]입력 시트(0124)'!H202</f>
        <v>0</v>
      </c>
      <c r="I190" s="825">
        <f>+'[6]입력 시트(0124)'!I202</f>
        <v>0</v>
      </c>
      <c r="J190" s="825">
        <v>0</v>
      </c>
      <c r="K190" s="825">
        <v>0</v>
      </c>
      <c r="L190" s="825">
        <v>0</v>
      </c>
      <c r="M190" s="825">
        <v>0</v>
      </c>
      <c r="N190" s="825">
        <v>0</v>
      </c>
      <c r="O190" s="825">
        <v>0</v>
      </c>
      <c r="P190" s="825">
        <v>0</v>
      </c>
      <c r="Q190" s="825">
        <v>0</v>
      </c>
      <c r="T190" s="825" t="e">
        <f>+'[6]입력 시트(0124)'!T202</f>
        <v>#REF!</v>
      </c>
      <c r="U190" s="825" t="e">
        <f>+'[6]입력 시트(0124)'!U202</f>
        <v>#REF!</v>
      </c>
      <c r="V190" s="825" t="e">
        <f>+'[6]입력 시트(0124)'!V202</f>
        <v>#REF!</v>
      </c>
      <c r="W190" s="825" t="e">
        <f>+'[6]입력 시트(0124)'!W202</f>
        <v>#REF!</v>
      </c>
      <c r="X190" s="825" t="e">
        <f>+'[6]입력 시트(0124)'!X202</f>
        <v>#REF!</v>
      </c>
      <c r="Y190" s="825">
        <v>0</v>
      </c>
    </row>
    <row r="191" spans="2:25" hidden="1" outlineLevel="1">
      <c r="B191" s="735"/>
      <c r="C191" s="740" t="s">
        <v>309</v>
      </c>
      <c r="D191" s="716">
        <f t="shared" si="49"/>
        <v>5</v>
      </c>
      <c r="E191" s="825">
        <v>0</v>
      </c>
      <c r="F191" s="825">
        <v>0</v>
      </c>
      <c r="G191" s="825">
        <v>0</v>
      </c>
      <c r="H191" s="825">
        <v>0</v>
      </c>
      <c r="I191" s="825">
        <v>0</v>
      </c>
      <c r="J191" s="825">
        <v>0</v>
      </c>
      <c r="K191" s="825">
        <v>0</v>
      </c>
      <c r="L191" s="825">
        <v>0</v>
      </c>
      <c r="M191" s="825">
        <v>0</v>
      </c>
      <c r="N191" s="825">
        <v>0</v>
      </c>
      <c r="O191" s="825">
        <v>0</v>
      </c>
      <c r="P191" s="825">
        <v>0</v>
      </c>
      <c r="Q191" s="825">
        <v>0</v>
      </c>
      <c r="T191" s="825">
        <v>0</v>
      </c>
      <c r="U191" s="825">
        <v>0</v>
      </c>
      <c r="V191" s="825">
        <v>0</v>
      </c>
      <c r="W191" s="825">
        <v>0</v>
      </c>
      <c r="X191" s="825">
        <v>0</v>
      </c>
      <c r="Y191" s="825">
        <v>0</v>
      </c>
    </row>
    <row r="192" spans="2:25" hidden="1" outlineLevel="1">
      <c r="B192" s="735"/>
      <c r="C192" s="740" t="s">
        <v>309</v>
      </c>
      <c r="D192" s="716">
        <f t="shared" si="49"/>
        <v>6</v>
      </c>
      <c r="E192" s="825">
        <f>+'[6]입력 시트(0124)'!E204</f>
        <v>0</v>
      </c>
      <c r="F192" s="825">
        <f>+'[6]입력 시트(0124)'!F204</f>
        <v>0</v>
      </c>
      <c r="G192" s="825">
        <f>+'[6]입력 시트(0124)'!G204</f>
        <v>0</v>
      </c>
      <c r="H192" s="825">
        <f>+'[6]입력 시트(0124)'!H204</f>
        <v>0</v>
      </c>
      <c r="I192" s="825">
        <f>+'[6]입력 시트(0124)'!I204</f>
        <v>0</v>
      </c>
      <c r="J192" s="825">
        <v>0</v>
      </c>
      <c r="K192" s="825">
        <v>0</v>
      </c>
      <c r="L192" s="825">
        <v>0</v>
      </c>
      <c r="M192" s="825">
        <v>0</v>
      </c>
      <c r="N192" s="825">
        <v>0</v>
      </c>
      <c r="O192" s="825">
        <v>0</v>
      </c>
      <c r="P192" s="825">
        <v>0</v>
      </c>
      <c r="Q192" s="825">
        <v>0</v>
      </c>
      <c r="T192" s="825" t="e">
        <f>+'[6]입력 시트(0124)'!T204</f>
        <v>#REF!</v>
      </c>
      <c r="U192" s="825" t="e">
        <f>+'[6]입력 시트(0124)'!U204</f>
        <v>#REF!</v>
      </c>
      <c r="V192" s="825" t="e">
        <f>+'[6]입력 시트(0124)'!V204</f>
        <v>#REF!</v>
      </c>
      <c r="W192" s="825" t="e">
        <f>+'[6]입력 시트(0124)'!W204</f>
        <v>#REF!</v>
      </c>
      <c r="X192" s="825" t="e">
        <f>+'[6]입력 시트(0124)'!X204</f>
        <v>#REF!</v>
      </c>
      <c r="Y192" s="825">
        <v>0</v>
      </c>
    </row>
    <row r="193" spans="2:25" hidden="1" outlineLevel="1">
      <c r="B193" s="735"/>
      <c r="C193" s="740" t="s">
        <v>309</v>
      </c>
      <c r="D193" s="716">
        <f t="shared" si="49"/>
        <v>7</v>
      </c>
      <c r="E193" s="825">
        <f>+'[6]입력 시트(0124)'!E205</f>
        <v>0</v>
      </c>
      <c r="F193" s="825">
        <f>+'[6]입력 시트(0124)'!F205</f>
        <v>0</v>
      </c>
      <c r="G193" s="825">
        <f>+'[6]입력 시트(0124)'!G205</f>
        <v>0</v>
      </c>
      <c r="H193" s="825">
        <f>+'[6]입력 시트(0124)'!H205</f>
        <v>0</v>
      </c>
      <c r="I193" s="825">
        <f>+'[6]입력 시트(0124)'!I205</f>
        <v>0</v>
      </c>
      <c r="J193" s="825">
        <v>0</v>
      </c>
      <c r="K193" s="825">
        <v>0</v>
      </c>
      <c r="L193" s="825">
        <v>0</v>
      </c>
      <c r="M193" s="825">
        <v>0</v>
      </c>
      <c r="N193" s="825">
        <v>0</v>
      </c>
      <c r="O193" s="825">
        <v>0</v>
      </c>
      <c r="P193" s="825">
        <v>0</v>
      </c>
      <c r="Q193" s="825">
        <v>0</v>
      </c>
      <c r="T193" s="825" t="e">
        <f>+'[6]입력 시트(0124)'!T205</f>
        <v>#REF!</v>
      </c>
      <c r="U193" s="825" t="e">
        <f>+'[6]입력 시트(0124)'!U205</f>
        <v>#REF!</v>
      </c>
      <c r="V193" s="825" t="e">
        <f>+'[6]입력 시트(0124)'!V205</f>
        <v>#REF!</v>
      </c>
      <c r="W193" s="825" t="e">
        <f>+'[6]입력 시트(0124)'!W205</f>
        <v>#REF!</v>
      </c>
      <c r="X193" s="825" t="e">
        <f>+'[6]입력 시트(0124)'!X205</f>
        <v>#REF!</v>
      </c>
      <c r="Y193" s="825">
        <v>0</v>
      </c>
    </row>
    <row r="194" spans="2:25" hidden="1" outlineLevel="1">
      <c r="B194" s="735"/>
      <c r="C194" s="740" t="s">
        <v>309</v>
      </c>
      <c r="D194" s="716">
        <f t="shared" si="49"/>
        <v>8</v>
      </c>
      <c r="E194" s="825">
        <f>+'[6]입력 시트(0124)'!E206</f>
        <v>0</v>
      </c>
      <c r="F194" s="825">
        <f>+'[6]입력 시트(0124)'!F206</f>
        <v>0</v>
      </c>
      <c r="G194" s="825">
        <f>+'[6]입력 시트(0124)'!G206</f>
        <v>0</v>
      </c>
      <c r="H194" s="825">
        <f>+'[6]입력 시트(0124)'!H206</f>
        <v>0</v>
      </c>
      <c r="I194" s="825">
        <f>+'[6]입력 시트(0124)'!I206</f>
        <v>0</v>
      </c>
      <c r="J194" s="825">
        <v>0</v>
      </c>
      <c r="K194" s="825">
        <v>0</v>
      </c>
      <c r="L194" s="825">
        <v>0</v>
      </c>
      <c r="M194" s="825">
        <v>0</v>
      </c>
      <c r="N194" s="825">
        <v>0</v>
      </c>
      <c r="O194" s="825">
        <v>0</v>
      </c>
      <c r="P194" s="825">
        <v>0</v>
      </c>
      <c r="Q194" s="825">
        <v>0</v>
      </c>
      <c r="T194" s="825" t="e">
        <f>+'[6]입력 시트(0124)'!T206</f>
        <v>#REF!</v>
      </c>
      <c r="U194" s="825" t="e">
        <f>+'[6]입력 시트(0124)'!U206</f>
        <v>#REF!</v>
      </c>
      <c r="V194" s="825" t="e">
        <f>+'[6]입력 시트(0124)'!V206</f>
        <v>#REF!</v>
      </c>
      <c r="W194" s="825" t="e">
        <f>+'[6]입력 시트(0124)'!W206</f>
        <v>#REF!</v>
      </c>
      <c r="X194" s="825" t="e">
        <f>+'[6]입력 시트(0124)'!X206</f>
        <v>#REF!</v>
      </c>
      <c r="Y194" s="825">
        <v>0</v>
      </c>
    </row>
    <row r="195" spans="2:25" hidden="1" outlineLevel="1">
      <c r="B195" s="735"/>
      <c r="C195" s="740" t="s">
        <v>309</v>
      </c>
      <c r="D195" s="716">
        <f t="shared" si="49"/>
        <v>9</v>
      </c>
      <c r="E195" s="825">
        <f>+'[6]입력 시트(0124)'!E207</f>
        <v>0</v>
      </c>
      <c r="F195" s="825">
        <f>+'[6]입력 시트(0124)'!F207</f>
        <v>0</v>
      </c>
      <c r="G195" s="825">
        <f>+'[6]입력 시트(0124)'!G207</f>
        <v>0</v>
      </c>
      <c r="H195" s="825">
        <f>+'[6]입력 시트(0124)'!H207</f>
        <v>0</v>
      </c>
      <c r="I195" s="825">
        <f>+'[6]입력 시트(0124)'!I207</f>
        <v>0</v>
      </c>
      <c r="J195" s="825">
        <v>0</v>
      </c>
      <c r="K195" s="825">
        <v>0</v>
      </c>
      <c r="L195" s="825">
        <v>0</v>
      </c>
      <c r="M195" s="825">
        <v>0</v>
      </c>
      <c r="N195" s="825">
        <v>0</v>
      </c>
      <c r="O195" s="825">
        <v>0</v>
      </c>
      <c r="P195" s="825">
        <v>0</v>
      </c>
      <c r="Q195" s="825">
        <v>0</v>
      </c>
      <c r="T195" s="825" t="e">
        <f>+'[6]입력 시트(0124)'!T207</f>
        <v>#REF!</v>
      </c>
      <c r="U195" s="825" t="e">
        <f>+'[6]입력 시트(0124)'!U207</f>
        <v>#REF!</v>
      </c>
      <c r="V195" s="825" t="e">
        <f>+'[6]입력 시트(0124)'!V207</f>
        <v>#REF!</v>
      </c>
      <c r="W195" s="825" t="e">
        <f>+'[6]입력 시트(0124)'!W207</f>
        <v>#REF!</v>
      </c>
      <c r="X195" s="825" t="e">
        <f>+'[6]입력 시트(0124)'!X207</f>
        <v>#REF!</v>
      </c>
      <c r="Y195" s="825">
        <v>0</v>
      </c>
    </row>
    <row r="196" spans="2:25" hidden="1" outlineLevel="1">
      <c r="B196" s="735"/>
      <c r="C196" s="740" t="s">
        <v>309</v>
      </c>
      <c r="D196" s="716">
        <f t="shared" si="49"/>
        <v>10</v>
      </c>
      <c r="E196" s="825">
        <f>+'[6]입력 시트(0124)'!E208</f>
        <v>0</v>
      </c>
      <c r="F196" s="825">
        <f>+'[6]입력 시트(0124)'!F208</f>
        <v>0</v>
      </c>
      <c r="G196" s="825">
        <f>+'[6]입력 시트(0124)'!G208</f>
        <v>0</v>
      </c>
      <c r="H196" s="825">
        <f>+'[6]입력 시트(0124)'!H208</f>
        <v>0</v>
      </c>
      <c r="I196" s="825">
        <f>+'[6]입력 시트(0124)'!I208</f>
        <v>0</v>
      </c>
      <c r="J196" s="825">
        <v>0</v>
      </c>
      <c r="K196" s="825">
        <v>0</v>
      </c>
      <c r="L196" s="825">
        <v>0</v>
      </c>
      <c r="M196" s="825">
        <v>0</v>
      </c>
      <c r="N196" s="825">
        <v>0</v>
      </c>
      <c r="O196" s="825">
        <v>0</v>
      </c>
      <c r="P196" s="825">
        <v>0</v>
      </c>
      <c r="Q196" s="825">
        <v>0</v>
      </c>
      <c r="T196" s="825" t="e">
        <f>+'[6]입력 시트(0124)'!T208</f>
        <v>#REF!</v>
      </c>
      <c r="U196" s="825" t="e">
        <f>+'[6]입력 시트(0124)'!U208</f>
        <v>#REF!</v>
      </c>
      <c r="V196" s="825" t="e">
        <f>+'[6]입력 시트(0124)'!V208</f>
        <v>#REF!</v>
      </c>
      <c r="W196" s="825" t="e">
        <f>+'[6]입력 시트(0124)'!W208</f>
        <v>#REF!</v>
      </c>
      <c r="X196" s="825" t="e">
        <f>+'[6]입력 시트(0124)'!X208</f>
        <v>#REF!</v>
      </c>
      <c r="Y196" s="825">
        <v>0</v>
      </c>
    </row>
    <row r="197" spans="2:25" outlineLevel="1">
      <c r="B197" s="735" t="s">
        <v>540</v>
      </c>
      <c r="C197" s="762"/>
      <c r="E197" s="826"/>
      <c r="F197" s="826"/>
      <c r="G197" s="826"/>
      <c r="H197" s="826"/>
      <c r="I197" s="826"/>
      <c r="J197" s="826"/>
      <c r="K197" s="826"/>
      <c r="L197" s="826"/>
      <c r="M197" s="826"/>
      <c r="N197" s="826"/>
      <c r="O197" s="826"/>
      <c r="P197" s="826"/>
      <c r="Q197" s="826"/>
      <c r="T197" s="826"/>
      <c r="U197" s="826"/>
      <c r="V197" s="826"/>
      <c r="W197" s="826"/>
      <c r="X197" s="826"/>
      <c r="Y197" s="826"/>
    </row>
    <row r="198" spans="2:25" outlineLevel="1">
      <c r="T198" s="777"/>
      <c r="U198" s="777"/>
      <c r="V198" s="777"/>
      <c r="W198" s="777"/>
      <c r="X198" s="777"/>
      <c r="Y198" s="777"/>
    </row>
    <row r="199" spans="2:25" outlineLevel="1">
      <c r="B199" s="803" t="s">
        <v>573</v>
      </c>
      <c r="D199" s="749"/>
      <c r="E199" s="750"/>
      <c r="F199" s="750"/>
      <c r="G199" s="750"/>
      <c r="H199" s="750"/>
      <c r="I199" s="750"/>
      <c r="J199" s="750"/>
      <c r="K199" s="750"/>
      <c r="L199" s="750"/>
      <c r="M199" s="750"/>
      <c r="N199" s="750"/>
      <c r="O199" s="750"/>
      <c r="P199" s="750"/>
      <c r="Q199" s="750"/>
      <c r="T199" s="953"/>
      <c r="U199" s="953"/>
      <c r="V199" s="953"/>
      <c r="W199" s="953"/>
      <c r="X199" s="953"/>
      <c r="Y199" s="953"/>
    </row>
    <row r="200" spans="2:25" ht="16.5" customHeight="1" outlineLevel="1">
      <c r="B200" s="735" t="s">
        <v>487</v>
      </c>
      <c r="C200" s="760"/>
      <c r="D200" s="759"/>
      <c r="E200" s="801"/>
      <c r="F200" s="801"/>
      <c r="G200" s="801"/>
      <c r="H200" s="801"/>
      <c r="I200" s="801"/>
      <c r="J200" s="801"/>
      <c r="K200" s="801"/>
      <c r="L200" s="801"/>
      <c r="M200" s="801"/>
      <c r="N200" s="801"/>
      <c r="O200" s="801"/>
      <c r="P200" s="801"/>
      <c r="Q200" s="801"/>
      <c r="T200" s="801"/>
      <c r="U200" s="801"/>
      <c r="V200" s="801"/>
      <c r="W200" s="801"/>
      <c r="X200" s="801"/>
      <c r="Y200" s="801"/>
    </row>
    <row r="201" spans="2:25" outlineLevel="1">
      <c r="B201" s="735" t="s">
        <v>528</v>
      </c>
      <c r="D201" s="813" t="s">
        <v>571</v>
      </c>
      <c r="E201" s="821">
        <f>+'Input 기초'!F56</f>
        <v>19964400.000000004</v>
      </c>
      <c r="F201" s="821">
        <f>+'Input 기초'!G56</f>
        <v>59893200</v>
      </c>
      <c r="G201" s="821">
        <f>+'Input 기초'!H56</f>
        <v>17145000</v>
      </c>
      <c r="H201" s="821">
        <f>+'Input 기초'!I56</f>
        <v>85115400</v>
      </c>
      <c r="I201" s="821">
        <f>+'Input 기초'!J56</f>
        <v>62712600</v>
      </c>
      <c r="J201" s="821">
        <f>+'Input 기초'!K56</f>
        <v>17817600</v>
      </c>
      <c r="K201" s="821">
        <f>+'Input 기초'!L56</f>
        <v>107746800</v>
      </c>
      <c r="L201" s="821">
        <f>+'Input 기초'!M56</f>
        <v>138684000</v>
      </c>
      <c r="M201" s="821">
        <f>+'Input 기초'!N56</f>
        <v>0</v>
      </c>
      <c r="N201" s="821">
        <f>+'Input 기초'!O56</f>
        <v>0</v>
      </c>
      <c r="O201" s="821">
        <f>+'Input 기초'!P56</f>
        <v>0</v>
      </c>
      <c r="P201" s="821">
        <f>+'Input 기초'!Q56</f>
        <v>0</v>
      </c>
      <c r="Q201" s="821">
        <f>+'Input 기초'!R56</f>
        <v>0</v>
      </c>
      <c r="T201" s="821">
        <f>+'Input 기초'!U81</f>
        <v>0</v>
      </c>
      <c r="U201" s="821">
        <f>+'Input 기초'!V81</f>
        <v>0</v>
      </c>
      <c r="V201" s="821">
        <f>+'Input 기초'!W81</f>
        <v>0</v>
      </c>
      <c r="W201" s="821">
        <f>+'Input 기초'!X81</f>
        <v>0</v>
      </c>
      <c r="X201" s="821">
        <f>+'Input 기초'!Y81</f>
        <v>0</v>
      </c>
      <c r="Y201" s="821">
        <f>+'Input 기초'!Z81</f>
        <v>0</v>
      </c>
    </row>
    <row r="202" spans="2:25" ht="16.5" customHeight="1" outlineLevel="1">
      <c r="B202" s="735" t="s">
        <v>542</v>
      </c>
      <c r="D202" s="721" t="s">
        <v>533</v>
      </c>
      <c r="E202" s="827" t="s">
        <v>574</v>
      </c>
      <c r="F202" s="827" t="s">
        <v>574</v>
      </c>
      <c r="G202" s="827" t="s">
        <v>574</v>
      </c>
      <c r="H202" s="827" t="s">
        <v>574</v>
      </c>
      <c r="I202" s="827" t="s">
        <v>574</v>
      </c>
      <c r="J202" s="827" t="s">
        <v>574</v>
      </c>
      <c r="K202" s="827" t="s">
        <v>574</v>
      </c>
      <c r="L202" s="827" t="s">
        <v>574</v>
      </c>
      <c r="M202" s="827" t="s">
        <v>574</v>
      </c>
      <c r="N202" s="827" t="s">
        <v>574</v>
      </c>
      <c r="O202" s="827" t="s">
        <v>574</v>
      </c>
      <c r="P202" s="827" t="s">
        <v>574</v>
      </c>
      <c r="Q202" s="827" t="s">
        <v>574</v>
      </c>
      <c r="T202" s="958" t="s">
        <v>574</v>
      </c>
      <c r="U202" s="958" t="s">
        <v>574</v>
      </c>
      <c r="V202" s="958" t="s">
        <v>574</v>
      </c>
      <c r="W202" s="958" t="s">
        <v>574</v>
      </c>
      <c r="X202" s="958" t="s">
        <v>574</v>
      </c>
      <c r="Y202" s="958" t="s">
        <v>574</v>
      </c>
    </row>
    <row r="203" spans="2:25" ht="16.5" customHeight="1" outlineLevel="1">
      <c r="B203" s="735" t="s">
        <v>534</v>
      </c>
      <c r="D203" s="721" t="s">
        <v>301</v>
      </c>
      <c r="E203" s="823">
        <f t="shared" ref="E203:Q203" si="50">E18</f>
        <v>46053</v>
      </c>
      <c r="F203" s="823">
        <f t="shared" si="50"/>
        <v>46053</v>
      </c>
      <c r="G203" s="823">
        <f t="shared" si="50"/>
        <v>46053</v>
      </c>
      <c r="H203" s="823">
        <f t="shared" si="50"/>
        <v>46053</v>
      </c>
      <c r="I203" s="823">
        <f t="shared" si="50"/>
        <v>46053</v>
      </c>
      <c r="J203" s="823">
        <f t="shared" si="50"/>
        <v>46053</v>
      </c>
      <c r="K203" s="823">
        <f t="shared" si="50"/>
        <v>46053</v>
      </c>
      <c r="L203" s="823">
        <f t="shared" si="50"/>
        <v>46053</v>
      </c>
      <c r="M203" s="823">
        <f t="shared" si="50"/>
        <v>0</v>
      </c>
      <c r="N203" s="823">
        <f t="shared" si="50"/>
        <v>0</v>
      </c>
      <c r="O203" s="823">
        <f t="shared" si="50"/>
        <v>0</v>
      </c>
      <c r="P203" s="823">
        <f t="shared" si="50"/>
        <v>0</v>
      </c>
      <c r="Q203" s="823">
        <f t="shared" si="50"/>
        <v>0</v>
      </c>
      <c r="T203" s="823">
        <f t="shared" ref="T203:Y203" si="51">T18</f>
        <v>46053</v>
      </c>
      <c r="U203" s="823">
        <f t="shared" si="51"/>
        <v>46022</v>
      </c>
      <c r="V203" s="823">
        <f t="shared" si="51"/>
        <v>46022</v>
      </c>
      <c r="W203" s="823">
        <f t="shared" si="51"/>
        <v>46022</v>
      </c>
      <c r="X203" s="823">
        <f t="shared" si="51"/>
        <v>46022</v>
      </c>
      <c r="Y203" s="823">
        <f t="shared" si="51"/>
        <v>46053</v>
      </c>
    </row>
    <row r="204" spans="2:25" ht="16.5" customHeight="1" outlineLevel="1">
      <c r="B204" s="735" t="s">
        <v>536</v>
      </c>
      <c r="D204" s="721" t="s">
        <v>309</v>
      </c>
      <c r="E204" s="824"/>
      <c r="F204" s="824"/>
      <c r="G204" s="824"/>
      <c r="H204" s="824"/>
      <c r="I204" s="824"/>
      <c r="J204" s="824"/>
      <c r="K204" s="824"/>
      <c r="L204" s="824"/>
      <c r="M204" s="824"/>
      <c r="N204" s="824"/>
      <c r="O204" s="824"/>
      <c r="P204" s="824"/>
      <c r="Q204" s="824"/>
      <c r="T204" s="824"/>
      <c r="U204" s="824"/>
      <c r="V204" s="824"/>
      <c r="W204" s="824"/>
      <c r="X204" s="824"/>
      <c r="Y204" s="824"/>
    </row>
    <row r="205" spans="2:25" outlineLevel="1">
      <c r="B205" s="735" t="s">
        <v>568</v>
      </c>
      <c r="C205" s="740" t="s">
        <v>569</v>
      </c>
      <c r="D205" s="716">
        <v>1</v>
      </c>
      <c r="E205" s="825">
        <v>1</v>
      </c>
      <c r="F205" s="825">
        <v>1</v>
      </c>
      <c r="G205" s="825">
        <v>1</v>
      </c>
      <c r="H205" s="825">
        <v>1</v>
      </c>
      <c r="I205" s="825">
        <v>1</v>
      </c>
      <c r="J205" s="825">
        <v>1</v>
      </c>
      <c r="K205" s="825">
        <v>1</v>
      </c>
      <c r="L205" s="825">
        <v>1</v>
      </c>
      <c r="M205" s="825">
        <v>1</v>
      </c>
      <c r="N205" s="825">
        <v>1</v>
      </c>
      <c r="O205" s="825">
        <v>1</v>
      </c>
      <c r="P205" s="825">
        <v>1</v>
      </c>
      <c r="Q205" s="825">
        <v>1</v>
      </c>
      <c r="T205" s="825">
        <v>1</v>
      </c>
      <c r="U205" s="825">
        <v>1</v>
      </c>
      <c r="V205" s="825">
        <v>1</v>
      </c>
      <c r="W205" s="825">
        <v>1</v>
      </c>
      <c r="X205" s="825">
        <v>1</v>
      </c>
      <c r="Y205" s="825">
        <v>1</v>
      </c>
    </row>
    <row r="206" spans="2:25" hidden="1" outlineLevel="1">
      <c r="B206" s="735"/>
      <c r="C206" s="740" t="s">
        <v>309</v>
      </c>
      <c r="D206" s="716">
        <f t="shared" ref="D206:D213" si="52">+D205+1</f>
        <v>2</v>
      </c>
      <c r="E206" s="825">
        <f>+'[6]입력 시트(0124)'!E232</f>
        <v>0</v>
      </c>
      <c r="F206" s="825">
        <f>+'[6]입력 시트(0124)'!F232</f>
        <v>0</v>
      </c>
      <c r="G206" s="825">
        <f>+'[6]입력 시트(0124)'!G232</f>
        <v>0</v>
      </c>
      <c r="H206" s="825">
        <f>+'[6]입력 시트(0124)'!H232</f>
        <v>0</v>
      </c>
      <c r="I206" s="825">
        <f>+'[6]입력 시트(0124)'!I232</f>
        <v>0</v>
      </c>
      <c r="J206" s="825">
        <v>0</v>
      </c>
      <c r="K206" s="825">
        <v>0</v>
      </c>
      <c r="L206" s="825">
        <v>0</v>
      </c>
      <c r="M206" s="825">
        <v>0</v>
      </c>
      <c r="N206" s="825">
        <v>0</v>
      </c>
      <c r="O206" s="825">
        <v>0</v>
      </c>
      <c r="P206" s="825">
        <v>0</v>
      </c>
      <c r="Q206" s="825">
        <v>0</v>
      </c>
      <c r="T206" s="825" t="e">
        <f>+'[6]입력 시트(0124)'!T232</f>
        <v>#REF!</v>
      </c>
      <c r="U206" s="825" t="e">
        <f>+'[6]입력 시트(0124)'!U232</f>
        <v>#REF!</v>
      </c>
      <c r="V206" s="825" t="e">
        <f>+'[6]입력 시트(0124)'!V232</f>
        <v>#REF!</v>
      </c>
      <c r="W206" s="825" t="e">
        <f>+'[6]입력 시트(0124)'!W232</f>
        <v>#REF!</v>
      </c>
      <c r="X206" s="825" t="e">
        <f>+'[6]입력 시트(0124)'!X232</f>
        <v>#REF!</v>
      </c>
      <c r="Y206" s="825">
        <v>0</v>
      </c>
    </row>
    <row r="207" spans="2:25" hidden="1" outlineLevel="1">
      <c r="B207" s="735"/>
      <c r="C207" s="740" t="s">
        <v>309</v>
      </c>
      <c r="D207" s="716">
        <f t="shared" si="52"/>
        <v>3</v>
      </c>
      <c r="E207" s="825">
        <f>+'[6]입력 시트(0124)'!E233</f>
        <v>0</v>
      </c>
      <c r="F207" s="825">
        <f>+'[6]입력 시트(0124)'!F233</f>
        <v>0</v>
      </c>
      <c r="G207" s="825">
        <f>+'[6]입력 시트(0124)'!G233</f>
        <v>0</v>
      </c>
      <c r="H207" s="825">
        <f>+'[6]입력 시트(0124)'!H233</f>
        <v>0</v>
      </c>
      <c r="I207" s="825">
        <f>+'[6]입력 시트(0124)'!I233</f>
        <v>0</v>
      </c>
      <c r="J207" s="825">
        <v>0</v>
      </c>
      <c r="K207" s="825">
        <v>0</v>
      </c>
      <c r="L207" s="825">
        <v>0</v>
      </c>
      <c r="M207" s="825">
        <v>0</v>
      </c>
      <c r="N207" s="825">
        <v>0</v>
      </c>
      <c r="O207" s="825">
        <v>0</v>
      </c>
      <c r="P207" s="825">
        <v>0</v>
      </c>
      <c r="Q207" s="825">
        <v>0</v>
      </c>
      <c r="T207" s="825" t="e">
        <f>+'[6]입력 시트(0124)'!T233</f>
        <v>#REF!</v>
      </c>
      <c r="U207" s="825" t="e">
        <f>+'[6]입력 시트(0124)'!U233</f>
        <v>#REF!</v>
      </c>
      <c r="V207" s="825" t="e">
        <f>+'[6]입력 시트(0124)'!V233</f>
        <v>#REF!</v>
      </c>
      <c r="W207" s="825" t="e">
        <f>+'[6]입력 시트(0124)'!W233</f>
        <v>#REF!</v>
      </c>
      <c r="X207" s="825" t="e">
        <f>+'[6]입력 시트(0124)'!X233</f>
        <v>#REF!</v>
      </c>
      <c r="Y207" s="825">
        <v>0</v>
      </c>
    </row>
    <row r="208" spans="2:25" hidden="1" outlineLevel="1">
      <c r="B208" s="735"/>
      <c r="C208" s="740" t="s">
        <v>309</v>
      </c>
      <c r="D208" s="716">
        <f t="shared" si="52"/>
        <v>4</v>
      </c>
      <c r="E208" s="825">
        <f>+'[6]입력 시트(0124)'!E234</f>
        <v>0</v>
      </c>
      <c r="F208" s="825">
        <f>+'[6]입력 시트(0124)'!F234</f>
        <v>0</v>
      </c>
      <c r="G208" s="825">
        <f>+'[6]입력 시트(0124)'!G234</f>
        <v>0</v>
      </c>
      <c r="H208" s="825">
        <f>+'[6]입력 시트(0124)'!H234</f>
        <v>0</v>
      </c>
      <c r="I208" s="825">
        <f>+'[6]입력 시트(0124)'!I234</f>
        <v>0</v>
      </c>
      <c r="J208" s="825">
        <v>0</v>
      </c>
      <c r="K208" s="825">
        <v>0</v>
      </c>
      <c r="L208" s="825">
        <v>0</v>
      </c>
      <c r="M208" s="825">
        <v>0</v>
      </c>
      <c r="N208" s="825">
        <v>0</v>
      </c>
      <c r="O208" s="825">
        <v>0</v>
      </c>
      <c r="P208" s="825">
        <v>0</v>
      </c>
      <c r="Q208" s="825">
        <v>0</v>
      </c>
      <c r="T208" s="825" t="e">
        <f>+'[6]입력 시트(0124)'!T234</f>
        <v>#REF!</v>
      </c>
      <c r="U208" s="825" t="e">
        <f>+'[6]입력 시트(0124)'!U234</f>
        <v>#REF!</v>
      </c>
      <c r="V208" s="825" t="e">
        <f>+'[6]입력 시트(0124)'!V234</f>
        <v>#REF!</v>
      </c>
      <c r="W208" s="825" t="e">
        <f>+'[6]입력 시트(0124)'!W234</f>
        <v>#REF!</v>
      </c>
      <c r="X208" s="825" t="e">
        <f>+'[6]입력 시트(0124)'!X234</f>
        <v>#REF!</v>
      </c>
      <c r="Y208" s="825">
        <v>0</v>
      </c>
    </row>
    <row r="209" spans="2:25" hidden="1" outlineLevel="1">
      <c r="B209" s="735"/>
      <c r="C209" s="740" t="s">
        <v>309</v>
      </c>
      <c r="D209" s="716">
        <f t="shared" si="52"/>
        <v>5</v>
      </c>
      <c r="E209" s="825">
        <f>+'[6]입력 시트(0124)'!E235</f>
        <v>0</v>
      </c>
      <c r="F209" s="825">
        <f>+'[6]입력 시트(0124)'!F235</f>
        <v>0</v>
      </c>
      <c r="G209" s="825">
        <f>+'[6]입력 시트(0124)'!G235</f>
        <v>0</v>
      </c>
      <c r="H209" s="825">
        <f>+'[6]입력 시트(0124)'!H235</f>
        <v>0</v>
      </c>
      <c r="I209" s="825">
        <f>+'[6]입력 시트(0124)'!I235</f>
        <v>0</v>
      </c>
      <c r="J209" s="825">
        <v>0</v>
      </c>
      <c r="K209" s="825">
        <v>0</v>
      </c>
      <c r="L209" s="825">
        <v>0</v>
      </c>
      <c r="M209" s="825">
        <v>0</v>
      </c>
      <c r="N209" s="825">
        <v>0</v>
      </c>
      <c r="O209" s="825">
        <v>0</v>
      </c>
      <c r="P209" s="825">
        <v>0</v>
      </c>
      <c r="Q209" s="825">
        <v>0</v>
      </c>
      <c r="T209" s="825" t="e">
        <f>+'[6]입력 시트(0124)'!T235</f>
        <v>#REF!</v>
      </c>
      <c r="U209" s="825" t="e">
        <f>+'[6]입력 시트(0124)'!U235</f>
        <v>#REF!</v>
      </c>
      <c r="V209" s="825" t="e">
        <f>+'[6]입력 시트(0124)'!V235</f>
        <v>#REF!</v>
      </c>
      <c r="W209" s="825" t="e">
        <f>+'[6]입력 시트(0124)'!W235</f>
        <v>#REF!</v>
      </c>
      <c r="X209" s="825" t="e">
        <f>+'[6]입력 시트(0124)'!X235</f>
        <v>#REF!</v>
      </c>
      <c r="Y209" s="825">
        <v>0</v>
      </c>
    </row>
    <row r="210" spans="2:25" hidden="1" outlineLevel="1">
      <c r="B210" s="735"/>
      <c r="C210" s="740" t="s">
        <v>309</v>
      </c>
      <c r="D210" s="716">
        <f t="shared" si="52"/>
        <v>6</v>
      </c>
      <c r="E210" s="825">
        <f>+'[6]입력 시트(0124)'!E236</f>
        <v>0</v>
      </c>
      <c r="F210" s="825">
        <f>+'[6]입력 시트(0124)'!F236</f>
        <v>0</v>
      </c>
      <c r="G210" s="825">
        <f>+'[6]입력 시트(0124)'!G236</f>
        <v>0</v>
      </c>
      <c r="H210" s="825">
        <f>+'[6]입력 시트(0124)'!H236</f>
        <v>0</v>
      </c>
      <c r="I210" s="825">
        <f>+'[6]입력 시트(0124)'!I236</f>
        <v>0</v>
      </c>
      <c r="J210" s="825">
        <v>0</v>
      </c>
      <c r="K210" s="825">
        <v>0</v>
      </c>
      <c r="L210" s="825">
        <v>0</v>
      </c>
      <c r="M210" s="825">
        <v>0</v>
      </c>
      <c r="N210" s="825">
        <v>0</v>
      </c>
      <c r="O210" s="825">
        <v>0</v>
      </c>
      <c r="P210" s="825">
        <v>0</v>
      </c>
      <c r="Q210" s="825">
        <v>0</v>
      </c>
      <c r="T210" s="825" t="e">
        <f>+'[6]입력 시트(0124)'!T236</f>
        <v>#REF!</v>
      </c>
      <c r="U210" s="825" t="e">
        <f>+'[6]입력 시트(0124)'!U236</f>
        <v>#REF!</v>
      </c>
      <c r="V210" s="825" t="e">
        <f>+'[6]입력 시트(0124)'!V236</f>
        <v>#REF!</v>
      </c>
      <c r="W210" s="825" t="e">
        <f>+'[6]입력 시트(0124)'!W236</f>
        <v>#REF!</v>
      </c>
      <c r="X210" s="825" t="e">
        <f>+'[6]입력 시트(0124)'!X236</f>
        <v>#REF!</v>
      </c>
      <c r="Y210" s="825">
        <v>0</v>
      </c>
    </row>
    <row r="211" spans="2:25" hidden="1" outlineLevel="1">
      <c r="B211" s="735"/>
      <c r="C211" s="740" t="s">
        <v>309</v>
      </c>
      <c r="D211" s="716">
        <f t="shared" si="52"/>
        <v>7</v>
      </c>
      <c r="E211" s="825">
        <f>+'[6]입력 시트(0124)'!E237</f>
        <v>0</v>
      </c>
      <c r="F211" s="825">
        <f>+'[6]입력 시트(0124)'!F237</f>
        <v>0</v>
      </c>
      <c r="G211" s="825">
        <f>+'[6]입력 시트(0124)'!G237</f>
        <v>0</v>
      </c>
      <c r="H211" s="825">
        <f>+'[6]입력 시트(0124)'!H237</f>
        <v>0</v>
      </c>
      <c r="I211" s="825">
        <f>+'[6]입력 시트(0124)'!I237</f>
        <v>0</v>
      </c>
      <c r="J211" s="825">
        <v>0</v>
      </c>
      <c r="K211" s="825">
        <v>0</v>
      </c>
      <c r="L211" s="825">
        <v>0</v>
      </c>
      <c r="M211" s="825">
        <v>0</v>
      </c>
      <c r="N211" s="825">
        <v>0</v>
      </c>
      <c r="O211" s="825">
        <v>0</v>
      </c>
      <c r="P211" s="825">
        <v>0</v>
      </c>
      <c r="Q211" s="825">
        <v>0</v>
      </c>
      <c r="T211" s="825" t="e">
        <f>+'[6]입력 시트(0124)'!T237</f>
        <v>#REF!</v>
      </c>
      <c r="U211" s="825" t="e">
        <f>+'[6]입력 시트(0124)'!U237</f>
        <v>#REF!</v>
      </c>
      <c r="V211" s="825" t="e">
        <f>+'[6]입력 시트(0124)'!V237</f>
        <v>#REF!</v>
      </c>
      <c r="W211" s="825" t="e">
        <f>+'[6]입력 시트(0124)'!W237</f>
        <v>#REF!</v>
      </c>
      <c r="X211" s="825" t="e">
        <f>+'[6]입력 시트(0124)'!X237</f>
        <v>#REF!</v>
      </c>
      <c r="Y211" s="825">
        <v>0</v>
      </c>
    </row>
    <row r="212" spans="2:25" hidden="1" outlineLevel="1">
      <c r="B212" s="735"/>
      <c r="C212" s="740" t="s">
        <v>309</v>
      </c>
      <c r="D212" s="716">
        <f t="shared" si="52"/>
        <v>8</v>
      </c>
      <c r="E212" s="825">
        <f>+'[6]입력 시트(0124)'!E238</f>
        <v>0</v>
      </c>
      <c r="F212" s="825">
        <f>+'[6]입력 시트(0124)'!F238</f>
        <v>0</v>
      </c>
      <c r="G212" s="825">
        <f>+'[6]입력 시트(0124)'!G238</f>
        <v>0</v>
      </c>
      <c r="H212" s="825">
        <f>+'[6]입력 시트(0124)'!H238</f>
        <v>0</v>
      </c>
      <c r="I212" s="825">
        <f>+'[6]입력 시트(0124)'!I238</f>
        <v>0</v>
      </c>
      <c r="J212" s="825">
        <v>0</v>
      </c>
      <c r="K212" s="825">
        <v>0</v>
      </c>
      <c r="L212" s="825">
        <v>0</v>
      </c>
      <c r="M212" s="825">
        <v>0</v>
      </c>
      <c r="N212" s="825">
        <v>0</v>
      </c>
      <c r="O212" s="825">
        <v>0</v>
      </c>
      <c r="P212" s="825">
        <v>0</v>
      </c>
      <c r="Q212" s="825">
        <v>0</v>
      </c>
      <c r="T212" s="825" t="e">
        <f>+'[6]입력 시트(0124)'!T238</f>
        <v>#REF!</v>
      </c>
      <c r="U212" s="825" t="e">
        <f>+'[6]입력 시트(0124)'!U238</f>
        <v>#REF!</v>
      </c>
      <c r="V212" s="825" t="e">
        <f>+'[6]입력 시트(0124)'!V238</f>
        <v>#REF!</v>
      </c>
      <c r="W212" s="825" t="e">
        <f>+'[6]입력 시트(0124)'!W238</f>
        <v>#REF!</v>
      </c>
      <c r="X212" s="825" t="e">
        <f>+'[6]입력 시트(0124)'!X238</f>
        <v>#REF!</v>
      </c>
      <c r="Y212" s="825">
        <v>0</v>
      </c>
    </row>
    <row r="213" spans="2:25" hidden="1" outlineLevel="1">
      <c r="B213" s="735"/>
      <c r="C213" s="740" t="s">
        <v>309</v>
      </c>
      <c r="D213" s="716">
        <f t="shared" si="52"/>
        <v>9</v>
      </c>
      <c r="E213" s="825">
        <f>+'[6]입력 시트(0124)'!E239</f>
        <v>0</v>
      </c>
      <c r="F213" s="825">
        <f>+'[6]입력 시트(0124)'!F239</f>
        <v>0</v>
      </c>
      <c r="G213" s="825">
        <f>+'[6]입력 시트(0124)'!G239</f>
        <v>0</v>
      </c>
      <c r="H213" s="825">
        <f>+'[6]입력 시트(0124)'!H239</f>
        <v>0</v>
      </c>
      <c r="I213" s="825">
        <f>+'[6]입력 시트(0124)'!I239</f>
        <v>0</v>
      </c>
      <c r="J213" s="825">
        <v>0</v>
      </c>
      <c r="K213" s="825">
        <v>0</v>
      </c>
      <c r="L213" s="825">
        <v>0</v>
      </c>
      <c r="M213" s="825">
        <v>0</v>
      </c>
      <c r="N213" s="825">
        <v>0</v>
      </c>
      <c r="O213" s="825">
        <v>0</v>
      </c>
      <c r="P213" s="825">
        <v>0</v>
      </c>
      <c r="Q213" s="825">
        <v>0</v>
      </c>
      <c r="T213" s="825" t="e">
        <f>+'[6]입력 시트(0124)'!T239</f>
        <v>#REF!</v>
      </c>
      <c r="U213" s="825" t="e">
        <f>+'[6]입력 시트(0124)'!U239</f>
        <v>#REF!</v>
      </c>
      <c r="V213" s="825" t="e">
        <f>+'[6]입력 시트(0124)'!V239</f>
        <v>#REF!</v>
      </c>
      <c r="W213" s="825" t="e">
        <f>+'[6]입력 시트(0124)'!W239</f>
        <v>#REF!</v>
      </c>
      <c r="X213" s="825" t="e">
        <f>+'[6]입력 시트(0124)'!X239</f>
        <v>#REF!</v>
      </c>
      <c r="Y213" s="825">
        <v>0</v>
      </c>
    </row>
    <row r="214" spans="2:25" outlineLevel="1">
      <c r="B214" s="735" t="s">
        <v>540</v>
      </c>
      <c r="C214" s="1355"/>
      <c r="D214" s="1356"/>
      <c r="E214" s="826"/>
      <c r="F214" s="826"/>
      <c r="G214" s="826"/>
      <c r="H214" s="826"/>
      <c r="I214" s="826"/>
      <c r="J214" s="826"/>
      <c r="K214" s="826"/>
      <c r="L214" s="826"/>
      <c r="M214" s="826"/>
      <c r="N214" s="826"/>
      <c r="O214" s="826"/>
      <c r="P214" s="826"/>
      <c r="Q214" s="826"/>
      <c r="T214" s="826"/>
      <c r="U214" s="826"/>
      <c r="V214" s="826"/>
      <c r="W214" s="826"/>
      <c r="X214" s="826"/>
      <c r="Y214" s="826"/>
    </row>
    <row r="215" spans="2:25" outlineLevel="1">
      <c r="E215" s="763" t="e">
        <f>+SUM(#REF!)=E218</f>
        <v>#REF!</v>
      </c>
      <c r="F215" s="763" t="e">
        <f>+SUM(#REF!)=F218</f>
        <v>#REF!</v>
      </c>
      <c r="G215" s="763" t="e">
        <f>+SUM(#REF!)=G218</f>
        <v>#REF!</v>
      </c>
      <c r="H215" s="763" t="e">
        <f>+SUM(#REF!)=H218</f>
        <v>#REF!</v>
      </c>
      <c r="I215" s="763" t="e">
        <f>+SUM(#REF!)=I218</f>
        <v>#REF!</v>
      </c>
      <c r="J215" s="763" t="e">
        <f>+SUM(#REF!)=J218</f>
        <v>#REF!</v>
      </c>
      <c r="K215" s="763" t="e">
        <f>+SUM(#REF!)=K218</f>
        <v>#REF!</v>
      </c>
      <c r="L215" s="763" t="e">
        <f>+SUM(#REF!)=L218</f>
        <v>#REF!</v>
      </c>
      <c r="M215" s="763" t="e">
        <f>+SUM(#REF!)=M218</f>
        <v>#REF!</v>
      </c>
      <c r="N215" s="763" t="e">
        <f>+SUM(#REF!)=N218</f>
        <v>#REF!</v>
      </c>
      <c r="O215" s="763" t="e">
        <f>+SUM(#REF!)=O218</f>
        <v>#REF!</v>
      </c>
      <c r="P215" s="763" t="e">
        <f>+SUM(#REF!)=P218</f>
        <v>#REF!</v>
      </c>
      <c r="Q215" s="763" t="e">
        <f>+SUM(#REF!)=Q218</f>
        <v>#REF!</v>
      </c>
      <c r="T215" s="959" t="e">
        <f>+SUM(#REF!)=T218</f>
        <v>#REF!</v>
      </c>
      <c r="U215" s="959" t="e">
        <f>+SUM(#REF!)=U218</f>
        <v>#REF!</v>
      </c>
      <c r="V215" s="959" t="e">
        <f>+SUM(#REF!)=V218</f>
        <v>#REF!</v>
      </c>
      <c r="W215" s="959" t="e">
        <f>+SUM(#REF!)=W218</f>
        <v>#REF!</v>
      </c>
      <c r="X215" s="959" t="e">
        <f>+SUM(#REF!)=X218</f>
        <v>#REF!</v>
      </c>
      <c r="Y215" s="959" t="e">
        <f>+SUM(#REF!)=Y218</f>
        <v>#REF!</v>
      </c>
    </row>
    <row r="216" spans="2:25" outlineLevel="1">
      <c r="B216" s="803" t="s">
        <v>575</v>
      </c>
      <c r="D216" s="749"/>
      <c r="E216" s="755" t="b">
        <f t="shared" ref="E216:Q216" si="53">620000000*E24=E218</f>
        <v>0</v>
      </c>
      <c r="F216" s="755" t="b">
        <f t="shared" si="53"/>
        <v>0</v>
      </c>
      <c r="G216" s="755" t="b">
        <f t="shared" si="53"/>
        <v>0</v>
      </c>
      <c r="H216" s="755" t="b">
        <f t="shared" si="53"/>
        <v>0</v>
      </c>
      <c r="I216" s="755" t="b">
        <f t="shared" si="53"/>
        <v>0</v>
      </c>
      <c r="J216" s="755" t="b">
        <f t="shared" si="53"/>
        <v>0</v>
      </c>
      <c r="K216" s="755" t="b">
        <f t="shared" si="53"/>
        <v>0</v>
      </c>
      <c r="L216" s="755" t="b">
        <f t="shared" si="53"/>
        <v>0</v>
      </c>
      <c r="M216" s="755" t="b">
        <f t="shared" si="53"/>
        <v>1</v>
      </c>
      <c r="N216" s="755" t="b">
        <f t="shared" si="53"/>
        <v>1</v>
      </c>
      <c r="O216" s="755" t="b">
        <f t="shared" si="53"/>
        <v>1</v>
      </c>
      <c r="P216" s="755" t="b">
        <f t="shared" si="53"/>
        <v>1</v>
      </c>
      <c r="Q216" s="755" t="b">
        <f t="shared" si="53"/>
        <v>1</v>
      </c>
      <c r="T216" s="956" t="b">
        <f t="shared" ref="T216:Y216" si="54">620000000*T24=T218</f>
        <v>0</v>
      </c>
      <c r="U216" s="956" t="b">
        <f t="shared" si="54"/>
        <v>0</v>
      </c>
      <c r="V216" s="956" t="b">
        <f t="shared" si="54"/>
        <v>0</v>
      </c>
      <c r="W216" s="956" t="b">
        <f t="shared" si="54"/>
        <v>0</v>
      </c>
      <c r="X216" s="956" t="b">
        <f t="shared" si="54"/>
        <v>0</v>
      </c>
      <c r="Y216" s="956" t="b">
        <f t="shared" si="54"/>
        <v>0</v>
      </c>
    </row>
    <row r="217" spans="2:25" ht="16.5" customHeight="1" outlineLevel="1">
      <c r="B217" s="735" t="s">
        <v>487</v>
      </c>
      <c r="C217" s="760"/>
      <c r="D217" s="759"/>
      <c r="E217" s="801"/>
      <c r="F217" s="801"/>
      <c r="G217" s="801"/>
      <c r="H217" s="801"/>
      <c r="I217" s="801"/>
      <c r="J217" s="801"/>
      <c r="K217" s="801"/>
      <c r="L217" s="801"/>
      <c r="M217" s="801"/>
      <c r="N217" s="801"/>
      <c r="O217" s="801"/>
      <c r="P217" s="801"/>
      <c r="Q217" s="801"/>
      <c r="T217" s="801"/>
      <c r="U217" s="801"/>
      <c r="V217" s="801"/>
      <c r="W217" s="801"/>
      <c r="X217" s="801"/>
      <c r="Y217" s="801"/>
    </row>
    <row r="218" spans="2:25" outlineLevel="1">
      <c r="B218" s="735" t="s">
        <v>528</v>
      </c>
      <c r="D218" s="813" t="s">
        <v>571</v>
      </c>
      <c r="E218" s="821">
        <f>+'Input 기초'!F59</f>
        <v>83185000.000000015</v>
      </c>
      <c r="F218" s="821">
        <f>+'Input 기초'!G59</f>
        <v>249555000</v>
      </c>
      <c r="G218" s="821">
        <f>+'Input 기초'!H59</f>
        <v>71437500</v>
      </c>
      <c r="H218" s="821">
        <f>+'Input 기초'!I59</f>
        <v>354647500</v>
      </c>
      <c r="I218" s="821">
        <f>+'Input 기초'!J59</f>
        <v>261302500</v>
      </c>
      <c r="J218" s="821">
        <f>+'Input 기초'!K59</f>
        <v>74240000</v>
      </c>
      <c r="K218" s="821">
        <f>+'Input 기초'!L59</f>
        <v>448945000</v>
      </c>
      <c r="L218" s="821">
        <f>+'Input 기초'!M59</f>
        <v>577850000</v>
      </c>
      <c r="M218" s="821">
        <f>+'Input 기초'!N59</f>
        <v>0</v>
      </c>
      <c r="N218" s="821">
        <f>+'Input 기초'!O59</f>
        <v>0</v>
      </c>
      <c r="O218" s="821">
        <f>+'Input 기초'!P59</f>
        <v>0</v>
      </c>
      <c r="P218" s="821">
        <f>+'Input 기초'!Q59</f>
        <v>0</v>
      </c>
      <c r="Q218" s="821">
        <f>+'Input 기초'!R59</f>
        <v>0</v>
      </c>
      <c r="T218" s="821">
        <f>+'Input 기초'!U84</f>
        <v>0</v>
      </c>
      <c r="U218" s="821">
        <f>+'Input 기초'!V84</f>
        <v>0</v>
      </c>
      <c r="V218" s="821">
        <f>+'Input 기초'!W84</f>
        <v>0</v>
      </c>
      <c r="W218" s="821">
        <f>+'Input 기초'!X84</f>
        <v>0</v>
      </c>
      <c r="X218" s="821">
        <f>+'Input 기초'!Y84</f>
        <v>0</v>
      </c>
      <c r="Y218" s="821">
        <f>+'Input 기초'!Z84</f>
        <v>0</v>
      </c>
    </row>
    <row r="219" spans="2:25" ht="16.5" customHeight="1" outlineLevel="1">
      <c r="B219" s="735" t="s">
        <v>542</v>
      </c>
      <c r="C219" s="764"/>
      <c r="D219" s="721" t="s">
        <v>533</v>
      </c>
      <c r="E219" s="822">
        <v>0</v>
      </c>
      <c r="F219" s="822">
        <v>0</v>
      </c>
      <c r="G219" s="822">
        <v>0</v>
      </c>
      <c r="H219" s="822">
        <v>0</v>
      </c>
      <c r="I219" s="822">
        <v>0</v>
      </c>
      <c r="J219" s="822">
        <v>0</v>
      </c>
      <c r="K219" s="822">
        <v>0</v>
      </c>
      <c r="L219" s="822">
        <v>0</v>
      </c>
      <c r="M219" s="822">
        <v>0</v>
      </c>
      <c r="N219" s="822">
        <v>0</v>
      </c>
      <c r="O219" s="822">
        <v>0</v>
      </c>
      <c r="P219" s="822">
        <v>0</v>
      </c>
      <c r="Q219" s="822">
        <v>0</v>
      </c>
      <c r="T219" s="822">
        <v>0</v>
      </c>
      <c r="U219" s="822">
        <v>0</v>
      </c>
      <c r="V219" s="822">
        <v>0</v>
      </c>
      <c r="W219" s="822">
        <v>0</v>
      </c>
      <c r="X219" s="822">
        <v>0</v>
      </c>
      <c r="Y219" s="822">
        <v>0</v>
      </c>
    </row>
    <row r="220" spans="2:25" ht="16.5" customHeight="1" outlineLevel="1">
      <c r="B220" s="735" t="s">
        <v>534</v>
      </c>
      <c r="D220" s="721" t="s">
        <v>301</v>
      </c>
      <c r="E220" s="823"/>
      <c r="F220" s="823"/>
      <c r="G220" s="823"/>
      <c r="H220" s="823"/>
      <c r="I220" s="823"/>
      <c r="J220" s="823"/>
      <c r="K220" s="823"/>
      <c r="L220" s="823"/>
      <c r="M220" s="823"/>
      <c r="N220" s="823"/>
      <c r="O220" s="823"/>
      <c r="P220" s="823"/>
      <c r="Q220" s="823"/>
      <c r="T220" s="823"/>
      <c r="U220" s="823"/>
      <c r="V220" s="823"/>
      <c r="W220" s="823"/>
      <c r="X220" s="823"/>
      <c r="Y220" s="823"/>
    </row>
    <row r="221" spans="2:25" ht="16.5" customHeight="1" outlineLevel="1">
      <c r="B221" s="735" t="s">
        <v>536</v>
      </c>
      <c r="D221" s="721" t="s">
        <v>309</v>
      </c>
      <c r="E221" s="824"/>
      <c r="F221" s="824"/>
      <c r="G221" s="824"/>
      <c r="H221" s="824"/>
      <c r="I221" s="824"/>
      <c r="J221" s="824"/>
      <c r="K221" s="824"/>
      <c r="L221" s="824"/>
      <c r="M221" s="824"/>
      <c r="N221" s="824"/>
      <c r="O221" s="824"/>
      <c r="P221" s="824"/>
      <c r="Q221" s="824"/>
      <c r="T221" s="824"/>
      <c r="U221" s="824"/>
      <c r="V221" s="824"/>
      <c r="W221" s="824"/>
      <c r="X221" s="824"/>
      <c r="Y221" s="824"/>
    </row>
    <row r="222" spans="2:25" outlineLevel="1">
      <c r="B222" s="735" t="s">
        <v>568</v>
      </c>
      <c r="C222" s="740" t="s">
        <v>569</v>
      </c>
      <c r="D222" s="716">
        <v>1</v>
      </c>
      <c r="E222" s="825">
        <v>0.2</v>
      </c>
      <c r="F222" s="825">
        <v>0.2</v>
      </c>
      <c r="G222" s="825">
        <v>0.2</v>
      </c>
      <c r="H222" s="825">
        <v>0.2</v>
      </c>
      <c r="I222" s="825">
        <v>0.2</v>
      </c>
      <c r="J222" s="825">
        <v>0.2</v>
      </c>
      <c r="K222" s="825">
        <v>0.2</v>
      </c>
      <c r="L222" s="825">
        <v>0.2</v>
      </c>
      <c r="M222" s="825">
        <v>0.3</v>
      </c>
      <c r="N222" s="825">
        <v>0.3</v>
      </c>
      <c r="O222" s="825">
        <v>0.3</v>
      </c>
      <c r="P222" s="825">
        <v>0.3</v>
      </c>
      <c r="Q222" s="825">
        <v>0.3</v>
      </c>
      <c r="T222" s="825">
        <v>0.3</v>
      </c>
      <c r="U222" s="825">
        <v>0.3</v>
      </c>
      <c r="V222" s="825">
        <v>0.3</v>
      </c>
      <c r="W222" s="825">
        <v>0.3</v>
      </c>
      <c r="X222" s="825">
        <v>0.3</v>
      </c>
      <c r="Y222" s="825">
        <v>0.3</v>
      </c>
    </row>
    <row r="223" spans="2:25" outlineLevel="1">
      <c r="B223" s="735"/>
      <c r="C223" s="740" t="s">
        <v>309</v>
      </c>
      <c r="D223" s="716">
        <f>+D222+1</f>
        <v>2</v>
      </c>
      <c r="E223" s="825">
        <v>0</v>
      </c>
      <c r="F223" s="825">
        <v>0</v>
      </c>
      <c r="G223" s="825">
        <v>0</v>
      </c>
      <c r="H223" s="825">
        <v>0</v>
      </c>
      <c r="I223" s="825">
        <v>0</v>
      </c>
      <c r="J223" s="825">
        <v>0</v>
      </c>
      <c r="K223" s="825">
        <v>0</v>
      </c>
      <c r="L223" s="825">
        <v>0</v>
      </c>
      <c r="M223" s="825">
        <v>0</v>
      </c>
      <c r="N223" s="825">
        <v>0</v>
      </c>
      <c r="O223" s="825">
        <v>0</v>
      </c>
      <c r="P223" s="825">
        <v>0</v>
      </c>
      <c r="Q223" s="825">
        <v>0</v>
      </c>
      <c r="T223" s="825" t="e">
        <f>+'[6]입력 시트(0124)'!T264</f>
        <v>#REF!</v>
      </c>
      <c r="U223" s="825" t="e">
        <f>+'[6]입력 시트(0124)'!U264</f>
        <v>#REF!</v>
      </c>
      <c r="V223" s="825" t="e">
        <f>+'[6]입력 시트(0124)'!V264</f>
        <v>#REF!</v>
      </c>
      <c r="W223" s="825" t="e">
        <f>+'[6]입력 시트(0124)'!W264</f>
        <v>#REF!</v>
      </c>
      <c r="X223" s="825" t="e">
        <f>+'[6]입력 시트(0124)'!X264</f>
        <v>#REF!</v>
      </c>
      <c r="Y223" s="825">
        <v>0</v>
      </c>
    </row>
    <row r="224" spans="2:25" outlineLevel="1">
      <c r="B224" s="735"/>
      <c r="C224" s="740" t="s">
        <v>309</v>
      </c>
      <c r="D224" s="716">
        <f t="shared" ref="D224:D231" si="55">+D223+1</f>
        <v>3</v>
      </c>
      <c r="E224" s="825">
        <v>0.2</v>
      </c>
      <c r="F224" s="825">
        <v>0.2</v>
      </c>
      <c r="G224" s="825">
        <v>0.2</v>
      </c>
      <c r="H224" s="825">
        <v>0.2</v>
      </c>
      <c r="I224" s="825">
        <v>0.2</v>
      </c>
      <c r="J224" s="825">
        <v>0.2</v>
      </c>
      <c r="K224" s="825">
        <v>0.2</v>
      </c>
      <c r="L224" s="825">
        <v>0.2</v>
      </c>
      <c r="M224" s="825">
        <v>0.1</v>
      </c>
      <c r="N224" s="825">
        <v>0.1</v>
      </c>
      <c r="O224" s="825">
        <v>0.1</v>
      </c>
      <c r="P224" s="825">
        <v>0.1</v>
      </c>
      <c r="Q224" s="825">
        <v>0.1</v>
      </c>
      <c r="T224" s="825">
        <v>0.1</v>
      </c>
      <c r="U224" s="825">
        <v>0.1</v>
      </c>
      <c r="V224" s="825">
        <v>0.1</v>
      </c>
      <c r="W224" s="825">
        <v>0.1</v>
      </c>
      <c r="X224" s="825">
        <v>0.1</v>
      </c>
      <c r="Y224" s="825">
        <v>0.1</v>
      </c>
    </row>
    <row r="225" spans="2:25" outlineLevel="1">
      <c r="B225" s="735"/>
      <c r="C225" s="740" t="s">
        <v>309</v>
      </c>
      <c r="D225" s="716">
        <f t="shared" si="55"/>
        <v>4</v>
      </c>
      <c r="E225" s="825">
        <v>0.5</v>
      </c>
      <c r="F225" s="825">
        <v>0.5</v>
      </c>
      <c r="G225" s="825">
        <v>0.5</v>
      </c>
      <c r="H225" s="825">
        <v>0.5</v>
      </c>
      <c r="I225" s="825">
        <v>0.5</v>
      </c>
      <c r="J225" s="825">
        <v>0.5</v>
      </c>
      <c r="K225" s="825">
        <v>0.5</v>
      </c>
      <c r="L225" s="825">
        <v>0.5</v>
      </c>
      <c r="M225" s="825">
        <v>0.5</v>
      </c>
      <c r="N225" s="825">
        <v>0.5</v>
      </c>
      <c r="O225" s="825">
        <v>0.5</v>
      </c>
      <c r="P225" s="825">
        <v>0.5</v>
      </c>
      <c r="Q225" s="825">
        <v>0.5</v>
      </c>
      <c r="T225" s="825">
        <v>0.5</v>
      </c>
      <c r="U225" s="825">
        <v>0.5</v>
      </c>
      <c r="V225" s="825">
        <v>0.5</v>
      </c>
      <c r="W225" s="825">
        <v>0.5</v>
      </c>
      <c r="X225" s="825">
        <v>0.5</v>
      </c>
      <c r="Y225" s="825">
        <v>0.5</v>
      </c>
    </row>
    <row r="226" spans="2:25" outlineLevel="1">
      <c r="B226" s="735"/>
      <c r="C226" s="740" t="s">
        <v>309</v>
      </c>
      <c r="D226" s="716">
        <f t="shared" si="55"/>
        <v>5</v>
      </c>
      <c r="E226" s="825">
        <v>0</v>
      </c>
      <c r="F226" s="825">
        <v>0</v>
      </c>
      <c r="G226" s="825">
        <v>0</v>
      </c>
      <c r="H226" s="825">
        <v>0</v>
      </c>
      <c r="I226" s="825">
        <v>0</v>
      </c>
      <c r="J226" s="825">
        <v>0</v>
      </c>
      <c r="K226" s="825">
        <v>0</v>
      </c>
      <c r="L226" s="825">
        <v>0</v>
      </c>
      <c r="M226" s="825">
        <v>0</v>
      </c>
      <c r="N226" s="825">
        <v>0</v>
      </c>
      <c r="O226" s="825">
        <v>0</v>
      </c>
      <c r="P226" s="825">
        <v>0</v>
      </c>
      <c r="Q226" s="825">
        <v>0</v>
      </c>
      <c r="T226" s="825" t="e">
        <f>+'[6]입력 시트(0124)'!T267</f>
        <v>#REF!</v>
      </c>
      <c r="U226" s="825" t="e">
        <f>+'[6]입력 시트(0124)'!U267</f>
        <v>#REF!</v>
      </c>
      <c r="V226" s="825" t="e">
        <f>+'[6]입력 시트(0124)'!V267</f>
        <v>#REF!</v>
      </c>
      <c r="W226" s="825" t="e">
        <f>+'[6]입력 시트(0124)'!W267</f>
        <v>#REF!</v>
      </c>
      <c r="X226" s="825" t="e">
        <f>+'[6]입력 시트(0124)'!X267</f>
        <v>#REF!</v>
      </c>
      <c r="Y226" s="825">
        <v>0</v>
      </c>
    </row>
    <row r="227" spans="2:25" outlineLevel="1">
      <c r="B227" s="735"/>
      <c r="C227" s="740" t="s">
        <v>309</v>
      </c>
      <c r="D227" s="716">
        <f t="shared" si="55"/>
        <v>6</v>
      </c>
      <c r="E227" s="825">
        <v>0</v>
      </c>
      <c r="F227" s="825">
        <v>0</v>
      </c>
      <c r="G227" s="825">
        <v>0</v>
      </c>
      <c r="H227" s="825">
        <v>0</v>
      </c>
      <c r="I227" s="825">
        <v>0</v>
      </c>
      <c r="J227" s="825">
        <v>0</v>
      </c>
      <c r="K227" s="825">
        <v>0</v>
      </c>
      <c r="L227" s="825">
        <v>0</v>
      </c>
      <c r="M227" s="825">
        <v>0</v>
      </c>
      <c r="N227" s="825">
        <v>0</v>
      </c>
      <c r="O227" s="825">
        <v>0</v>
      </c>
      <c r="P227" s="825">
        <v>0</v>
      </c>
      <c r="Q227" s="825">
        <v>0</v>
      </c>
      <c r="T227" s="825">
        <v>0</v>
      </c>
      <c r="U227" s="825">
        <v>0</v>
      </c>
      <c r="V227" s="825">
        <v>0</v>
      </c>
      <c r="W227" s="825">
        <v>0</v>
      </c>
      <c r="X227" s="825">
        <v>0</v>
      </c>
      <c r="Y227" s="825">
        <v>0</v>
      </c>
    </row>
    <row r="228" spans="2:25" outlineLevel="1">
      <c r="B228" s="735"/>
      <c r="C228" s="740" t="s">
        <v>309</v>
      </c>
      <c r="D228" s="716">
        <f t="shared" si="55"/>
        <v>7</v>
      </c>
      <c r="E228" s="825">
        <v>0</v>
      </c>
      <c r="F228" s="825">
        <v>0</v>
      </c>
      <c r="G228" s="825">
        <v>0</v>
      </c>
      <c r="H228" s="825">
        <v>0</v>
      </c>
      <c r="I228" s="825">
        <v>0</v>
      </c>
      <c r="J228" s="825">
        <v>0</v>
      </c>
      <c r="K228" s="825">
        <v>0</v>
      </c>
      <c r="L228" s="825">
        <v>0</v>
      </c>
      <c r="M228" s="825">
        <v>0</v>
      </c>
      <c r="N228" s="825">
        <v>0</v>
      </c>
      <c r="O228" s="825">
        <v>0</v>
      </c>
      <c r="P228" s="825">
        <v>0</v>
      </c>
      <c r="Q228" s="825">
        <v>0</v>
      </c>
      <c r="T228" s="825" t="e">
        <f>+'[6]입력 시트(0124)'!T269</f>
        <v>#REF!</v>
      </c>
      <c r="U228" s="825" t="e">
        <f>+'[6]입력 시트(0124)'!U269</f>
        <v>#REF!</v>
      </c>
      <c r="V228" s="825" t="e">
        <f>+'[6]입력 시트(0124)'!V269</f>
        <v>#REF!</v>
      </c>
      <c r="W228" s="825" t="e">
        <f>+'[6]입력 시트(0124)'!W269</f>
        <v>#REF!</v>
      </c>
      <c r="X228" s="825" t="e">
        <f>+'[6]입력 시트(0124)'!X269</f>
        <v>#REF!</v>
      </c>
      <c r="Y228" s="825">
        <v>0</v>
      </c>
    </row>
    <row r="229" spans="2:25" outlineLevel="1">
      <c r="B229" s="735"/>
      <c r="C229" s="740" t="s">
        <v>309</v>
      </c>
      <c r="D229" s="716">
        <f t="shared" si="55"/>
        <v>8</v>
      </c>
      <c r="E229" s="825">
        <v>0</v>
      </c>
      <c r="F229" s="825">
        <v>0</v>
      </c>
      <c r="G229" s="825">
        <v>0</v>
      </c>
      <c r="H229" s="825">
        <v>0</v>
      </c>
      <c r="I229" s="825">
        <v>0</v>
      </c>
      <c r="J229" s="825">
        <v>0</v>
      </c>
      <c r="K229" s="825">
        <v>0</v>
      </c>
      <c r="L229" s="825">
        <v>0</v>
      </c>
      <c r="M229" s="825">
        <v>0</v>
      </c>
      <c r="N229" s="825">
        <v>0</v>
      </c>
      <c r="O229" s="825">
        <v>0</v>
      </c>
      <c r="P229" s="825">
        <v>0</v>
      </c>
      <c r="Q229" s="825">
        <v>0</v>
      </c>
      <c r="T229" s="825" t="e">
        <f>+'[6]입력 시트(0124)'!T270</f>
        <v>#REF!</v>
      </c>
      <c r="U229" s="825" t="e">
        <f>+'[6]입력 시트(0124)'!U270</f>
        <v>#REF!</v>
      </c>
      <c r="V229" s="825" t="e">
        <f>+'[6]입력 시트(0124)'!V270</f>
        <v>#REF!</v>
      </c>
      <c r="W229" s="825" t="e">
        <f>+'[6]입력 시트(0124)'!W270</f>
        <v>#REF!</v>
      </c>
      <c r="X229" s="825" t="e">
        <f>+'[6]입력 시트(0124)'!X270</f>
        <v>#REF!</v>
      </c>
      <c r="Y229" s="825">
        <v>0</v>
      </c>
    </row>
    <row r="230" spans="2:25" outlineLevel="1">
      <c r="B230" s="735"/>
      <c r="C230" s="740" t="s">
        <v>309</v>
      </c>
      <c r="D230" s="716">
        <f t="shared" si="55"/>
        <v>9</v>
      </c>
      <c r="E230" s="825">
        <v>0.1</v>
      </c>
      <c r="F230" s="825">
        <v>0.1</v>
      </c>
      <c r="G230" s="825">
        <v>0.1</v>
      </c>
      <c r="H230" s="825">
        <v>0.1</v>
      </c>
      <c r="I230" s="825">
        <v>0.1</v>
      </c>
      <c r="J230" s="825">
        <v>0.1</v>
      </c>
      <c r="K230" s="825">
        <v>0.1</v>
      </c>
      <c r="L230" s="825">
        <v>0.1</v>
      </c>
      <c r="M230" s="825">
        <v>0.1</v>
      </c>
      <c r="N230" s="825">
        <v>0.1</v>
      </c>
      <c r="O230" s="825">
        <v>0.1</v>
      </c>
      <c r="P230" s="825">
        <v>0.1</v>
      </c>
      <c r="Q230" s="825">
        <v>0.1</v>
      </c>
      <c r="T230" s="825">
        <v>0.1</v>
      </c>
      <c r="U230" s="825">
        <v>0.1</v>
      </c>
      <c r="V230" s="825">
        <v>0.1</v>
      </c>
      <c r="W230" s="825">
        <v>0.1</v>
      </c>
      <c r="X230" s="825">
        <v>0.1</v>
      </c>
      <c r="Y230" s="825">
        <v>0.1</v>
      </c>
    </row>
    <row r="231" spans="2:25" outlineLevel="1">
      <c r="B231" s="735"/>
      <c r="C231" s="740" t="s">
        <v>309</v>
      </c>
      <c r="D231" s="716">
        <f t="shared" si="55"/>
        <v>10</v>
      </c>
      <c r="E231" s="825">
        <v>0</v>
      </c>
      <c r="F231" s="825">
        <v>0</v>
      </c>
      <c r="G231" s="825">
        <v>0</v>
      </c>
      <c r="H231" s="825">
        <v>0</v>
      </c>
      <c r="I231" s="825">
        <v>0</v>
      </c>
      <c r="J231" s="825">
        <v>0</v>
      </c>
      <c r="K231" s="825">
        <v>0</v>
      </c>
      <c r="L231" s="825">
        <v>0</v>
      </c>
      <c r="M231" s="825">
        <v>0</v>
      </c>
      <c r="N231" s="825">
        <v>0</v>
      </c>
      <c r="O231" s="825">
        <v>0</v>
      </c>
      <c r="P231" s="825">
        <v>0</v>
      </c>
      <c r="Q231" s="825">
        <v>0</v>
      </c>
      <c r="T231" s="825" t="e">
        <f>+'[6]입력 시트(0124)'!T272</f>
        <v>#REF!</v>
      </c>
      <c r="U231" s="825" t="e">
        <f>+'[6]입력 시트(0124)'!U272</f>
        <v>#REF!</v>
      </c>
      <c r="V231" s="825" t="e">
        <f>+'[6]입력 시트(0124)'!V272</f>
        <v>#REF!</v>
      </c>
      <c r="W231" s="825" t="e">
        <f>+'[6]입력 시트(0124)'!W272</f>
        <v>#REF!</v>
      </c>
      <c r="X231" s="825" t="e">
        <f>+'[6]입력 시트(0124)'!X272</f>
        <v>#REF!</v>
      </c>
      <c r="Y231" s="825">
        <v>0</v>
      </c>
    </row>
    <row r="232" spans="2:25" ht="54" customHeight="1" outlineLevel="1">
      <c r="B232" s="735" t="s">
        <v>540</v>
      </c>
      <c r="C232" s="1369"/>
      <c r="D232" s="1370"/>
      <c r="E232" s="826"/>
      <c r="F232" s="826"/>
      <c r="G232" s="826"/>
      <c r="H232" s="826"/>
      <c r="I232" s="826"/>
      <c r="J232" s="826"/>
      <c r="K232" s="826"/>
      <c r="L232" s="826"/>
      <c r="M232" s="826"/>
      <c r="N232" s="826"/>
      <c r="O232" s="826"/>
      <c r="P232" s="826"/>
      <c r="Q232" s="826"/>
      <c r="T232" s="826"/>
      <c r="U232" s="826"/>
      <c r="V232" s="826"/>
      <c r="W232" s="826"/>
      <c r="X232" s="826"/>
      <c r="Y232" s="826"/>
    </row>
    <row r="233" spans="2:25" hidden="1" outlineLevel="1">
      <c r="B233" s="803" t="s">
        <v>576</v>
      </c>
      <c r="D233" s="749"/>
      <c r="E233" s="750"/>
      <c r="F233" s="750"/>
      <c r="G233" s="750"/>
      <c r="H233" s="750"/>
      <c r="I233" s="750"/>
      <c r="J233" s="750"/>
      <c r="K233" s="750"/>
      <c r="L233" s="750"/>
      <c r="M233" s="750"/>
      <c r="N233" s="750"/>
      <c r="O233" s="750"/>
      <c r="P233" s="750"/>
      <c r="Q233" s="750"/>
      <c r="T233" s="953"/>
      <c r="U233" s="953"/>
      <c r="V233" s="953"/>
      <c r="W233" s="953"/>
      <c r="X233" s="953"/>
      <c r="Y233" s="953"/>
    </row>
    <row r="234" spans="2:25" ht="16.5" hidden="1" customHeight="1" outlineLevel="1">
      <c r="B234" s="735" t="s">
        <v>487</v>
      </c>
      <c r="C234" s="760"/>
      <c r="D234" s="759"/>
      <c r="E234" s="801"/>
      <c r="F234" s="801"/>
      <c r="G234" s="801"/>
      <c r="H234" s="801"/>
      <c r="I234" s="801"/>
      <c r="J234" s="801"/>
      <c r="K234" s="801"/>
      <c r="L234" s="801"/>
      <c r="M234" s="801"/>
      <c r="N234" s="801"/>
      <c r="O234" s="801"/>
      <c r="P234" s="801"/>
      <c r="Q234" s="801"/>
      <c r="T234" s="801"/>
      <c r="U234" s="801"/>
      <c r="V234" s="801"/>
      <c r="W234" s="801"/>
      <c r="X234" s="801"/>
      <c r="Y234" s="801"/>
    </row>
    <row r="235" spans="2:25" hidden="1" outlineLevel="1">
      <c r="B235" s="735" t="s">
        <v>528</v>
      </c>
      <c r="D235" s="813" t="s">
        <v>571</v>
      </c>
      <c r="E235" s="821"/>
      <c r="F235" s="821"/>
      <c r="G235" s="821"/>
      <c r="H235" s="821"/>
      <c r="I235" s="821"/>
      <c r="J235" s="821"/>
      <c r="K235" s="821"/>
      <c r="L235" s="821"/>
      <c r="M235" s="821"/>
      <c r="N235" s="821"/>
      <c r="O235" s="821"/>
      <c r="P235" s="821"/>
      <c r="Q235" s="821"/>
      <c r="T235" s="821"/>
      <c r="U235" s="821"/>
      <c r="V235" s="821"/>
      <c r="W235" s="821"/>
      <c r="X235" s="821"/>
      <c r="Y235" s="821"/>
    </row>
    <row r="236" spans="2:25" ht="16.5" hidden="1" customHeight="1" outlineLevel="1">
      <c r="B236" s="735" t="s">
        <v>542</v>
      </c>
      <c r="D236" s="721" t="s">
        <v>533</v>
      </c>
      <c r="E236" s="822">
        <v>0</v>
      </c>
      <c r="F236" s="822">
        <v>0</v>
      </c>
      <c r="G236" s="822">
        <v>0</v>
      </c>
      <c r="H236" s="822">
        <v>0</v>
      </c>
      <c r="I236" s="822">
        <v>0</v>
      </c>
      <c r="J236" s="822">
        <v>0</v>
      </c>
      <c r="K236" s="822">
        <v>0</v>
      </c>
      <c r="L236" s="822">
        <v>0</v>
      </c>
      <c r="M236" s="822">
        <v>0</v>
      </c>
      <c r="N236" s="822">
        <v>0</v>
      </c>
      <c r="O236" s="822">
        <v>0</v>
      </c>
      <c r="P236" s="822">
        <v>0</v>
      </c>
      <c r="Q236" s="822">
        <v>0</v>
      </c>
      <c r="T236" s="822">
        <v>0</v>
      </c>
      <c r="U236" s="822">
        <v>0</v>
      </c>
      <c r="V236" s="822">
        <v>0</v>
      </c>
      <c r="W236" s="822">
        <v>0</v>
      </c>
      <c r="X236" s="822">
        <v>0</v>
      </c>
      <c r="Y236" s="822">
        <v>0</v>
      </c>
    </row>
    <row r="237" spans="2:25" ht="16.5" hidden="1" customHeight="1" outlineLevel="1">
      <c r="B237" s="735" t="s">
        <v>534</v>
      </c>
      <c r="D237" s="721" t="s">
        <v>301</v>
      </c>
      <c r="E237" s="823"/>
      <c r="F237" s="823"/>
      <c r="G237" s="823"/>
      <c r="H237" s="823"/>
      <c r="I237" s="823"/>
      <c r="J237" s="823"/>
      <c r="K237" s="823"/>
      <c r="L237" s="823"/>
      <c r="M237" s="823"/>
      <c r="N237" s="823"/>
      <c r="O237" s="823"/>
      <c r="P237" s="823"/>
      <c r="Q237" s="823"/>
      <c r="T237" s="823"/>
      <c r="U237" s="823"/>
      <c r="V237" s="823"/>
      <c r="W237" s="823"/>
      <c r="X237" s="823"/>
      <c r="Y237" s="823"/>
    </row>
    <row r="238" spans="2:25" ht="16.5" hidden="1" customHeight="1" outlineLevel="1">
      <c r="B238" s="735" t="s">
        <v>536</v>
      </c>
      <c r="D238" s="721" t="s">
        <v>309</v>
      </c>
      <c r="E238" s="824"/>
      <c r="F238" s="824"/>
      <c r="G238" s="824"/>
      <c r="H238" s="824"/>
      <c r="I238" s="824"/>
      <c r="J238" s="824"/>
      <c r="K238" s="824"/>
      <c r="L238" s="824"/>
      <c r="M238" s="824"/>
      <c r="N238" s="824"/>
      <c r="O238" s="824"/>
      <c r="P238" s="824"/>
      <c r="Q238" s="824"/>
      <c r="T238" s="824"/>
      <c r="U238" s="824"/>
      <c r="V238" s="824"/>
      <c r="W238" s="824"/>
      <c r="X238" s="824"/>
      <c r="Y238" s="824"/>
    </row>
    <row r="239" spans="2:25" hidden="1" outlineLevel="1">
      <c r="B239" s="735" t="s">
        <v>568</v>
      </c>
      <c r="C239" s="740" t="s">
        <v>569</v>
      </c>
      <c r="D239" s="716">
        <v>1</v>
      </c>
      <c r="E239" s="824">
        <v>0</v>
      </c>
      <c r="F239" s="824">
        <v>0</v>
      </c>
      <c r="G239" s="824">
        <v>0</v>
      </c>
      <c r="H239" s="824">
        <v>0</v>
      </c>
      <c r="I239" s="824">
        <v>0</v>
      </c>
      <c r="J239" s="824">
        <v>0</v>
      </c>
      <c r="K239" s="824">
        <v>0</v>
      </c>
      <c r="L239" s="824">
        <v>0</v>
      </c>
      <c r="M239" s="824">
        <v>0</v>
      </c>
      <c r="N239" s="824">
        <v>0</v>
      </c>
      <c r="O239" s="824">
        <v>0</v>
      </c>
      <c r="P239" s="824">
        <v>0</v>
      </c>
      <c r="Q239" s="824">
        <v>0</v>
      </c>
      <c r="T239" s="824">
        <v>0</v>
      </c>
      <c r="U239" s="824">
        <v>0</v>
      </c>
      <c r="V239" s="824">
        <v>0</v>
      </c>
      <c r="W239" s="824">
        <v>0</v>
      </c>
      <c r="X239" s="824">
        <v>0</v>
      </c>
      <c r="Y239" s="824">
        <v>0</v>
      </c>
    </row>
    <row r="240" spans="2:25" hidden="1" outlineLevel="1">
      <c r="B240" s="735"/>
      <c r="C240" s="740" t="s">
        <v>309</v>
      </c>
      <c r="D240" s="716">
        <f t="shared" ref="D240:D262" si="56">+D239+1</f>
        <v>2</v>
      </c>
      <c r="E240" s="824">
        <f>+'[6]입력 시트(0124)'!E307</f>
        <v>0</v>
      </c>
      <c r="F240" s="824">
        <f>+'[6]입력 시트(0124)'!F307</f>
        <v>0</v>
      </c>
      <c r="G240" s="824">
        <f>+'[6]입력 시트(0124)'!G307</f>
        <v>0</v>
      </c>
      <c r="H240" s="824">
        <f>+'[6]입력 시트(0124)'!H307</f>
        <v>0</v>
      </c>
      <c r="I240" s="824">
        <f>+'[6]입력 시트(0124)'!I307</f>
        <v>0</v>
      </c>
      <c r="J240" s="824">
        <v>0</v>
      </c>
      <c r="K240" s="824">
        <v>0</v>
      </c>
      <c r="L240" s="824">
        <v>0</v>
      </c>
      <c r="M240" s="824">
        <v>0</v>
      </c>
      <c r="N240" s="824">
        <v>0</v>
      </c>
      <c r="O240" s="824">
        <v>0</v>
      </c>
      <c r="P240" s="824">
        <v>0</v>
      </c>
      <c r="Q240" s="824">
        <v>0</v>
      </c>
      <c r="T240" s="824" t="e">
        <f>+'[6]입력 시트(0124)'!T307</f>
        <v>#REF!</v>
      </c>
      <c r="U240" s="824" t="e">
        <f>+'[6]입력 시트(0124)'!U307</f>
        <v>#REF!</v>
      </c>
      <c r="V240" s="824" t="e">
        <f>+'[6]입력 시트(0124)'!V307</f>
        <v>#REF!</v>
      </c>
      <c r="W240" s="824" t="e">
        <f>+'[6]입력 시트(0124)'!W307</f>
        <v>#REF!</v>
      </c>
      <c r="X240" s="824" t="e">
        <f>+'[6]입력 시트(0124)'!X307</f>
        <v>#REF!</v>
      </c>
      <c r="Y240" s="824">
        <v>0</v>
      </c>
    </row>
    <row r="241" spans="2:25" hidden="1" outlineLevel="1">
      <c r="B241" s="735"/>
      <c r="C241" s="740" t="s">
        <v>309</v>
      </c>
      <c r="D241" s="716">
        <f t="shared" si="56"/>
        <v>3</v>
      </c>
      <c r="E241" s="824">
        <f>+'[6]입력 시트(0124)'!E308</f>
        <v>0</v>
      </c>
      <c r="F241" s="824">
        <f>+'[6]입력 시트(0124)'!F308</f>
        <v>0</v>
      </c>
      <c r="G241" s="824">
        <f>+'[6]입력 시트(0124)'!G308</f>
        <v>0</v>
      </c>
      <c r="H241" s="824">
        <f>+'[6]입력 시트(0124)'!H308</f>
        <v>0</v>
      </c>
      <c r="I241" s="824">
        <f>+'[6]입력 시트(0124)'!I308</f>
        <v>0</v>
      </c>
      <c r="J241" s="824">
        <v>0</v>
      </c>
      <c r="K241" s="824">
        <v>0</v>
      </c>
      <c r="L241" s="824">
        <v>0</v>
      </c>
      <c r="M241" s="824">
        <v>0</v>
      </c>
      <c r="N241" s="824">
        <v>0</v>
      </c>
      <c r="O241" s="824">
        <v>0</v>
      </c>
      <c r="P241" s="824">
        <v>0</v>
      </c>
      <c r="Q241" s="824">
        <v>0</v>
      </c>
      <c r="T241" s="824" t="e">
        <f>+'[6]입력 시트(0124)'!T308</f>
        <v>#REF!</v>
      </c>
      <c r="U241" s="824" t="e">
        <f>+'[6]입력 시트(0124)'!U308</f>
        <v>#REF!</v>
      </c>
      <c r="V241" s="824" t="e">
        <f>+'[6]입력 시트(0124)'!V308</f>
        <v>#REF!</v>
      </c>
      <c r="W241" s="824" t="e">
        <f>+'[6]입력 시트(0124)'!W308</f>
        <v>#REF!</v>
      </c>
      <c r="X241" s="824" t="e">
        <f>+'[6]입력 시트(0124)'!X308</f>
        <v>#REF!</v>
      </c>
      <c r="Y241" s="824">
        <v>0</v>
      </c>
    </row>
    <row r="242" spans="2:25" hidden="1" outlineLevel="1">
      <c r="B242" s="735"/>
      <c r="C242" s="740" t="s">
        <v>309</v>
      </c>
      <c r="D242" s="716">
        <f t="shared" si="56"/>
        <v>4</v>
      </c>
      <c r="E242" s="824">
        <f>+'[6]입력 시트(0124)'!E309</f>
        <v>0</v>
      </c>
      <c r="F242" s="824">
        <f>+'[6]입력 시트(0124)'!F309</f>
        <v>0</v>
      </c>
      <c r="G242" s="824">
        <f>+'[6]입력 시트(0124)'!G309</f>
        <v>0</v>
      </c>
      <c r="H242" s="824">
        <f>+'[6]입력 시트(0124)'!H309</f>
        <v>0</v>
      </c>
      <c r="I242" s="824">
        <f>+'[6]입력 시트(0124)'!I309</f>
        <v>0</v>
      </c>
      <c r="J242" s="824">
        <v>0</v>
      </c>
      <c r="K242" s="824">
        <v>0</v>
      </c>
      <c r="L242" s="824">
        <v>0</v>
      </c>
      <c r="M242" s="824">
        <v>0</v>
      </c>
      <c r="N242" s="824">
        <v>0</v>
      </c>
      <c r="O242" s="824">
        <v>0</v>
      </c>
      <c r="P242" s="824">
        <v>0</v>
      </c>
      <c r="Q242" s="824">
        <v>0</v>
      </c>
      <c r="T242" s="824" t="e">
        <f>+'[6]입력 시트(0124)'!T309</f>
        <v>#REF!</v>
      </c>
      <c r="U242" s="824" t="e">
        <f>+'[6]입력 시트(0124)'!U309</f>
        <v>#REF!</v>
      </c>
      <c r="V242" s="824" t="e">
        <f>+'[6]입력 시트(0124)'!V309</f>
        <v>#REF!</v>
      </c>
      <c r="W242" s="824" t="e">
        <f>+'[6]입력 시트(0124)'!W309</f>
        <v>#REF!</v>
      </c>
      <c r="X242" s="824" t="e">
        <f>+'[6]입력 시트(0124)'!X309</f>
        <v>#REF!</v>
      </c>
      <c r="Y242" s="824">
        <v>0</v>
      </c>
    </row>
    <row r="243" spans="2:25" hidden="1" outlineLevel="1">
      <c r="B243" s="735"/>
      <c r="C243" s="740" t="s">
        <v>309</v>
      </c>
      <c r="D243" s="716">
        <f t="shared" si="56"/>
        <v>5</v>
      </c>
      <c r="E243" s="824">
        <f>+'[6]입력 시트(0124)'!E310</f>
        <v>0</v>
      </c>
      <c r="F243" s="824">
        <f>+'[6]입력 시트(0124)'!F310</f>
        <v>0</v>
      </c>
      <c r="G243" s="824">
        <f>+'[6]입력 시트(0124)'!G310</f>
        <v>0</v>
      </c>
      <c r="H243" s="824">
        <f>+'[6]입력 시트(0124)'!H310</f>
        <v>0</v>
      </c>
      <c r="I243" s="824">
        <f>+'[6]입력 시트(0124)'!I310</f>
        <v>0</v>
      </c>
      <c r="J243" s="824">
        <v>0</v>
      </c>
      <c r="K243" s="824">
        <v>0</v>
      </c>
      <c r="L243" s="824">
        <v>0</v>
      </c>
      <c r="M243" s="824">
        <v>0</v>
      </c>
      <c r="N243" s="824">
        <v>0</v>
      </c>
      <c r="O243" s="824">
        <v>0</v>
      </c>
      <c r="P243" s="824">
        <v>0</v>
      </c>
      <c r="Q243" s="824">
        <v>0</v>
      </c>
      <c r="T243" s="824" t="e">
        <f>+'[6]입력 시트(0124)'!T310</f>
        <v>#REF!</v>
      </c>
      <c r="U243" s="824" t="e">
        <f>+'[6]입력 시트(0124)'!U310</f>
        <v>#REF!</v>
      </c>
      <c r="V243" s="824" t="e">
        <f>+'[6]입력 시트(0124)'!V310</f>
        <v>#REF!</v>
      </c>
      <c r="W243" s="824" t="e">
        <f>+'[6]입력 시트(0124)'!W310</f>
        <v>#REF!</v>
      </c>
      <c r="X243" s="824" t="e">
        <f>+'[6]입력 시트(0124)'!X310</f>
        <v>#REF!</v>
      </c>
      <c r="Y243" s="824">
        <v>0</v>
      </c>
    </row>
    <row r="244" spans="2:25" hidden="1" outlineLevel="1">
      <c r="B244" s="735"/>
      <c r="C244" s="740" t="s">
        <v>309</v>
      </c>
      <c r="D244" s="716">
        <f t="shared" si="56"/>
        <v>6</v>
      </c>
      <c r="E244" s="824">
        <f>+'[6]입력 시트(0124)'!E311</f>
        <v>0</v>
      </c>
      <c r="F244" s="824">
        <f>+'[6]입력 시트(0124)'!F311</f>
        <v>0</v>
      </c>
      <c r="G244" s="824">
        <f>+'[6]입력 시트(0124)'!G311</f>
        <v>0</v>
      </c>
      <c r="H244" s="824">
        <f>+'[6]입력 시트(0124)'!H311</f>
        <v>0</v>
      </c>
      <c r="I244" s="824">
        <f>+'[6]입력 시트(0124)'!I311</f>
        <v>0</v>
      </c>
      <c r="J244" s="824">
        <v>0</v>
      </c>
      <c r="K244" s="824">
        <v>0</v>
      </c>
      <c r="L244" s="824">
        <v>0</v>
      </c>
      <c r="M244" s="824">
        <v>0</v>
      </c>
      <c r="N244" s="824">
        <v>0</v>
      </c>
      <c r="O244" s="824">
        <v>0</v>
      </c>
      <c r="P244" s="824">
        <v>0</v>
      </c>
      <c r="Q244" s="824">
        <v>0</v>
      </c>
      <c r="T244" s="824" t="e">
        <f>+'[6]입력 시트(0124)'!T311</f>
        <v>#REF!</v>
      </c>
      <c r="U244" s="824" t="e">
        <f>+'[6]입력 시트(0124)'!U311</f>
        <v>#REF!</v>
      </c>
      <c r="V244" s="824" t="e">
        <f>+'[6]입력 시트(0124)'!V311</f>
        <v>#REF!</v>
      </c>
      <c r="W244" s="824" t="e">
        <f>+'[6]입력 시트(0124)'!W311</f>
        <v>#REF!</v>
      </c>
      <c r="X244" s="824" t="e">
        <f>+'[6]입력 시트(0124)'!X311</f>
        <v>#REF!</v>
      </c>
      <c r="Y244" s="824">
        <v>0</v>
      </c>
    </row>
    <row r="245" spans="2:25" hidden="1" outlineLevel="1">
      <c r="B245" s="735"/>
      <c r="C245" s="740" t="s">
        <v>309</v>
      </c>
      <c r="D245" s="716">
        <f t="shared" si="56"/>
        <v>7</v>
      </c>
      <c r="E245" s="824">
        <f>+'[6]입력 시트(0124)'!E312</f>
        <v>0</v>
      </c>
      <c r="F245" s="824">
        <f>+'[6]입력 시트(0124)'!F312</f>
        <v>0</v>
      </c>
      <c r="G245" s="824">
        <f>+'[6]입력 시트(0124)'!G312</f>
        <v>0</v>
      </c>
      <c r="H245" s="824">
        <f>+'[6]입력 시트(0124)'!H312</f>
        <v>0</v>
      </c>
      <c r="I245" s="824">
        <f>+'[6]입력 시트(0124)'!I312</f>
        <v>0</v>
      </c>
      <c r="J245" s="824">
        <v>0</v>
      </c>
      <c r="K245" s="824">
        <v>0</v>
      </c>
      <c r="L245" s="824">
        <v>0</v>
      </c>
      <c r="M245" s="824">
        <v>0</v>
      </c>
      <c r="N245" s="824">
        <v>0</v>
      </c>
      <c r="O245" s="824">
        <v>0</v>
      </c>
      <c r="P245" s="824">
        <v>0</v>
      </c>
      <c r="Q245" s="824">
        <v>0</v>
      </c>
      <c r="T245" s="824" t="e">
        <f>+'[6]입력 시트(0124)'!T312</f>
        <v>#REF!</v>
      </c>
      <c r="U245" s="824" t="e">
        <f>+'[6]입력 시트(0124)'!U312</f>
        <v>#REF!</v>
      </c>
      <c r="V245" s="824" t="e">
        <f>+'[6]입력 시트(0124)'!V312</f>
        <v>#REF!</v>
      </c>
      <c r="W245" s="824" t="e">
        <f>+'[6]입력 시트(0124)'!W312</f>
        <v>#REF!</v>
      </c>
      <c r="X245" s="824" t="e">
        <f>+'[6]입력 시트(0124)'!X312</f>
        <v>#REF!</v>
      </c>
      <c r="Y245" s="824">
        <v>0</v>
      </c>
    </row>
    <row r="246" spans="2:25" hidden="1" outlineLevel="1">
      <c r="B246" s="735"/>
      <c r="C246" s="740" t="s">
        <v>309</v>
      </c>
      <c r="D246" s="716">
        <f t="shared" si="56"/>
        <v>8</v>
      </c>
      <c r="E246" s="824">
        <f>+'[6]입력 시트(0124)'!E313</f>
        <v>0</v>
      </c>
      <c r="F246" s="824">
        <f>+'[6]입력 시트(0124)'!F313</f>
        <v>0</v>
      </c>
      <c r="G246" s="824">
        <f>+'[6]입력 시트(0124)'!G313</f>
        <v>0</v>
      </c>
      <c r="H246" s="824">
        <f>+'[6]입력 시트(0124)'!H313</f>
        <v>0</v>
      </c>
      <c r="I246" s="824">
        <f>+'[6]입력 시트(0124)'!I313</f>
        <v>0</v>
      </c>
      <c r="J246" s="824">
        <v>0</v>
      </c>
      <c r="K246" s="824">
        <v>0</v>
      </c>
      <c r="L246" s="824">
        <v>0</v>
      </c>
      <c r="M246" s="824">
        <v>0</v>
      </c>
      <c r="N246" s="824">
        <v>0</v>
      </c>
      <c r="O246" s="824">
        <v>0</v>
      </c>
      <c r="P246" s="824">
        <v>0</v>
      </c>
      <c r="Q246" s="824">
        <v>0</v>
      </c>
      <c r="T246" s="824" t="e">
        <f>+'[6]입력 시트(0124)'!T313</f>
        <v>#REF!</v>
      </c>
      <c r="U246" s="824" t="e">
        <f>+'[6]입력 시트(0124)'!U313</f>
        <v>#REF!</v>
      </c>
      <c r="V246" s="824" t="e">
        <f>+'[6]입력 시트(0124)'!V313</f>
        <v>#REF!</v>
      </c>
      <c r="W246" s="824" t="e">
        <f>+'[6]입력 시트(0124)'!W313</f>
        <v>#REF!</v>
      </c>
      <c r="X246" s="824" t="e">
        <f>+'[6]입력 시트(0124)'!X313</f>
        <v>#REF!</v>
      </c>
      <c r="Y246" s="824">
        <v>0</v>
      </c>
    </row>
    <row r="247" spans="2:25" hidden="1" outlineLevel="1">
      <c r="B247" s="735"/>
      <c r="C247" s="740" t="s">
        <v>309</v>
      </c>
      <c r="D247" s="716">
        <f t="shared" si="56"/>
        <v>9</v>
      </c>
      <c r="E247" s="824">
        <f>+'[6]입력 시트(0124)'!E314</f>
        <v>0</v>
      </c>
      <c r="F247" s="824">
        <f>+'[6]입력 시트(0124)'!F314</f>
        <v>0</v>
      </c>
      <c r="G247" s="824">
        <f>+'[6]입력 시트(0124)'!G314</f>
        <v>0</v>
      </c>
      <c r="H247" s="824">
        <f>+'[6]입력 시트(0124)'!H314</f>
        <v>0</v>
      </c>
      <c r="I247" s="824">
        <f>+'[6]입력 시트(0124)'!I314</f>
        <v>0</v>
      </c>
      <c r="J247" s="824">
        <v>0</v>
      </c>
      <c r="K247" s="824">
        <v>0</v>
      </c>
      <c r="L247" s="824">
        <v>0</v>
      </c>
      <c r="M247" s="824">
        <v>0</v>
      </c>
      <c r="N247" s="824">
        <v>0</v>
      </c>
      <c r="O247" s="824">
        <v>0</v>
      </c>
      <c r="P247" s="824">
        <v>0</v>
      </c>
      <c r="Q247" s="824">
        <v>0</v>
      </c>
      <c r="T247" s="824" t="e">
        <f>+'[6]입력 시트(0124)'!T314</f>
        <v>#REF!</v>
      </c>
      <c r="U247" s="824" t="e">
        <f>+'[6]입력 시트(0124)'!U314</f>
        <v>#REF!</v>
      </c>
      <c r="V247" s="824" t="e">
        <f>+'[6]입력 시트(0124)'!V314</f>
        <v>#REF!</v>
      </c>
      <c r="W247" s="824" t="e">
        <f>+'[6]입력 시트(0124)'!W314</f>
        <v>#REF!</v>
      </c>
      <c r="X247" s="824" t="e">
        <f>+'[6]입력 시트(0124)'!X314</f>
        <v>#REF!</v>
      </c>
      <c r="Y247" s="824">
        <v>0</v>
      </c>
    </row>
    <row r="248" spans="2:25" hidden="1" outlineLevel="1">
      <c r="B248" s="735"/>
      <c r="C248" s="740" t="s">
        <v>309</v>
      </c>
      <c r="D248" s="716">
        <f t="shared" si="56"/>
        <v>10</v>
      </c>
      <c r="E248" s="824">
        <f>+'[6]입력 시트(0124)'!E315</f>
        <v>0</v>
      </c>
      <c r="F248" s="824">
        <f>+'[6]입력 시트(0124)'!F315</f>
        <v>0</v>
      </c>
      <c r="G248" s="824">
        <f>+'[6]입력 시트(0124)'!G315</f>
        <v>0</v>
      </c>
      <c r="H248" s="824">
        <f>+'[6]입력 시트(0124)'!H315</f>
        <v>0</v>
      </c>
      <c r="I248" s="824">
        <f>+'[6]입력 시트(0124)'!I315</f>
        <v>0</v>
      </c>
      <c r="J248" s="824">
        <v>0</v>
      </c>
      <c r="K248" s="824">
        <v>0</v>
      </c>
      <c r="L248" s="824">
        <v>0</v>
      </c>
      <c r="M248" s="824">
        <v>0</v>
      </c>
      <c r="N248" s="824">
        <v>0</v>
      </c>
      <c r="O248" s="824">
        <v>0</v>
      </c>
      <c r="P248" s="824">
        <v>0</v>
      </c>
      <c r="Q248" s="824">
        <v>0</v>
      </c>
      <c r="T248" s="824" t="e">
        <f>+'[6]입력 시트(0124)'!T315</f>
        <v>#REF!</v>
      </c>
      <c r="U248" s="824" t="e">
        <f>+'[6]입력 시트(0124)'!U315</f>
        <v>#REF!</v>
      </c>
      <c r="V248" s="824" t="e">
        <f>+'[6]입력 시트(0124)'!V315</f>
        <v>#REF!</v>
      </c>
      <c r="W248" s="824" t="e">
        <f>+'[6]입력 시트(0124)'!W315</f>
        <v>#REF!</v>
      </c>
      <c r="X248" s="824" t="e">
        <f>+'[6]입력 시트(0124)'!X315</f>
        <v>#REF!</v>
      </c>
      <c r="Y248" s="824">
        <v>0</v>
      </c>
    </row>
    <row r="249" spans="2:25" hidden="1" outlineLevel="1">
      <c r="B249" s="735"/>
      <c r="C249" s="740" t="s">
        <v>309</v>
      </c>
      <c r="D249" s="716">
        <f t="shared" si="56"/>
        <v>11</v>
      </c>
      <c r="E249" s="824">
        <f>+'[6]입력 시트(0124)'!E316</f>
        <v>0</v>
      </c>
      <c r="F249" s="824">
        <f>+'[6]입력 시트(0124)'!F316</f>
        <v>0</v>
      </c>
      <c r="G249" s="824">
        <f>+'[6]입력 시트(0124)'!G316</f>
        <v>0</v>
      </c>
      <c r="H249" s="824">
        <f>+'[6]입력 시트(0124)'!H316</f>
        <v>0</v>
      </c>
      <c r="I249" s="824">
        <f>+'[6]입력 시트(0124)'!I316</f>
        <v>0</v>
      </c>
      <c r="J249" s="824">
        <v>0</v>
      </c>
      <c r="K249" s="824">
        <v>0</v>
      </c>
      <c r="L249" s="824">
        <v>0</v>
      </c>
      <c r="M249" s="824">
        <v>0</v>
      </c>
      <c r="N249" s="824">
        <v>0</v>
      </c>
      <c r="O249" s="824">
        <v>0</v>
      </c>
      <c r="P249" s="824">
        <v>0</v>
      </c>
      <c r="Q249" s="824">
        <v>0</v>
      </c>
      <c r="T249" s="824" t="e">
        <f>+'[6]입력 시트(0124)'!T316</f>
        <v>#REF!</v>
      </c>
      <c r="U249" s="824" t="e">
        <f>+'[6]입력 시트(0124)'!U316</f>
        <v>#REF!</v>
      </c>
      <c r="V249" s="824" t="e">
        <f>+'[6]입력 시트(0124)'!V316</f>
        <v>#REF!</v>
      </c>
      <c r="W249" s="824" t="e">
        <f>+'[6]입력 시트(0124)'!W316</f>
        <v>#REF!</v>
      </c>
      <c r="X249" s="824" t="e">
        <f>+'[6]입력 시트(0124)'!X316</f>
        <v>#REF!</v>
      </c>
      <c r="Y249" s="824">
        <v>0</v>
      </c>
    </row>
    <row r="250" spans="2:25" hidden="1" outlineLevel="1">
      <c r="B250" s="735"/>
      <c r="C250" s="740" t="s">
        <v>309</v>
      </c>
      <c r="D250" s="716">
        <f t="shared" si="56"/>
        <v>12</v>
      </c>
      <c r="E250" s="824">
        <f>+'[6]입력 시트(0124)'!E317</f>
        <v>0</v>
      </c>
      <c r="F250" s="824">
        <f>+'[6]입력 시트(0124)'!F317</f>
        <v>0</v>
      </c>
      <c r="G250" s="824">
        <f>+'[6]입력 시트(0124)'!G317</f>
        <v>0</v>
      </c>
      <c r="H250" s="824">
        <f>+'[6]입력 시트(0124)'!H317</f>
        <v>0</v>
      </c>
      <c r="I250" s="824">
        <f>+'[6]입력 시트(0124)'!I317</f>
        <v>0</v>
      </c>
      <c r="J250" s="824">
        <v>0</v>
      </c>
      <c r="K250" s="824">
        <v>0</v>
      </c>
      <c r="L250" s="824">
        <v>0</v>
      </c>
      <c r="M250" s="824">
        <v>0</v>
      </c>
      <c r="N250" s="824">
        <v>0</v>
      </c>
      <c r="O250" s="824">
        <v>0</v>
      </c>
      <c r="P250" s="824">
        <v>0</v>
      </c>
      <c r="Q250" s="824">
        <v>0</v>
      </c>
      <c r="T250" s="824" t="e">
        <f>+'[6]입력 시트(0124)'!T317</f>
        <v>#REF!</v>
      </c>
      <c r="U250" s="824" t="e">
        <f>+'[6]입력 시트(0124)'!U317</f>
        <v>#REF!</v>
      </c>
      <c r="V250" s="824" t="e">
        <f>+'[6]입력 시트(0124)'!V317</f>
        <v>#REF!</v>
      </c>
      <c r="W250" s="824" t="e">
        <f>+'[6]입력 시트(0124)'!W317</f>
        <v>#REF!</v>
      </c>
      <c r="X250" s="824" t="e">
        <f>+'[6]입력 시트(0124)'!X317</f>
        <v>#REF!</v>
      </c>
      <c r="Y250" s="824">
        <v>0</v>
      </c>
    </row>
    <row r="251" spans="2:25" hidden="1" outlineLevel="1">
      <c r="B251" s="735"/>
      <c r="C251" s="740" t="s">
        <v>309</v>
      </c>
      <c r="D251" s="716">
        <f t="shared" si="56"/>
        <v>13</v>
      </c>
      <c r="E251" s="824">
        <f>+'[6]입력 시트(0124)'!E318</f>
        <v>0</v>
      </c>
      <c r="F251" s="824">
        <f>+'[6]입력 시트(0124)'!F318</f>
        <v>0</v>
      </c>
      <c r="G251" s="824">
        <f>+'[6]입력 시트(0124)'!G318</f>
        <v>0</v>
      </c>
      <c r="H251" s="824">
        <f>+'[6]입력 시트(0124)'!H318</f>
        <v>0</v>
      </c>
      <c r="I251" s="824">
        <f>+'[6]입력 시트(0124)'!I318</f>
        <v>0</v>
      </c>
      <c r="J251" s="824">
        <v>0</v>
      </c>
      <c r="K251" s="824">
        <v>0</v>
      </c>
      <c r="L251" s="824">
        <v>0</v>
      </c>
      <c r="M251" s="824">
        <v>0</v>
      </c>
      <c r="N251" s="824">
        <v>0</v>
      </c>
      <c r="O251" s="824">
        <v>0</v>
      </c>
      <c r="P251" s="824">
        <v>0</v>
      </c>
      <c r="Q251" s="824">
        <v>0</v>
      </c>
      <c r="T251" s="824" t="e">
        <f>+'[6]입력 시트(0124)'!T318</f>
        <v>#REF!</v>
      </c>
      <c r="U251" s="824" t="e">
        <f>+'[6]입력 시트(0124)'!U318</f>
        <v>#REF!</v>
      </c>
      <c r="V251" s="824" t="e">
        <f>+'[6]입력 시트(0124)'!V318</f>
        <v>#REF!</v>
      </c>
      <c r="W251" s="824" t="e">
        <f>+'[6]입력 시트(0124)'!W318</f>
        <v>#REF!</v>
      </c>
      <c r="X251" s="824" t="e">
        <f>+'[6]입력 시트(0124)'!X318</f>
        <v>#REF!</v>
      </c>
      <c r="Y251" s="824">
        <v>0</v>
      </c>
    </row>
    <row r="252" spans="2:25" hidden="1" outlineLevel="1">
      <c r="B252" s="735"/>
      <c r="C252" s="740" t="s">
        <v>309</v>
      </c>
      <c r="D252" s="716">
        <f t="shared" si="56"/>
        <v>14</v>
      </c>
      <c r="E252" s="824">
        <f>+'[6]입력 시트(0124)'!E319</f>
        <v>0</v>
      </c>
      <c r="F252" s="824">
        <f>+'[6]입력 시트(0124)'!F319</f>
        <v>0</v>
      </c>
      <c r="G252" s="824">
        <f>+'[6]입력 시트(0124)'!G319</f>
        <v>0</v>
      </c>
      <c r="H252" s="824">
        <f>+'[6]입력 시트(0124)'!H319</f>
        <v>0</v>
      </c>
      <c r="I252" s="824">
        <f>+'[6]입력 시트(0124)'!I319</f>
        <v>0</v>
      </c>
      <c r="J252" s="824">
        <v>0</v>
      </c>
      <c r="K252" s="824">
        <v>0</v>
      </c>
      <c r="L252" s="824">
        <v>0</v>
      </c>
      <c r="M252" s="824">
        <v>0</v>
      </c>
      <c r="N252" s="824">
        <v>0</v>
      </c>
      <c r="O252" s="824">
        <v>0</v>
      </c>
      <c r="P252" s="824">
        <v>0</v>
      </c>
      <c r="Q252" s="824">
        <v>0</v>
      </c>
      <c r="T252" s="824" t="e">
        <f>+'[6]입력 시트(0124)'!T319</f>
        <v>#REF!</v>
      </c>
      <c r="U252" s="824" t="e">
        <f>+'[6]입력 시트(0124)'!U319</f>
        <v>#REF!</v>
      </c>
      <c r="V252" s="824" t="e">
        <f>+'[6]입력 시트(0124)'!V319</f>
        <v>#REF!</v>
      </c>
      <c r="W252" s="824" t="e">
        <f>+'[6]입력 시트(0124)'!W319</f>
        <v>#REF!</v>
      </c>
      <c r="X252" s="824" t="e">
        <f>+'[6]입력 시트(0124)'!X319</f>
        <v>#REF!</v>
      </c>
      <c r="Y252" s="824">
        <v>0</v>
      </c>
    </row>
    <row r="253" spans="2:25" hidden="1" outlineLevel="1">
      <c r="B253" s="735"/>
      <c r="C253" s="740" t="s">
        <v>309</v>
      </c>
      <c r="D253" s="716">
        <f t="shared" si="56"/>
        <v>15</v>
      </c>
      <c r="E253" s="824">
        <f>+'[6]입력 시트(0124)'!E320</f>
        <v>0</v>
      </c>
      <c r="F253" s="824">
        <f>+'[6]입력 시트(0124)'!F320</f>
        <v>0</v>
      </c>
      <c r="G253" s="824">
        <f>+'[6]입력 시트(0124)'!G320</f>
        <v>0</v>
      </c>
      <c r="H253" s="824">
        <f>+'[6]입력 시트(0124)'!H320</f>
        <v>0</v>
      </c>
      <c r="I253" s="824">
        <f>+'[6]입력 시트(0124)'!I320</f>
        <v>0</v>
      </c>
      <c r="J253" s="824">
        <v>0</v>
      </c>
      <c r="K253" s="824">
        <v>0</v>
      </c>
      <c r="L253" s="824">
        <v>0</v>
      </c>
      <c r="M253" s="824">
        <v>0</v>
      </c>
      <c r="N253" s="824">
        <v>0</v>
      </c>
      <c r="O253" s="824">
        <v>0</v>
      </c>
      <c r="P253" s="824">
        <v>0</v>
      </c>
      <c r="Q253" s="824">
        <v>0</v>
      </c>
      <c r="T253" s="824" t="e">
        <f>+'[6]입력 시트(0124)'!T320</f>
        <v>#REF!</v>
      </c>
      <c r="U253" s="824" t="e">
        <f>+'[6]입력 시트(0124)'!U320</f>
        <v>#REF!</v>
      </c>
      <c r="V253" s="824" t="e">
        <f>+'[6]입력 시트(0124)'!V320</f>
        <v>#REF!</v>
      </c>
      <c r="W253" s="824" t="e">
        <f>+'[6]입력 시트(0124)'!W320</f>
        <v>#REF!</v>
      </c>
      <c r="X253" s="824" t="e">
        <f>+'[6]입력 시트(0124)'!X320</f>
        <v>#REF!</v>
      </c>
      <c r="Y253" s="824">
        <v>0</v>
      </c>
    </row>
    <row r="254" spans="2:25" hidden="1" outlineLevel="1">
      <c r="B254" s="735"/>
      <c r="C254" s="740" t="s">
        <v>309</v>
      </c>
      <c r="D254" s="716">
        <f t="shared" si="56"/>
        <v>16</v>
      </c>
      <c r="E254" s="824">
        <f>+'[6]입력 시트(0124)'!E321</f>
        <v>0</v>
      </c>
      <c r="F254" s="824">
        <f>+'[6]입력 시트(0124)'!F321</f>
        <v>0</v>
      </c>
      <c r="G254" s="824">
        <f>+'[6]입력 시트(0124)'!G321</f>
        <v>0</v>
      </c>
      <c r="H254" s="824">
        <f>+'[6]입력 시트(0124)'!H321</f>
        <v>0</v>
      </c>
      <c r="I254" s="824">
        <f>+'[6]입력 시트(0124)'!I321</f>
        <v>0</v>
      </c>
      <c r="J254" s="824">
        <v>0</v>
      </c>
      <c r="K254" s="824">
        <v>0</v>
      </c>
      <c r="L254" s="824">
        <v>0</v>
      </c>
      <c r="M254" s="824">
        <v>0</v>
      </c>
      <c r="N254" s="824">
        <v>0</v>
      </c>
      <c r="O254" s="824">
        <v>0</v>
      </c>
      <c r="P254" s="824">
        <v>0</v>
      </c>
      <c r="Q254" s="824">
        <v>0</v>
      </c>
      <c r="T254" s="824" t="e">
        <f>+'[6]입력 시트(0124)'!T321</f>
        <v>#REF!</v>
      </c>
      <c r="U254" s="824" t="e">
        <f>+'[6]입력 시트(0124)'!U321</f>
        <v>#REF!</v>
      </c>
      <c r="V254" s="824" t="e">
        <f>+'[6]입력 시트(0124)'!V321</f>
        <v>#REF!</v>
      </c>
      <c r="W254" s="824" t="e">
        <f>+'[6]입력 시트(0124)'!W321</f>
        <v>#REF!</v>
      </c>
      <c r="X254" s="824" t="e">
        <f>+'[6]입력 시트(0124)'!X321</f>
        <v>#REF!</v>
      </c>
      <c r="Y254" s="824">
        <v>0</v>
      </c>
    </row>
    <row r="255" spans="2:25" hidden="1" outlineLevel="1">
      <c r="B255" s="735"/>
      <c r="C255" s="740" t="s">
        <v>309</v>
      </c>
      <c r="D255" s="716">
        <f t="shared" si="56"/>
        <v>17</v>
      </c>
      <c r="E255" s="824">
        <f>+'[6]입력 시트(0124)'!E322</f>
        <v>0</v>
      </c>
      <c r="F255" s="824">
        <f>+'[6]입력 시트(0124)'!F322</f>
        <v>0</v>
      </c>
      <c r="G255" s="824">
        <f>+'[6]입력 시트(0124)'!G322</f>
        <v>0</v>
      </c>
      <c r="H255" s="824">
        <f>+'[6]입력 시트(0124)'!H322</f>
        <v>0</v>
      </c>
      <c r="I255" s="824">
        <f>+'[6]입력 시트(0124)'!I322</f>
        <v>0</v>
      </c>
      <c r="J255" s="824">
        <v>0</v>
      </c>
      <c r="K255" s="824">
        <v>0</v>
      </c>
      <c r="L255" s="824">
        <v>0</v>
      </c>
      <c r="M255" s="824">
        <v>0</v>
      </c>
      <c r="N255" s="824">
        <v>0</v>
      </c>
      <c r="O255" s="824">
        <v>0</v>
      </c>
      <c r="P255" s="824">
        <v>0</v>
      </c>
      <c r="Q255" s="824">
        <v>0</v>
      </c>
      <c r="T255" s="824" t="e">
        <f>+'[6]입력 시트(0124)'!T322</f>
        <v>#REF!</v>
      </c>
      <c r="U255" s="824" t="e">
        <f>+'[6]입력 시트(0124)'!U322</f>
        <v>#REF!</v>
      </c>
      <c r="V255" s="824" t="e">
        <f>+'[6]입력 시트(0124)'!V322</f>
        <v>#REF!</v>
      </c>
      <c r="W255" s="824" t="e">
        <f>+'[6]입력 시트(0124)'!W322</f>
        <v>#REF!</v>
      </c>
      <c r="X255" s="824" t="e">
        <f>+'[6]입력 시트(0124)'!X322</f>
        <v>#REF!</v>
      </c>
      <c r="Y255" s="824">
        <v>0</v>
      </c>
    </row>
    <row r="256" spans="2:25" hidden="1" outlineLevel="1">
      <c r="B256" s="735"/>
      <c r="C256" s="740" t="s">
        <v>309</v>
      </c>
      <c r="D256" s="716">
        <f t="shared" si="56"/>
        <v>18</v>
      </c>
      <c r="E256" s="824">
        <f>+'[6]입력 시트(0124)'!E323</f>
        <v>0</v>
      </c>
      <c r="F256" s="824">
        <f>+'[6]입력 시트(0124)'!F323</f>
        <v>0</v>
      </c>
      <c r="G256" s="824">
        <f>+'[6]입력 시트(0124)'!G323</f>
        <v>0</v>
      </c>
      <c r="H256" s="824">
        <f>+'[6]입력 시트(0124)'!H323</f>
        <v>0</v>
      </c>
      <c r="I256" s="824">
        <f>+'[6]입력 시트(0124)'!I323</f>
        <v>0</v>
      </c>
      <c r="J256" s="824">
        <v>0</v>
      </c>
      <c r="K256" s="824">
        <v>0</v>
      </c>
      <c r="L256" s="824">
        <v>0</v>
      </c>
      <c r="M256" s="824">
        <v>0</v>
      </c>
      <c r="N256" s="824">
        <v>0</v>
      </c>
      <c r="O256" s="824">
        <v>0</v>
      </c>
      <c r="P256" s="824">
        <v>0</v>
      </c>
      <c r="Q256" s="824">
        <v>0</v>
      </c>
      <c r="T256" s="824" t="e">
        <f>+'[6]입력 시트(0124)'!T323</f>
        <v>#REF!</v>
      </c>
      <c r="U256" s="824" t="e">
        <f>+'[6]입력 시트(0124)'!U323</f>
        <v>#REF!</v>
      </c>
      <c r="V256" s="824" t="e">
        <f>+'[6]입력 시트(0124)'!V323</f>
        <v>#REF!</v>
      </c>
      <c r="W256" s="824" t="e">
        <f>+'[6]입력 시트(0124)'!W323</f>
        <v>#REF!</v>
      </c>
      <c r="X256" s="824" t="e">
        <f>+'[6]입력 시트(0124)'!X323</f>
        <v>#REF!</v>
      </c>
      <c r="Y256" s="824">
        <v>0</v>
      </c>
    </row>
    <row r="257" spans="2:25" hidden="1" outlineLevel="1">
      <c r="B257" s="735"/>
      <c r="C257" s="740" t="s">
        <v>309</v>
      </c>
      <c r="D257" s="716">
        <f t="shared" si="56"/>
        <v>19</v>
      </c>
      <c r="E257" s="824">
        <f>+'[6]입력 시트(0124)'!E324</f>
        <v>0</v>
      </c>
      <c r="F257" s="824">
        <f>+'[6]입력 시트(0124)'!F324</f>
        <v>0</v>
      </c>
      <c r="G257" s="824">
        <f>+'[6]입력 시트(0124)'!G324</f>
        <v>0</v>
      </c>
      <c r="H257" s="824">
        <f>+'[6]입력 시트(0124)'!H324</f>
        <v>0</v>
      </c>
      <c r="I257" s="824">
        <f>+'[6]입력 시트(0124)'!I324</f>
        <v>0</v>
      </c>
      <c r="J257" s="824">
        <v>0</v>
      </c>
      <c r="K257" s="824">
        <v>0</v>
      </c>
      <c r="L257" s="824">
        <v>0</v>
      </c>
      <c r="M257" s="824">
        <v>0</v>
      </c>
      <c r="N257" s="824">
        <v>0</v>
      </c>
      <c r="O257" s="824">
        <v>0</v>
      </c>
      <c r="P257" s="824">
        <v>0</v>
      </c>
      <c r="Q257" s="824">
        <v>0</v>
      </c>
      <c r="T257" s="824" t="e">
        <f>+'[6]입력 시트(0124)'!T324</f>
        <v>#REF!</v>
      </c>
      <c r="U257" s="824" t="e">
        <f>+'[6]입력 시트(0124)'!U324</f>
        <v>#REF!</v>
      </c>
      <c r="V257" s="824" t="e">
        <f>+'[6]입력 시트(0124)'!V324</f>
        <v>#REF!</v>
      </c>
      <c r="W257" s="824" t="e">
        <f>+'[6]입력 시트(0124)'!W324</f>
        <v>#REF!</v>
      </c>
      <c r="X257" s="824" t="e">
        <f>+'[6]입력 시트(0124)'!X324</f>
        <v>#REF!</v>
      </c>
      <c r="Y257" s="824">
        <v>0</v>
      </c>
    </row>
    <row r="258" spans="2:25" hidden="1" outlineLevel="1">
      <c r="B258" s="735"/>
      <c r="C258" s="740" t="s">
        <v>309</v>
      </c>
      <c r="D258" s="716">
        <f t="shared" si="56"/>
        <v>20</v>
      </c>
      <c r="E258" s="824">
        <f>+'[6]입력 시트(0124)'!E325</f>
        <v>0</v>
      </c>
      <c r="F258" s="824">
        <f>+'[6]입력 시트(0124)'!F325</f>
        <v>0</v>
      </c>
      <c r="G258" s="824">
        <f>+'[6]입력 시트(0124)'!G325</f>
        <v>0</v>
      </c>
      <c r="H258" s="824">
        <f>+'[6]입력 시트(0124)'!H325</f>
        <v>0</v>
      </c>
      <c r="I258" s="824">
        <f>+'[6]입력 시트(0124)'!I325</f>
        <v>0</v>
      </c>
      <c r="J258" s="824">
        <v>0</v>
      </c>
      <c r="K258" s="824">
        <v>0</v>
      </c>
      <c r="L258" s="824">
        <v>0</v>
      </c>
      <c r="M258" s="824">
        <v>0</v>
      </c>
      <c r="N258" s="824">
        <v>0</v>
      </c>
      <c r="O258" s="824">
        <v>0</v>
      </c>
      <c r="P258" s="824">
        <v>0</v>
      </c>
      <c r="Q258" s="824">
        <v>0</v>
      </c>
      <c r="T258" s="824" t="e">
        <f>+'[6]입력 시트(0124)'!T325</f>
        <v>#REF!</v>
      </c>
      <c r="U258" s="824" t="e">
        <f>+'[6]입력 시트(0124)'!U325</f>
        <v>#REF!</v>
      </c>
      <c r="V258" s="824" t="e">
        <f>+'[6]입력 시트(0124)'!V325</f>
        <v>#REF!</v>
      </c>
      <c r="W258" s="824" t="e">
        <f>+'[6]입력 시트(0124)'!W325</f>
        <v>#REF!</v>
      </c>
      <c r="X258" s="824" t="e">
        <f>+'[6]입력 시트(0124)'!X325</f>
        <v>#REF!</v>
      </c>
      <c r="Y258" s="824">
        <v>0</v>
      </c>
    </row>
    <row r="259" spans="2:25" hidden="1" outlineLevel="1">
      <c r="B259" s="735"/>
      <c r="C259" s="740" t="s">
        <v>309</v>
      </c>
      <c r="D259" s="716">
        <f t="shared" si="56"/>
        <v>21</v>
      </c>
      <c r="E259" s="824">
        <f>+'[6]입력 시트(0124)'!E326</f>
        <v>0</v>
      </c>
      <c r="F259" s="824">
        <f>+'[6]입력 시트(0124)'!F326</f>
        <v>0</v>
      </c>
      <c r="G259" s="824">
        <f>+'[6]입력 시트(0124)'!G326</f>
        <v>0</v>
      </c>
      <c r="H259" s="824">
        <f>+'[6]입력 시트(0124)'!H326</f>
        <v>0</v>
      </c>
      <c r="I259" s="824">
        <f>+'[6]입력 시트(0124)'!I326</f>
        <v>0</v>
      </c>
      <c r="J259" s="824">
        <v>0</v>
      </c>
      <c r="K259" s="824">
        <v>0</v>
      </c>
      <c r="L259" s="824">
        <v>0</v>
      </c>
      <c r="M259" s="824">
        <v>0</v>
      </c>
      <c r="N259" s="824">
        <v>0</v>
      </c>
      <c r="O259" s="824">
        <v>0</v>
      </c>
      <c r="P259" s="824">
        <v>0</v>
      </c>
      <c r="Q259" s="824">
        <v>0</v>
      </c>
      <c r="T259" s="824" t="e">
        <f>+'[6]입력 시트(0124)'!T326</f>
        <v>#REF!</v>
      </c>
      <c r="U259" s="824" t="e">
        <f>+'[6]입력 시트(0124)'!U326</f>
        <v>#REF!</v>
      </c>
      <c r="V259" s="824" t="e">
        <f>+'[6]입력 시트(0124)'!V326</f>
        <v>#REF!</v>
      </c>
      <c r="W259" s="824" t="e">
        <f>+'[6]입력 시트(0124)'!W326</f>
        <v>#REF!</v>
      </c>
      <c r="X259" s="824" t="e">
        <f>+'[6]입력 시트(0124)'!X326</f>
        <v>#REF!</v>
      </c>
      <c r="Y259" s="824">
        <v>0</v>
      </c>
    </row>
    <row r="260" spans="2:25" hidden="1" outlineLevel="1">
      <c r="B260" s="735"/>
      <c r="C260" s="740" t="s">
        <v>309</v>
      </c>
      <c r="D260" s="716">
        <f t="shared" si="56"/>
        <v>22</v>
      </c>
      <c r="E260" s="824">
        <f>+'[6]입력 시트(0124)'!E327</f>
        <v>0</v>
      </c>
      <c r="F260" s="824">
        <f>+'[6]입력 시트(0124)'!F327</f>
        <v>0</v>
      </c>
      <c r="G260" s="824">
        <f>+'[6]입력 시트(0124)'!G327</f>
        <v>0</v>
      </c>
      <c r="H260" s="824">
        <f>+'[6]입력 시트(0124)'!H327</f>
        <v>0</v>
      </c>
      <c r="I260" s="824">
        <f>+'[6]입력 시트(0124)'!I327</f>
        <v>0</v>
      </c>
      <c r="J260" s="824">
        <v>0</v>
      </c>
      <c r="K260" s="824">
        <v>0</v>
      </c>
      <c r="L260" s="824">
        <v>0</v>
      </c>
      <c r="M260" s="824">
        <v>0</v>
      </c>
      <c r="N260" s="824">
        <v>0</v>
      </c>
      <c r="O260" s="824">
        <v>0</v>
      </c>
      <c r="P260" s="824">
        <v>0</v>
      </c>
      <c r="Q260" s="824">
        <v>0</v>
      </c>
      <c r="T260" s="824" t="e">
        <f>+'[6]입력 시트(0124)'!T327</f>
        <v>#REF!</v>
      </c>
      <c r="U260" s="824" t="e">
        <f>+'[6]입력 시트(0124)'!U327</f>
        <v>#REF!</v>
      </c>
      <c r="V260" s="824" t="e">
        <f>+'[6]입력 시트(0124)'!V327</f>
        <v>#REF!</v>
      </c>
      <c r="W260" s="824" t="e">
        <f>+'[6]입력 시트(0124)'!W327</f>
        <v>#REF!</v>
      </c>
      <c r="X260" s="824" t="e">
        <f>+'[6]입력 시트(0124)'!X327</f>
        <v>#REF!</v>
      </c>
      <c r="Y260" s="824">
        <v>0</v>
      </c>
    </row>
    <row r="261" spans="2:25" hidden="1" outlineLevel="1">
      <c r="B261" s="735"/>
      <c r="C261" s="740" t="s">
        <v>309</v>
      </c>
      <c r="D261" s="716">
        <f t="shared" si="56"/>
        <v>23</v>
      </c>
      <c r="E261" s="824">
        <f>+'[6]입력 시트(0124)'!E328</f>
        <v>0</v>
      </c>
      <c r="F261" s="824">
        <f>+'[6]입력 시트(0124)'!F328</f>
        <v>0</v>
      </c>
      <c r="G261" s="824">
        <f>+'[6]입력 시트(0124)'!G328</f>
        <v>0</v>
      </c>
      <c r="H261" s="824">
        <f>+'[6]입력 시트(0124)'!H328</f>
        <v>0</v>
      </c>
      <c r="I261" s="824">
        <f>+'[6]입력 시트(0124)'!I328</f>
        <v>0</v>
      </c>
      <c r="J261" s="824">
        <v>0</v>
      </c>
      <c r="K261" s="824">
        <v>0</v>
      </c>
      <c r="L261" s="824">
        <v>0</v>
      </c>
      <c r="M261" s="824">
        <v>0</v>
      </c>
      <c r="N261" s="824">
        <v>0</v>
      </c>
      <c r="O261" s="824">
        <v>0</v>
      </c>
      <c r="P261" s="824">
        <v>0</v>
      </c>
      <c r="Q261" s="824">
        <v>0</v>
      </c>
      <c r="T261" s="824" t="e">
        <f>+'[6]입력 시트(0124)'!T328</f>
        <v>#REF!</v>
      </c>
      <c r="U261" s="824" t="e">
        <f>+'[6]입력 시트(0124)'!U328</f>
        <v>#REF!</v>
      </c>
      <c r="V261" s="824" t="e">
        <f>+'[6]입력 시트(0124)'!V328</f>
        <v>#REF!</v>
      </c>
      <c r="W261" s="824" t="e">
        <f>+'[6]입력 시트(0124)'!W328</f>
        <v>#REF!</v>
      </c>
      <c r="X261" s="824" t="e">
        <f>+'[6]입력 시트(0124)'!X328</f>
        <v>#REF!</v>
      </c>
      <c r="Y261" s="824">
        <v>0</v>
      </c>
    </row>
    <row r="262" spans="2:25" hidden="1" outlineLevel="1">
      <c r="B262" s="735"/>
      <c r="C262" s="740" t="s">
        <v>309</v>
      </c>
      <c r="D262" s="716">
        <f t="shared" si="56"/>
        <v>24</v>
      </c>
      <c r="E262" s="824">
        <f>+'[6]입력 시트(0124)'!E329</f>
        <v>0</v>
      </c>
      <c r="F262" s="824">
        <f>+'[6]입력 시트(0124)'!F329</f>
        <v>0</v>
      </c>
      <c r="G262" s="824">
        <f>+'[6]입력 시트(0124)'!G329</f>
        <v>0</v>
      </c>
      <c r="H262" s="824">
        <f>+'[6]입력 시트(0124)'!H329</f>
        <v>0</v>
      </c>
      <c r="I262" s="824">
        <f>+'[6]입력 시트(0124)'!I329</f>
        <v>0</v>
      </c>
      <c r="J262" s="824">
        <v>0</v>
      </c>
      <c r="K262" s="824">
        <v>0</v>
      </c>
      <c r="L262" s="824">
        <v>0</v>
      </c>
      <c r="M262" s="824">
        <v>0</v>
      </c>
      <c r="N262" s="824">
        <v>0</v>
      </c>
      <c r="O262" s="824">
        <v>0</v>
      </c>
      <c r="P262" s="824">
        <v>0</v>
      </c>
      <c r="Q262" s="824">
        <v>0</v>
      </c>
      <c r="T262" s="824" t="e">
        <f>+'[6]입력 시트(0124)'!T329</f>
        <v>#REF!</v>
      </c>
      <c r="U262" s="824" t="e">
        <f>+'[6]입력 시트(0124)'!U329</f>
        <v>#REF!</v>
      </c>
      <c r="V262" s="824" t="e">
        <f>+'[6]입력 시트(0124)'!V329</f>
        <v>#REF!</v>
      </c>
      <c r="W262" s="824" t="e">
        <f>+'[6]입력 시트(0124)'!W329</f>
        <v>#REF!</v>
      </c>
      <c r="X262" s="824" t="e">
        <f>+'[6]입력 시트(0124)'!X329</f>
        <v>#REF!</v>
      </c>
      <c r="Y262" s="824">
        <v>0</v>
      </c>
    </row>
    <row r="263" spans="2:25" ht="53.25" hidden="1" customHeight="1" outlineLevel="1">
      <c r="B263" s="735" t="s">
        <v>540</v>
      </c>
      <c r="C263" s="1373"/>
      <c r="D263" s="1374"/>
      <c r="E263" s="826"/>
      <c r="F263" s="826"/>
      <c r="G263" s="826"/>
      <c r="H263" s="826"/>
      <c r="I263" s="826"/>
      <c r="J263" s="826"/>
      <c r="K263" s="826"/>
      <c r="L263" s="826"/>
      <c r="M263" s="826"/>
      <c r="N263" s="826"/>
      <c r="O263" s="826"/>
      <c r="P263" s="826"/>
      <c r="Q263" s="826"/>
      <c r="T263" s="826"/>
      <c r="U263" s="826"/>
      <c r="V263" s="826"/>
      <c r="W263" s="826"/>
      <c r="X263" s="826"/>
      <c r="Y263" s="826"/>
    </row>
    <row r="264" spans="2:25" outlineLevel="1">
      <c r="T264" s="777"/>
      <c r="U264" s="777"/>
      <c r="V264" s="777"/>
      <c r="W264" s="777"/>
      <c r="X264" s="777"/>
      <c r="Y264" s="777"/>
    </row>
    <row r="265" spans="2:25" hidden="1" outlineLevel="1">
      <c r="B265" s="803" t="s">
        <v>577</v>
      </c>
      <c r="D265" s="749"/>
      <c r="E265" s="750"/>
      <c r="F265" s="750"/>
      <c r="G265" s="750"/>
      <c r="H265" s="750"/>
      <c r="I265" s="750"/>
      <c r="J265" s="750"/>
      <c r="K265" s="750"/>
      <c r="L265" s="750"/>
      <c r="M265" s="750"/>
      <c r="N265" s="750"/>
      <c r="O265" s="750"/>
      <c r="P265" s="750"/>
      <c r="Q265" s="750"/>
      <c r="T265" s="953"/>
      <c r="U265" s="953"/>
      <c r="V265" s="953"/>
      <c r="W265" s="953"/>
      <c r="X265" s="953"/>
      <c r="Y265" s="953"/>
    </row>
    <row r="266" spans="2:25" ht="16.5" hidden="1" customHeight="1" outlineLevel="1">
      <c r="B266" s="735" t="s">
        <v>487</v>
      </c>
      <c r="C266" s="760"/>
      <c r="D266" s="759"/>
      <c r="E266" s="801"/>
      <c r="F266" s="801"/>
      <c r="G266" s="801"/>
      <c r="H266" s="801"/>
      <c r="I266" s="801"/>
      <c r="J266" s="801" t="s">
        <v>545</v>
      </c>
      <c r="K266" s="801" t="s">
        <v>545</v>
      </c>
      <c r="L266" s="801" t="s">
        <v>545</v>
      </c>
      <c r="M266" s="801" t="s">
        <v>545</v>
      </c>
      <c r="N266" s="801"/>
      <c r="O266" s="801"/>
      <c r="P266" s="801"/>
      <c r="Q266" s="801"/>
      <c r="T266" s="801"/>
      <c r="U266" s="801"/>
      <c r="V266" s="801"/>
      <c r="W266" s="801"/>
      <c r="X266" s="801"/>
      <c r="Y266" s="801" t="s">
        <v>545</v>
      </c>
    </row>
    <row r="267" spans="2:25" hidden="1" outlineLevel="1">
      <c r="B267" s="735" t="s">
        <v>528</v>
      </c>
      <c r="D267" s="813" t="s">
        <v>567</v>
      </c>
      <c r="E267" s="821">
        <v>0</v>
      </c>
      <c r="F267" s="821">
        <v>0</v>
      </c>
      <c r="G267" s="821">
        <v>0</v>
      </c>
      <c r="H267" s="821">
        <v>0</v>
      </c>
      <c r="I267" s="821">
        <v>0</v>
      </c>
      <c r="J267" s="821">
        <v>0</v>
      </c>
      <c r="K267" s="821">
        <v>0</v>
      </c>
      <c r="L267" s="821">
        <v>0</v>
      </c>
      <c r="M267" s="821">
        <v>0</v>
      </c>
      <c r="N267" s="821">
        <v>0</v>
      </c>
      <c r="O267" s="821">
        <v>0</v>
      </c>
      <c r="P267" s="821">
        <v>0</v>
      </c>
      <c r="Q267" s="821">
        <v>0</v>
      </c>
      <c r="T267" s="821">
        <v>0</v>
      </c>
      <c r="U267" s="821">
        <v>0</v>
      </c>
      <c r="V267" s="821">
        <v>0</v>
      </c>
      <c r="W267" s="821">
        <v>0</v>
      </c>
      <c r="X267" s="821">
        <v>0</v>
      </c>
      <c r="Y267" s="821">
        <v>0</v>
      </c>
    </row>
    <row r="268" spans="2:25" ht="16.5" hidden="1" customHeight="1" outlineLevel="1">
      <c r="B268" s="735" t="s">
        <v>542</v>
      </c>
      <c r="D268" s="721" t="s">
        <v>533</v>
      </c>
      <c r="E268" s="822">
        <v>0</v>
      </c>
      <c r="F268" s="822">
        <v>0</v>
      </c>
      <c r="G268" s="822">
        <v>0</v>
      </c>
      <c r="H268" s="822">
        <v>0</v>
      </c>
      <c r="I268" s="822">
        <v>0</v>
      </c>
      <c r="J268" s="822">
        <v>0</v>
      </c>
      <c r="K268" s="822">
        <v>0</v>
      </c>
      <c r="L268" s="822">
        <v>0</v>
      </c>
      <c r="M268" s="822">
        <v>0</v>
      </c>
      <c r="N268" s="822">
        <v>0</v>
      </c>
      <c r="O268" s="822">
        <v>0</v>
      </c>
      <c r="P268" s="822">
        <v>0</v>
      </c>
      <c r="Q268" s="822">
        <v>0</v>
      </c>
      <c r="T268" s="822">
        <v>0</v>
      </c>
      <c r="U268" s="822">
        <v>0</v>
      </c>
      <c r="V268" s="822">
        <v>0</v>
      </c>
      <c r="W268" s="822">
        <v>0</v>
      </c>
      <c r="X268" s="822">
        <v>0</v>
      </c>
      <c r="Y268" s="822">
        <v>0</v>
      </c>
    </row>
    <row r="269" spans="2:25" ht="16.5" hidden="1" customHeight="1" outlineLevel="1">
      <c r="B269" s="735" t="s">
        <v>534</v>
      </c>
      <c r="D269" s="721" t="s">
        <v>301</v>
      </c>
      <c r="E269" s="823"/>
      <c r="F269" s="823"/>
      <c r="G269" s="823"/>
      <c r="H269" s="823"/>
      <c r="I269" s="823"/>
      <c r="J269" s="823"/>
      <c r="K269" s="823"/>
      <c r="L269" s="823"/>
      <c r="M269" s="823"/>
      <c r="N269" s="823"/>
      <c r="O269" s="823"/>
      <c r="P269" s="823"/>
      <c r="Q269" s="823"/>
      <c r="T269" s="823"/>
      <c r="U269" s="823"/>
      <c r="V269" s="823"/>
      <c r="W269" s="823"/>
      <c r="X269" s="823"/>
      <c r="Y269" s="823"/>
    </row>
    <row r="270" spans="2:25" ht="16.5" hidden="1" customHeight="1" outlineLevel="1">
      <c r="B270" s="735" t="s">
        <v>536</v>
      </c>
      <c r="D270" s="721" t="s">
        <v>309</v>
      </c>
      <c r="E270" s="824"/>
      <c r="F270" s="824"/>
      <c r="G270" s="824"/>
      <c r="H270" s="824"/>
      <c r="I270" s="824"/>
      <c r="J270" s="824"/>
      <c r="K270" s="824"/>
      <c r="L270" s="824"/>
      <c r="M270" s="824"/>
      <c r="N270" s="824"/>
      <c r="O270" s="824"/>
      <c r="P270" s="824"/>
      <c r="Q270" s="824"/>
      <c r="T270" s="824"/>
      <c r="U270" s="824"/>
      <c r="V270" s="824"/>
      <c r="W270" s="824"/>
      <c r="X270" s="824"/>
      <c r="Y270" s="824"/>
    </row>
    <row r="271" spans="2:25" hidden="1" outlineLevel="1">
      <c r="B271" s="735" t="s">
        <v>568</v>
      </c>
      <c r="C271" s="740" t="s">
        <v>569</v>
      </c>
      <c r="D271" s="716">
        <v>1</v>
      </c>
      <c r="E271" s="824"/>
      <c r="F271" s="824"/>
      <c r="G271" s="824"/>
      <c r="H271" s="824"/>
      <c r="I271" s="824"/>
      <c r="J271" s="824"/>
      <c r="K271" s="824"/>
      <c r="L271" s="824"/>
      <c r="M271" s="824"/>
      <c r="N271" s="824"/>
      <c r="O271" s="824"/>
      <c r="P271" s="824"/>
      <c r="Q271" s="824"/>
      <c r="T271" s="824"/>
      <c r="U271" s="824"/>
      <c r="V271" s="824"/>
      <c r="W271" s="824"/>
      <c r="X271" s="824"/>
      <c r="Y271" s="824"/>
    </row>
    <row r="272" spans="2:25" hidden="1" outlineLevel="1">
      <c r="B272" s="735"/>
      <c r="C272" s="740" t="s">
        <v>309</v>
      </c>
      <c r="D272" s="716">
        <f t="shared" ref="D272:D294" si="57">+D271+1</f>
        <v>2</v>
      </c>
      <c r="E272" s="825"/>
      <c r="F272" s="825"/>
      <c r="G272" s="825"/>
      <c r="H272" s="825"/>
      <c r="I272" s="825"/>
      <c r="J272" s="825"/>
      <c r="K272" s="825"/>
      <c r="L272" s="825"/>
      <c r="M272" s="825"/>
      <c r="N272" s="825"/>
      <c r="O272" s="825"/>
      <c r="P272" s="825"/>
      <c r="Q272" s="825"/>
      <c r="T272" s="825"/>
      <c r="U272" s="825"/>
      <c r="V272" s="825"/>
      <c r="W272" s="825"/>
      <c r="X272" s="825"/>
      <c r="Y272" s="825"/>
    </row>
    <row r="273" spans="2:25" hidden="1" outlineLevel="1">
      <c r="B273" s="735"/>
      <c r="C273" s="740" t="s">
        <v>309</v>
      </c>
      <c r="D273" s="716">
        <f t="shared" si="57"/>
        <v>3</v>
      </c>
      <c r="E273" s="825"/>
      <c r="F273" s="825"/>
      <c r="G273" s="825"/>
      <c r="H273" s="825"/>
      <c r="I273" s="825"/>
      <c r="J273" s="825"/>
      <c r="K273" s="825"/>
      <c r="L273" s="825"/>
      <c r="M273" s="825"/>
      <c r="N273" s="825"/>
      <c r="O273" s="825"/>
      <c r="P273" s="825"/>
      <c r="Q273" s="825"/>
      <c r="T273" s="825"/>
      <c r="U273" s="825"/>
      <c r="V273" s="825"/>
      <c r="W273" s="825"/>
      <c r="X273" s="825"/>
      <c r="Y273" s="825"/>
    </row>
    <row r="274" spans="2:25" hidden="1" outlineLevel="1">
      <c r="B274" s="735"/>
      <c r="C274" s="740" t="s">
        <v>309</v>
      </c>
      <c r="D274" s="716">
        <f t="shared" si="57"/>
        <v>4</v>
      </c>
      <c r="E274" s="825"/>
      <c r="F274" s="825"/>
      <c r="G274" s="825"/>
      <c r="H274" s="825"/>
      <c r="I274" s="825"/>
      <c r="J274" s="825"/>
      <c r="K274" s="825"/>
      <c r="L274" s="825"/>
      <c r="M274" s="825"/>
      <c r="N274" s="825"/>
      <c r="O274" s="825"/>
      <c r="P274" s="825"/>
      <c r="Q274" s="825"/>
      <c r="T274" s="825"/>
      <c r="U274" s="825"/>
      <c r="V274" s="825"/>
      <c r="W274" s="825"/>
      <c r="X274" s="825"/>
      <c r="Y274" s="825"/>
    </row>
    <row r="275" spans="2:25" hidden="1" outlineLevel="1">
      <c r="B275" s="735"/>
      <c r="C275" s="740" t="s">
        <v>309</v>
      </c>
      <c r="D275" s="716">
        <f t="shared" si="57"/>
        <v>5</v>
      </c>
      <c r="E275" s="825"/>
      <c r="F275" s="825"/>
      <c r="G275" s="825"/>
      <c r="H275" s="825"/>
      <c r="I275" s="825"/>
      <c r="J275" s="825"/>
      <c r="K275" s="825"/>
      <c r="L275" s="825"/>
      <c r="M275" s="825"/>
      <c r="N275" s="825"/>
      <c r="O275" s="825"/>
      <c r="P275" s="825"/>
      <c r="Q275" s="825"/>
      <c r="T275" s="825"/>
      <c r="U275" s="825"/>
      <c r="V275" s="825"/>
      <c r="W275" s="825"/>
      <c r="X275" s="825"/>
      <c r="Y275" s="825"/>
    </row>
    <row r="276" spans="2:25" hidden="1" outlineLevel="1">
      <c r="B276" s="735"/>
      <c r="C276" s="740" t="s">
        <v>309</v>
      </c>
      <c r="D276" s="716">
        <f t="shared" si="57"/>
        <v>6</v>
      </c>
      <c r="E276" s="825"/>
      <c r="F276" s="825"/>
      <c r="G276" s="825"/>
      <c r="H276" s="825"/>
      <c r="I276" s="825"/>
      <c r="J276" s="825"/>
      <c r="K276" s="825"/>
      <c r="L276" s="825"/>
      <c r="M276" s="825"/>
      <c r="N276" s="825"/>
      <c r="O276" s="825"/>
      <c r="P276" s="825"/>
      <c r="Q276" s="825"/>
      <c r="T276" s="825"/>
      <c r="U276" s="825"/>
      <c r="V276" s="825"/>
      <c r="W276" s="825"/>
      <c r="X276" s="825"/>
      <c r="Y276" s="825"/>
    </row>
    <row r="277" spans="2:25" hidden="1" outlineLevel="1">
      <c r="B277" s="735"/>
      <c r="C277" s="740" t="s">
        <v>309</v>
      </c>
      <c r="D277" s="716">
        <f t="shared" si="57"/>
        <v>7</v>
      </c>
      <c r="E277" s="825"/>
      <c r="F277" s="825"/>
      <c r="G277" s="825"/>
      <c r="H277" s="825"/>
      <c r="I277" s="825"/>
      <c r="J277" s="825"/>
      <c r="K277" s="825"/>
      <c r="L277" s="825"/>
      <c r="M277" s="825"/>
      <c r="N277" s="825"/>
      <c r="O277" s="825"/>
      <c r="P277" s="825"/>
      <c r="Q277" s="825"/>
      <c r="T277" s="825"/>
      <c r="U277" s="825"/>
      <c r="V277" s="825"/>
      <c r="W277" s="825"/>
      <c r="X277" s="825"/>
      <c r="Y277" s="825"/>
    </row>
    <row r="278" spans="2:25" hidden="1" outlineLevel="1">
      <c r="B278" s="735"/>
      <c r="C278" s="740" t="s">
        <v>309</v>
      </c>
      <c r="D278" s="716">
        <f t="shared" si="57"/>
        <v>8</v>
      </c>
      <c r="E278" s="825"/>
      <c r="F278" s="825"/>
      <c r="G278" s="825"/>
      <c r="H278" s="825"/>
      <c r="I278" s="825"/>
      <c r="J278" s="825"/>
      <c r="K278" s="825"/>
      <c r="L278" s="825"/>
      <c r="M278" s="825"/>
      <c r="N278" s="825"/>
      <c r="O278" s="825"/>
      <c r="P278" s="825"/>
      <c r="Q278" s="825"/>
      <c r="T278" s="825"/>
      <c r="U278" s="825"/>
      <c r="V278" s="825"/>
      <c r="W278" s="825"/>
      <c r="X278" s="825"/>
      <c r="Y278" s="825"/>
    </row>
    <row r="279" spans="2:25" hidden="1" outlineLevel="1">
      <c r="B279" s="735"/>
      <c r="C279" s="740" t="s">
        <v>309</v>
      </c>
      <c r="D279" s="716">
        <f t="shared" si="57"/>
        <v>9</v>
      </c>
      <c r="E279" s="825"/>
      <c r="F279" s="825"/>
      <c r="G279" s="825"/>
      <c r="H279" s="825"/>
      <c r="I279" s="825"/>
      <c r="J279" s="825"/>
      <c r="K279" s="825"/>
      <c r="L279" s="825"/>
      <c r="M279" s="825"/>
      <c r="N279" s="825"/>
      <c r="O279" s="825"/>
      <c r="P279" s="825"/>
      <c r="Q279" s="825"/>
      <c r="T279" s="825"/>
      <c r="U279" s="825"/>
      <c r="V279" s="825"/>
      <c r="W279" s="825"/>
      <c r="X279" s="825"/>
      <c r="Y279" s="825"/>
    </row>
    <row r="280" spans="2:25" hidden="1" outlineLevel="1">
      <c r="B280" s="735"/>
      <c r="C280" s="740" t="s">
        <v>309</v>
      </c>
      <c r="D280" s="716">
        <f t="shared" si="57"/>
        <v>10</v>
      </c>
      <c r="E280" s="825"/>
      <c r="F280" s="825"/>
      <c r="G280" s="825"/>
      <c r="H280" s="825"/>
      <c r="I280" s="825"/>
      <c r="J280" s="825"/>
      <c r="K280" s="825"/>
      <c r="L280" s="825"/>
      <c r="M280" s="825"/>
      <c r="N280" s="825"/>
      <c r="O280" s="825"/>
      <c r="P280" s="825"/>
      <c r="Q280" s="825"/>
      <c r="T280" s="825"/>
      <c r="U280" s="825"/>
      <c r="V280" s="825"/>
      <c r="W280" s="825"/>
      <c r="X280" s="825"/>
      <c r="Y280" s="825"/>
    </row>
    <row r="281" spans="2:25" hidden="1" outlineLevel="1">
      <c r="B281" s="735"/>
      <c r="C281" s="740" t="s">
        <v>309</v>
      </c>
      <c r="D281" s="716">
        <f t="shared" si="57"/>
        <v>11</v>
      </c>
      <c r="E281" s="825"/>
      <c r="F281" s="825"/>
      <c r="G281" s="825"/>
      <c r="H281" s="825"/>
      <c r="I281" s="825"/>
      <c r="J281" s="825"/>
      <c r="K281" s="825"/>
      <c r="L281" s="825"/>
      <c r="M281" s="825"/>
      <c r="N281" s="825"/>
      <c r="O281" s="825"/>
      <c r="P281" s="825"/>
      <c r="Q281" s="825"/>
      <c r="T281" s="825"/>
      <c r="U281" s="825"/>
      <c r="V281" s="825"/>
      <c r="W281" s="825"/>
      <c r="X281" s="825"/>
      <c r="Y281" s="825"/>
    </row>
    <row r="282" spans="2:25" hidden="1" outlineLevel="1">
      <c r="B282" s="735"/>
      <c r="C282" s="740" t="s">
        <v>309</v>
      </c>
      <c r="D282" s="716">
        <f t="shared" si="57"/>
        <v>12</v>
      </c>
      <c r="E282" s="825"/>
      <c r="F282" s="825"/>
      <c r="G282" s="825"/>
      <c r="H282" s="825"/>
      <c r="I282" s="825"/>
      <c r="J282" s="825"/>
      <c r="K282" s="825"/>
      <c r="L282" s="825"/>
      <c r="M282" s="825"/>
      <c r="N282" s="825"/>
      <c r="O282" s="825"/>
      <c r="P282" s="825"/>
      <c r="Q282" s="825"/>
      <c r="T282" s="825"/>
      <c r="U282" s="825"/>
      <c r="V282" s="825"/>
      <c r="W282" s="825"/>
      <c r="X282" s="825"/>
      <c r="Y282" s="825"/>
    </row>
    <row r="283" spans="2:25" hidden="1" outlineLevel="1">
      <c r="B283" s="735"/>
      <c r="C283" s="740" t="s">
        <v>309</v>
      </c>
      <c r="D283" s="716">
        <f t="shared" si="57"/>
        <v>13</v>
      </c>
      <c r="E283" s="826"/>
      <c r="F283" s="826"/>
      <c r="G283" s="826"/>
      <c r="H283" s="826"/>
      <c r="I283" s="826"/>
      <c r="J283" s="826"/>
      <c r="K283" s="826"/>
      <c r="L283" s="826"/>
      <c r="M283" s="826"/>
      <c r="N283" s="826"/>
      <c r="O283" s="826"/>
      <c r="P283" s="826"/>
      <c r="Q283" s="826"/>
      <c r="T283" s="826"/>
      <c r="U283" s="826"/>
      <c r="V283" s="826"/>
      <c r="W283" s="826"/>
      <c r="X283" s="826"/>
      <c r="Y283" s="826"/>
    </row>
    <row r="284" spans="2:25" hidden="1" outlineLevel="1">
      <c r="B284" s="735"/>
      <c r="C284" s="740" t="s">
        <v>309</v>
      </c>
      <c r="D284" s="716">
        <f t="shared" si="57"/>
        <v>14</v>
      </c>
      <c r="E284" s="826"/>
      <c r="F284" s="826"/>
      <c r="G284" s="826"/>
      <c r="H284" s="826"/>
      <c r="I284" s="826"/>
      <c r="J284" s="826"/>
      <c r="K284" s="826"/>
      <c r="L284" s="826"/>
      <c r="M284" s="826"/>
      <c r="N284" s="826"/>
      <c r="O284" s="826"/>
      <c r="P284" s="826"/>
      <c r="Q284" s="826"/>
      <c r="T284" s="826"/>
      <c r="U284" s="826"/>
      <c r="V284" s="826"/>
      <c r="W284" s="826"/>
      <c r="X284" s="826"/>
      <c r="Y284" s="826"/>
    </row>
    <row r="285" spans="2:25" hidden="1" outlineLevel="1">
      <c r="B285" s="735"/>
      <c r="C285" s="740" t="s">
        <v>309</v>
      </c>
      <c r="D285" s="716">
        <f t="shared" si="57"/>
        <v>15</v>
      </c>
      <c r="E285" s="826"/>
      <c r="F285" s="826"/>
      <c r="G285" s="826"/>
      <c r="H285" s="826"/>
      <c r="I285" s="826"/>
      <c r="J285" s="826"/>
      <c r="K285" s="826"/>
      <c r="L285" s="826"/>
      <c r="M285" s="826"/>
      <c r="N285" s="826"/>
      <c r="O285" s="826"/>
      <c r="P285" s="826"/>
      <c r="Q285" s="826"/>
      <c r="T285" s="826"/>
      <c r="U285" s="826"/>
      <c r="V285" s="826"/>
      <c r="W285" s="826"/>
      <c r="X285" s="826"/>
      <c r="Y285" s="826"/>
    </row>
    <row r="286" spans="2:25" hidden="1" outlineLevel="1">
      <c r="B286" s="735"/>
      <c r="C286" s="740" t="s">
        <v>309</v>
      </c>
      <c r="D286" s="716">
        <f t="shared" si="57"/>
        <v>16</v>
      </c>
      <c r="E286" s="826"/>
      <c r="F286" s="826"/>
      <c r="G286" s="826"/>
      <c r="H286" s="826"/>
      <c r="I286" s="826"/>
      <c r="J286" s="826"/>
      <c r="K286" s="826"/>
      <c r="L286" s="826"/>
      <c r="M286" s="826"/>
      <c r="N286" s="826"/>
      <c r="O286" s="826"/>
      <c r="P286" s="826"/>
      <c r="Q286" s="826"/>
      <c r="T286" s="826"/>
      <c r="U286" s="826"/>
      <c r="V286" s="826"/>
      <c r="W286" s="826"/>
      <c r="X286" s="826"/>
      <c r="Y286" s="826"/>
    </row>
    <row r="287" spans="2:25" hidden="1" outlineLevel="1">
      <c r="B287" s="735"/>
      <c r="C287" s="740" t="s">
        <v>309</v>
      </c>
      <c r="D287" s="716">
        <f t="shared" si="57"/>
        <v>17</v>
      </c>
      <c r="E287" s="826"/>
      <c r="F287" s="826"/>
      <c r="G287" s="826"/>
      <c r="H287" s="826"/>
      <c r="I287" s="826"/>
      <c r="J287" s="826"/>
      <c r="K287" s="826"/>
      <c r="L287" s="826"/>
      <c r="M287" s="826"/>
      <c r="N287" s="826"/>
      <c r="O287" s="826"/>
      <c r="P287" s="826"/>
      <c r="Q287" s="826"/>
      <c r="T287" s="826"/>
      <c r="U287" s="826"/>
      <c r="V287" s="826"/>
      <c r="W287" s="826"/>
      <c r="X287" s="826"/>
      <c r="Y287" s="826"/>
    </row>
    <row r="288" spans="2:25" hidden="1" outlineLevel="1">
      <c r="B288" s="735"/>
      <c r="C288" s="740" t="s">
        <v>309</v>
      </c>
      <c r="D288" s="716">
        <f t="shared" si="57"/>
        <v>18</v>
      </c>
      <c r="E288" s="826"/>
      <c r="F288" s="826"/>
      <c r="G288" s="826"/>
      <c r="H288" s="826"/>
      <c r="I288" s="826"/>
      <c r="J288" s="826"/>
      <c r="K288" s="826"/>
      <c r="L288" s="826"/>
      <c r="M288" s="826"/>
      <c r="N288" s="826"/>
      <c r="O288" s="826"/>
      <c r="P288" s="826"/>
      <c r="Q288" s="826"/>
      <c r="T288" s="826"/>
      <c r="U288" s="826"/>
      <c r="V288" s="826"/>
      <c r="W288" s="826"/>
      <c r="X288" s="826"/>
      <c r="Y288" s="826"/>
    </row>
    <row r="289" spans="2:25" hidden="1" outlineLevel="1">
      <c r="B289" s="735"/>
      <c r="C289" s="740" t="s">
        <v>309</v>
      </c>
      <c r="D289" s="716">
        <f t="shared" si="57"/>
        <v>19</v>
      </c>
      <c r="E289" s="826"/>
      <c r="F289" s="826"/>
      <c r="G289" s="826"/>
      <c r="H289" s="826"/>
      <c r="I289" s="826"/>
      <c r="J289" s="826"/>
      <c r="K289" s="826"/>
      <c r="L289" s="826"/>
      <c r="M289" s="826"/>
      <c r="N289" s="826"/>
      <c r="O289" s="826"/>
      <c r="P289" s="826"/>
      <c r="Q289" s="826"/>
      <c r="T289" s="826"/>
      <c r="U289" s="826"/>
      <c r="V289" s="826"/>
      <c r="W289" s="826"/>
      <c r="X289" s="826"/>
      <c r="Y289" s="826"/>
    </row>
    <row r="290" spans="2:25" hidden="1" outlineLevel="1">
      <c r="B290" s="735"/>
      <c r="C290" s="740" t="s">
        <v>309</v>
      </c>
      <c r="D290" s="716">
        <f t="shared" si="57"/>
        <v>20</v>
      </c>
      <c r="E290" s="826"/>
      <c r="F290" s="826"/>
      <c r="G290" s="826"/>
      <c r="H290" s="826"/>
      <c r="I290" s="826"/>
      <c r="J290" s="826"/>
      <c r="K290" s="826"/>
      <c r="L290" s="826"/>
      <c r="M290" s="826"/>
      <c r="N290" s="826"/>
      <c r="O290" s="826"/>
      <c r="P290" s="826"/>
      <c r="Q290" s="826"/>
      <c r="T290" s="826"/>
      <c r="U290" s="826"/>
      <c r="V290" s="826"/>
      <c r="W290" s="826"/>
      <c r="X290" s="826"/>
      <c r="Y290" s="826"/>
    </row>
    <row r="291" spans="2:25" hidden="1" outlineLevel="1">
      <c r="B291" s="735"/>
      <c r="C291" s="740" t="s">
        <v>309</v>
      </c>
      <c r="D291" s="716">
        <f t="shared" si="57"/>
        <v>21</v>
      </c>
      <c r="E291" s="826"/>
      <c r="F291" s="826"/>
      <c r="G291" s="826"/>
      <c r="H291" s="826"/>
      <c r="I291" s="826"/>
      <c r="J291" s="826"/>
      <c r="K291" s="826"/>
      <c r="L291" s="826"/>
      <c r="M291" s="826"/>
      <c r="N291" s="826"/>
      <c r="O291" s="826"/>
      <c r="P291" s="826"/>
      <c r="Q291" s="826"/>
      <c r="T291" s="826"/>
      <c r="U291" s="826"/>
      <c r="V291" s="826"/>
      <c r="W291" s="826"/>
      <c r="X291" s="826"/>
      <c r="Y291" s="826"/>
    </row>
    <row r="292" spans="2:25" hidden="1" outlineLevel="1">
      <c r="B292" s="735"/>
      <c r="C292" s="740" t="s">
        <v>309</v>
      </c>
      <c r="D292" s="716">
        <f t="shared" si="57"/>
        <v>22</v>
      </c>
      <c r="E292" s="826"/>
      <c r="F292" s="826"/>
      <c r="G292" s="826"/>
      <c r="H292" s="826"/>
      <c r="I292" s="826"/>
      <c r="J292" s="826"/>
      <c r="K292" s="826"/>
      <c r="L292" s="826"/>
      <c r="M292" s="826"/>
      <c r="N292" s="826"/>
      <c r="O292" s="826"/>
      <c r="P292" s="826"/>
      <c r="Q292" s="826"/>
      <c r="T292" s="826"/>
      <c r="U292" s="826"/>
      <c r="V292" s="826"/>
      <c r="W292" s="826"/>
      <c r="X292" s="826"/>
      <c r="Y292" s="826"/>
    </row>
    <row r="293" spans="2:25" hidden="1" outlineLevel="1">
      <c r="B293" s="735"/>
      <c r="C293" s="740" t="s">
        <v>309</v>
      </c>
      <c r="D293" s="716">
        <f t="shared" si="57"/>
        <v>23</v>
      </c>
      <c r="E293" s="826"/>
      <c r="F293" s="826"/>
      <c r="G293" s="826"/>
      <c r="H293" s="826"/>
      <c r="I293" s="826"/>
      <c r="J293" s="826"/>
      <c r="K293" s="826"/>
      <c r="L293" s="826"/>
      <c r="M293" s="826"/>
      <c r="N293" s="826"/>
      <c r="O293" s="826"/>
      <c r="P293" s="826"/>
      <c r="Q293" s="826"/>
      <c r="T293" s="826"/>
      <c r="U293" s="826"/>
      <c r="V293" s="826"/>
      <c r="W293" s="826"/>
      <c r="X293" s="826"/>
      <c r="Y293" s="826"/>
    </row>
    <row r="294" spans="2:25" hidden="1" outlineLevel="1">
      <c r="B294" s="735"/>
      <c r="C294" s="740" t="s">
        <v>309</v>
      </c>
      <c r="D294" s="716">
        <f t="shared" si="57"/>
        <v>24</v>
      </c>
      <c r="E294" s="826"/>
      <c r="F294" s="826"/>
      <c r="G294" s="826"/>
      <c r="H294" s="826"/>
      <c r="I294" s="826"/>
      <c r="J294" s="826"/>
      <c r="K294" s="826"/>
      <c r="L294" s="826"/>
      <c r="M294" s="826"/>
      <c r="N294" s="826"/>
      <c r="O294" s="826"/>
      <c r="P294" s="826"/>
      <c r="Q294" s="826"/>
      <c r="T294" s="826"/>
      <c r="U294" s="826"/>
      <c r="V294" s="826"/>
      <c r="W294" s="826"/>
      <c r="X294" s="826"/>
      <c r="Y294" s="826"/>
    </row>
    <row r="295" spans="2:25" hidden="1" outlineLevel="1">
      <c r="B295" s="735" t="s">
        <v>540</v>
      </c>
      <c r="C295" s="1359"/>
      <c r="D295" s="1360"/>
      <c r="E295" s="826"/>
      <c r="F295" s="826"/>
      <c r="G295" s="826"/>
      <c r="H295" s="826"/>
      <c r="I295" s="826"/>
      <c r="J295" s="826"/>
      <c r="K295" s="826"/>
      <c r="L295" s="826"/>
      <c r="M295" s="826"/>
      <c r="N295" s="826"/>
      <c r="O295" s="826"/>
      <c r="P295" s="826"/>
      <c r="Q295" s="826"/>
      <c r="T295" s="826"/>
      <c r="U295" s="826"/>
      <c r="V295" s="826"/>
      <c r="W295" s="826"/>
      <c r="X295" s="826"/>
      <c r="Y295" s="826"/>
    </row>
    <row r="296" spans="2:25" hidden="1" outlineLevel="1">
      <c r="E296" s="828"/>
      <c r="F296" s="828"/>
      <c r="G296" s="828"/>
      <c r="H296" s="828"/>
      <c r="I296" s="828"/>
      <c r="J296" s="828"/>
      <c r="K296" s="828"/>
      <c r="L296" s="828"/>
      <c r="M296" s="828"/>
      <c r="N296" s="828"/>
      <c r="O296" s="828"/>
      <c r="P296" s="828"/>
      <c r="Q296" s="828"/>
      <c r="T296" s="961"/>
      <c r="U296" s="961"/>
      <c r="V296" s="961"/>
      <c r="W296" s="961"/>
      <c r="X296" s="961"/>
      <c r="Y296" s="961"/>
    </row>
    <row r="297" spans="2:25" hidden="1" outlineLevel="1">
      <c r="B297" s="803" t="s">
        <v>578</v>
      </c>
      <c r="D297" s="749"/>
      <c r="E297" s="750"/>
      <c r="F297" s="750"/>
      <c r="G297" s="750"/>
      <c r="H297" s="750"/>
      <c r="I297" s="750"/>
      <c r="J297" s="750"/>
      <c r="K297" s="750"/>
      <c r="L297" s="750"/>
      <c r="M297" s="750"/>
      <c r="N297" s="750"/>
      <c r="O297" s="750"/>
      <c r="P297" s="750"/>
      <c r="Q297" s="750"/>
      <c r="T297" s="953"/>
      <c r="U297" s="953"/>
      <c r="V297" s="953"/>
      <c r="W297" s="953"/>
      <c r="X297" s="953"/>
      <c r="Y297" s="953"/>
    </row>
    <row r="298" spans="2:25" ht="16.5" hidden="1" customHeight="1" outlineLevel="1">
      <c r="B298" s="735" t="s">
        <v>487</v>
      </c>
      <c r="C298" s="760"/>
      <c r="D298" s="759"/>
      <c r="E298" s="801" t="s">
        <v>545</v>
      </c>
      <c r="F298" s="801" t="s">
        <v>545</v>
      </c>
      <c r="G298" s="801" t="s">
        <v>545</v>
      </c>
      <c r="H298" s="801" t="s">
        <v>545</v>
      </c>
      <c r="I298" s="801" t="s">
        <v>545</v>
      </c>
      <c r="J298" s="801" t="s">
        <v>545</v>
      </c>
      <c r="K298" s="801" t="s">
        <v>545</v>
      </c>
      <c r="L298" s="801" t="s">
        <v>545</v>
      </c>
      <c r="M298" s="801" t="s">
        <v>545</v>
      </c>
      <c r="N298" s="801" t="s">
        <v>545</v>
      </c>
      <c r="O298" s="801" t="s">
        <v>545</v>
      </c>
      <c r="P298" s="801" t="s">
        <v>545</v>
      </c>
      <c r="Q298" s="801" t="s">
        <v>545</v>
      </c>
      <c r="T298" s="801" t="s">
        <v>545</v>
      </c>
      <c r="U298" s="801" t="s">
        <v>545</v>
      </c>
      <c r="V298" s="801" t="s">
        <v>545</v>
      </c>
      <c r="W298" s="801" t="s">
        <v>545</v>
      </c>
      <c r="X298" s="801" t="s">
        <v>545</v>
      </c>
      <c r="Y298" s="801" t="s">
        <v>545</v>
      </c>
    </row>
    <row r="299" spans="2:25" hidden="1" outlineLevel="1">
      <c r="B299" s="735" t="s">
        <v>528</v>
      </c>
      <c r="D299" s="813" t="s">
        <v>567</v>
      </c>
      <c r="E299" s="829">
        <f>+'[6]입력 시트(0124)'!E366</f>
        <v>0</v>
      </c>
      <c r="F299" s="829">
        <f>+'[6]입력 시트(0124)'!F366</f>
        <v>0</v>
      </c>
      <c r="G299" s="829">
        <f>+'[6]입력 시트(0124)'!G366</f>
        <v>0</v>
      </c>
      <c r="H299" s="829">
        <f>+'[6]입력 시트(0124)'!H366</f>
        <v>0</v>
      </c>
      <c r="I299" s="829">
        <f>+'[6]입력 시트(0124)'!I366</f>
        <v>0</v>
      </c>
      <c r="J299" s="829">
        <v>0</v>
      </c>
      <c r="K299" s="829">
        <v>0</v>
      </c>
      <c r="L299" s="829">
        <v>0</v>
      </c>
      <c r="M299" s="829">
        <v>0</v>
      </c>
      <c r="N299" s="829">
        <v>0</v>
      </c>
      <c r="O299" s="829">
        <v>0</v>
      </c>
      <c r="P299" s="829">
        <v>0</v>
      </c>
      <c r="Q299" s="829">
        <v>0</v>
      </c>
      <c r="T299" s="829" t="e">
        <f>+'[6]입력 시트(0124)'!T366</f>
        <v>#REF!</v>
      </c>
      <c r="U299" s="829" t="e">
        <f>+'[6]입력 시트(0124)'!U366</f>
        <v>#REF!</v>
      </c>
      <c r="V299" s="829" t="e">
        <f>+'[6]입력 시트(0124)'!V366</f>
        <v>#REF!</v>
      </c>
      <c r="W299" s="829" t="e">
        <f>+'[6]입력 시트(0124)'!W366</f>
        <v>#REF!</v>
      </c>
      <c r="X299" s="829" t="e">
        <f>+'[6]입력 시트(0124)'!X366</f>
        <v>#REF!</v>
      </c>
      <c r="Y299" s="829">
        <v>0</v>
      </c>
    </row>
    <row r="300" spans="2:25" ht="16.5" hidden="1" customHeight="1" outlineLevel="1">
      <c r="B300" s="735" t="s">
        <v>542</v>
      </c>
      <c r="D300" s="721" t="s">
        <v>533</v>
      </c>
      <c r="E300" s="822">
        <v>0</v>
      </c>
      <c r="F300" s="822">
        <v>0</v>
      </c>
      <c r="G300" s="822">
        <v>0</v>
      </c>
      <c r="H300" s="822">
        <v>0</v>
      </c>
      <c r="I300" s="822">
        <v>0</v>
      </c>
      <c r="J300" s="822">
        <v>0</v>
      </c>
      <c r="K300" s="822">
        <v>0</v>
      </c>
      <c r="L300" s="822">
        <v>0</v>
      </c>
      <c r="M300" s="822">
        <v>0</v>
      </c>
      <c r="N300" s="822">
        <v>0</v>
      </c>
      <c r="O300" s="822">
        <v>0</v>
      </c>
      <c r="P300" s="822">
        <v>0</v>
      </c>
      <c r="Q300" s="822">
        <v>0</v>
      </c>
      <c r="T300" s="822">
        <v>0</v>
      </c>
      <c r="U300" s="822">
        <v>0</v>
      </c>
      <c r="V300" s="822">
        <v>0</v>
      </c>
      <c r="W300" s="822">
        <v>0</v>
      </c>
      <c r="X300" s="822">
        <v>0</v>
      </c>
      <c r="Y300" s="822">
        <v>0</v>
      </c>
    </row>
    <row r="301" spans="2:25" ht="16.5" hidden="1" customHeight="1" outlineLevel="1">
      <c r="B301" s="735" t="s">
        <v>534</v>
      </c>
      <c r="D301" s="721" t="s">
        <v>301</v>
      </c>
      <c r="E301" s="823"/>
      <c r="F301" s="823"/>
      <c r="G301" s="823"/>
      <c r="H301" s="823"/>
      <c r="I301" s="823"/>
      <c r="J301" s="823"/>
      <c r="K301" s="823"/>
      <c r="L301" s="823"/>
      <c r="M301" s="823"/>
      <c r="N301" s="823"/>
      <c r="O301" s="823"/>
      <c r="P301" s="823"/>
      <c r="Q301" s="823"/>
      <c r="T301" s="823"/>
      <c r="U301" s="823"/>
      <c r="V301" s="823"/>
      <c r="W301" s="823"/>
      <c r="X301" s="823"/>
      <c r="Y301" s="823"/>
    </row>
    <row r="302" spans="2:25" ht="16.5" hidden="1" customHeight="1" outlineLevel="1">
      <c r="B302" s="735" t="s">
        <v>536</v>
      </c>
      <c r="D302" s="721" t="s">
        <v>309</v>
      </c>
      <c r="E302" s="824"/>
      <c r="F302" s="824"/>
      <c r="G302" s="824"/>
      <c r="H302" s="824"/>
      <c r="I302" s="824"/>
      <c r="J302" s="824"/>
      <c r="K302" s="824"/>
      <c r="L302" s="824"/>
      <c r="M302" s="824"/>
      <c r="N302" s="824"/>
      <c r="O302" s="824"/>
      <c r="P302" s="824"/>
      <c r="Q302" s="824"/>
      <c r="T302" s="824"/>
      <c r="U302" s="824"/>
      <c r="V302" s="824"/>
      <c r="W302" s="824"/>
      <c r="X302" s="824"/>
      <c r="Y302" s="824"/>
    </row>
    <row r="303" spans="2:25" hidden="1" outlineLevel="1">
      <c r="B303" s="735" t="s">
        <v>568</v>
      </c>
      <c r="C303" s="740" t="s">
        <v>569</v>
      </c>
      <c r="D303" s="716">
        <v>1</v>
      </c>
      <c r="E303" s="824">
        <f>+'[6]입력 시트(0124)'!E370</f>
        <v>1</v>
      </c>
      <c r="F303" s="824">
        <f>+'[6]입력 시트(0124)'!F370</f>
        <v>1</v>
      </c>
      <c r="G303" s="824">
        <f>+'[6]입력 시트(0124)'!G370</f>
        <v>1</v>
      </c>
      <c r="H303" s="824">
        <f>+'[6]입력 시트(0124)'!H370</f>
        <v>1</v>
      </c>
      <c r="I303" s="824">
        <f>+'[6]입력 시트(0124)'!I370</f>
        <v>1</v>
      </c>
      <c r="J303" s="824">
        <f>+'[6]입력 시트(0124)'!F370</f>
        <v>1</v>
      </c>
      <c r="K303" s="824">
        <f>+'[6]입력 시트(0124)'!G370</f>
        <v>1</v>
      </c>
      <c r="L303" s="824">
        <f>+'[6]입력 시트(0124)'!H370</f>
        <v>1</v>
      </c>
      <c r="M303" s="824">
        <f>+'[6]입력 시트(0124)'!I370</f>
        <v>1</v>
      </c>
      <c r="N303" s="824">
        <v>1</v>
      </c>
      <c r="O303" s="824">
        <v>1</v>
      </c>
      <c r="P303" s="824">
        <v>1</v>
      </c>
      <c r="Q303" s="824">
        <v>1</v>
      </c>
      <c r="T303" s="824" t="e">
        <f>+'[6]입력 시트(0124)'!T370</f>
        <v>#REF!</v>
      </c>
      <c r="U303" s="824" t="e">
        <f>+'[6]입력 시트(0124)'!U370</f>
        <v>#REF!</v>
      </c>
      <c r="V303" s="824" t="e">
        <f>+'[6]입력 시트(0124)'!V370</f>
        <v>#REF!</v>
      </c>
      <c r="W303" s="824" t="e">
        <f>+'[6]입력 시트(0124)'!W370</f>
        <v>#REF!</v>
      </c>
      <c r="X303" s="824" t="e">
        <f>+'[6]입력 시트(0124)'!X370</f>
        <v>#REF!</v>
      </c>
      <c r="Y303" s="824" t="e">
        <f>+'[6]입력 시트(0124)'!U370</f>
        <v>#REF!</v>
      </c>
    </row>
    <row r="304" spans="2:25" hidden="1" outlineLevel="1">
      <c r="B304" s="735"/>
      <c r="C304" s="740" t="s">
        <v>309</v>
      </c>
      <c r="D304" s="716">
        <f t="shared" ref="D304:D326" si="58">+D303+1</f>
        <v>2</v>
      </c>
      <c r="E304" s="825"/>
      <c r="F304" s="825"/>
      <c r="G304" s="825"/>
      <c r="H304" s="825"/>
      <c r="I304" s="825"/>
      <c r="J304" s="825"/>
      <c r="K304" s="825"/>
      <c r="L304" s="825"/>
      <c r="M304" s="825"/>
      <c r="N304" s="825"/>
      <c r="O304" s="825"/>
      <c r="P304" s="825"/>
      <c r="Q304" s="825"/>
      <c r="T304" s="825"/>
      <c r="U304" s="825"/>
      <c r="V304" s="825"/>
      <c r="W304" s="825"/>
      <c r="X304" s="825"/>
      <c r="Y304" s="825"/>
    </row>
    <row r="305" spans="2:25" hidden="1" outlineLevel="1">
      <c r="B305" s="735"/>
      <c r="C305" s="740" t="s">
        <v>309</v>
      </c>
      <c r="D305" s="716">
        <f t="shared" si="58"/>
        <v>3</v>
      </c>
      <c r="E305" s="825"/>
      <c r="F305" s="825"/>
      <c r="G305" s="825"/>
      <c r="H305" s="825"/>
      <c r="I305" s="825"/>
      <c r="J305" s="825"/>
      <c r="K305" s="825"/>
      <c r="L305" s="825"/>
      <c r="M305" s="825"/>
      <c r="N305" s="825"/>
      <c r="O305" s="825"/>
      <c r="P305" s="825"/>
      <c r="Q305" s="825"/>
      <c r="T305" s="825"/>
      <c r="U305" s="825"/>
      <c r="V305" s="825"/>
      <c r="W305" s="825"/>
      <c r="X305" s="825"/>
      <c r="Y305" s="825"/>
    </row>
    <row r="306" spans="2:25" hidden="1" outlineLevel="1">
      <c r="B306" s="735"/>
      <c r="C306" s="740" t="s">
        <v>309</v>
      </c>
      <c r="D306" s="716">
        <f t="shared" si="58"/>
        <v>4</v>
      </c>
      <c r="E306" s="825"/>
      <c r="F306" s="825"/>
      <c r="G306" s="825"/>
      <c r="H306" s="825"/>
      <c r="I306" s="825"/>
      <c r="J306" s="825"/>
      <c r="K306" s="825"/>
      <c r="L306" s="825"/>
      <c r="M306" s="825"/>
      <c r="N306" s="825"/>
      <c r="O306" s="825"/>
      <c r="P306" s="825"/>
      <c r="Q306" s="825"/>
      <c r="T306" s="825"/>
      <c r="U306" s="825"/>
      <c r="V306" s="825"/>
      <c r="W306" s="825"/>
      <c r="X306" s="825"/>
      <c r="Y306" s="825"/>
    </row>
    <row r="307" spans="2:25" hidden="1" outlineLevel="1">
      <c r="B307" s="735"/>
      <c r="C307" s="740" t="s">
        <v>309</v>
      </c>
      <c r="D307" s="716">
        <f t="shared" si="58"/>
        <v>5</v>
      </c>
      <c r="E307" s="825"/>
      <c r="F307" s="825"/>
      <c r="G307" s="825"/>
      <c r="H307" s="825"/>
      <c r="I307" s="825"/>
      <c r="J307" s="825"/>
      <c r="K307" s="825"/>
      <c r="L307" s="825"/>
      <c r="M307" s="825"/>
      <c r="N307" s="825"/>
      <c r="O307" s="825"/>
      <c r="P307" s="825"/>
      <c r="Q307" s="825"/>
      <c r="T307" s="825"/>
      <c r="U307" s="825"/>
      <c r="V307" s="825"/>
      <c r="W307" s="825"/>
      <c r="X307" s="825"/>
      <c r="Y307" s="825"/>
    </row>
    <row r="308" spans="2:25" hidden="1" outlineLevel="1">
      <c r="B308" s="735"/>
      <c r="C308" s="740" t="s">
        <v>309</v>
      </c>
      <c r="D308" s="716">
        <f t="shared" si="58"/>
        <v>6</v>
      </c>
      <c r="E308" s="825"/>
      <c r="F308" s="825"/>
      <c r="G308" s="825"/>
      <c r="H308" s="825"/>
      <c r="I308" s="825"/>
      <c r="J308" s="825"/>
      <c r="K308" s="825"/>
      <c r="L308" s="825"/>
      <c r="M308" s="825"/>
      <c r="N308" s="825"/>
      <c r="O308" s="825"/>
      <c r="P308" s="825"/>
      <c r="Q308" s="825"/>
      <c r="T308" s="825"/>
      <c r="U308" s="825"/>
      <c r="V308" s="825"/>
      <c r="W308" s="825"/>
      <c r="X308" s="825"/>
      <c r="Y308" s="825"/>
    </row>
    <row r="309" spans="2:25" hidden="1" outlineLevel="1">
      <c r="B309" s="735"/>
      <c r="C309" s="740" t="s">
        <v>309</v>
      </c>
      <c r="D309" s="716">
        <f t="shared" si="58"/>
        <v>7</v>
      </c>
      <c r="E309" s="825"/>
      <c r="F309" s="825"/>
      <c r="G309" s="825"/>
      <c r="H309" s="825"/>
      <c r="I309" s="825"/>
      <c r="J309" s="825"/>
      <c r="K309" s="825"/>
      <c r="L309" s="825"/>
      <c r="M309" s="825"/>
      <c r="N309" s="825"/>
      <c r="O309" s="825"/>
      <c r="P309" s="825"/>
      <c r="Q309" s="825"/>
      <c r="T309" s="825"/>
      <c r="U309" s="825"/>
      <c r="V309" s="825"/>
      <c r="W309" s="825"/>
      <c r="X309" s="825"/>
      <c r="Y309" s="825"/>
    </row>
    <row r="310" spans="2:25" hidden="1" outlineLevel="1">
      <c r="B310" s="735"/>
      <c r="C310" s="740" t="s">
        <v>309</v>
      </c>
      <c r="D310" s="716">
        <f t="shared" si="58"/>
        <v>8</v>
      </c>
      <c r="E310" s="825"/>
      <c r="F310" s="825"/>
      <c r="G310" s="825"/>
      <c r="H310" s="825"/>
      <c r="I310" s="825"/>
      <c r="J310" s="825"/>
      <c r="K310" s="825"/>
      <c r="L310" s="825"/>
      <c r="M310" s="825"/>
      <c r="N310" s="825"/>
      <c r="O310" s="825"/>
      <c r="P310" s="825"/>
      <c r="Q310" s="825"/>
      <c r="T310" s="825"/>
      <c r="U310" s="825"/>
      <c r="V310" s="825"/>
      <c r="W310" s="825"/>
      <c r="X310" s="825"/>
      <c r="Y310" s="825"/>
    </row>
    <row r="311" spans="2:25" hidden="1" outlineLevel="1">
      <c r="B311" s="735"/>
      <c r="C311" s="740" t="s">
        <v>309</v>
      </c>
      <c r="D311" s="716">
        <f t="shared" si="58"/>
        <v>9</v>
      </c>
      <c r="E311" s="825"/>
      <c r="F311" s="825"/>
      <c r="G311" s="825"/>
      <c r="H311" s="825"/>
      <c r="I311" s="825"/>
      <c r="J311" s="825"/>
      <c r="K311" s="825"/>
      <c r="L311" s="825"/>
      <c r="M311" s="825"/>
      <c r="N311" s="825"/>
      <c r="O311" s="825"/>
      <c r="P311" s="825"/>
      <c r="Q311" s="825"/>
      <c r="T311" s="825"/>
      <c r="U311" s="825"/>
      <c r="V311" s="825"/>
      <c r="W311" s="825"/>
      <c r="X311" s="825"/>
      <c r="Y311" s="825"/>
    </row>
    <row r="312" spans="2:25" hidden="1" outlineLevel="1">
      <c r="B312" s="735"/>
      <c r="C312" s="740" t="s">
        <v>309</v>
      </c>
      <c r="D312" s="716">
        <f t="shared" si="58"/>
        <v>10</v>
      </c>
      <c r="E312" s="825"/>
      <c r="F312" s="825"/>
      <c r="G312" s="825"/>
      <c r="H312" s="825"/>
      <c r="I312" s="825"/>
      <c r="J312" s="825"/>
      <c r="K312" s="825"/>
      <c r="L312" s="825"/>
      <c r="M312" s="825"/>
      <c r="N312" s="825"/>
      <c r="O312" s="825"/>
      <c r="P312" s="825"/>
      <c r="Q312" s="825"/>
      <c r="T312" s="825"/>
      <c r="U312" s="825"/>
      <c r="V312" s="825"/>
      <c r="W312" s="825"/>
      <c r="X312" s="825"/>
      <c r="Y312" s="825"/>
    </row>
    <row r="313" spans="2:25" hidden="1" outlineLevel="1">
      <c r="B313" s="735"/>
      <c r="C313" s="740" t="s">
        <v>309</v>
      </c>
      <c r="D313" s="716">
        <f t="shared" si="58"/>
        <v>11</v>
      </c>
      <c r="E313" s="825"/>
      <c r="F313" s="825"/>
      <c r="G313" s="825"/>
      <c r="H313" s="825"/>
      <c r="I313" s="825"/>
      <c r="J313" s="825"/>
      <c r="K313" s="825"/>
      <c r="L313" s="825"/>
      <c r="M313" s="825"/>
      <c r="N313" s="825"/>
      <c r="O313" s="825"/>
      <c r="P313" s="825"/>
      <c r="Q313" s="825"/>
      <c r="T313" s="825"/>
      <c r="U313" s="825"/>
      <c r="V313" s="825"/>
      <c r="W313" s="825"/>
      <c r="X313" s="825"/>
      <c r="Y313" s="825"/>
    </row>
    <row r="314" spans="2:25" hidden="1" outlineLevel="1">
      <c r="B314" s="735"/>
      <c r="C314" s="740" t="s">
        <v>309</v>
      </c>
      <c r="D314" s="716">
        <f t="shared" si="58"/>
        <v>12</v>
      </c>
      <c r="E314" s="825"/>
      <c r="F314" s="825"/>
      <c r="G314" s="825"/>
      <c r="H314" s="825"/>
      <c r="I314" s="825"/>
      <c r="J314" s="825"/>
      <c r="K314" s="825"/>
      <c r="L314" s="825"/>
      <c r="M314" s="825"/>
      <c r="N314" s="825"/>
      <c r="O314" s="825"/>
      <c r="P314" s="825"/>
      <c r="Q314" s="825"/>
      <c r="T314" s="825"/>
      <c r="U314" s="825"/>
      <c r="V314" s="825"/>
      <c r="W314" s="825"/>
      <c r="X314" s="825"/>
      <c r="Y314" s="825"/>
    </row>
    <row r="315" spans="2:25" hidden="1" outlineLevel="1">
      <c r="B315" s="735"/>
      <c r="C315" s="740" t="s">
        <v>309</v>
      </c>
      <c r="D315" s="716">
        <f t="shared" si="58"/>
        <v>13</v>
      </c>
      <c r="E315" s="826"/>
      <c r="F315" s="826"/>
      <c r="G315" s="826"/>
      <c r="H315" s="826"/>
      <c r="I315" s="826"/>
      <c r="J315" s="826"/>
      <c r="K315" s="826"/>
      <c r="L315" s="826"/>
      <c r="M315" s="826"/>
      <c r="N315" s="826"/>
      <c r="O315" s="826"/>
      <c r="P315" s="826"/>
      <c r="Q315" s="826"/>
      <c r="T315" s="826"/>
      <c r="U315" s="826"/>
      <c r="V315" s="826"/>
      <c r="W315" s="826"/>
      <c r="X315" s="826"/>
      <c r="Y315" s="826"/>
    </row>
    <row r="316" spans="2:25" hidden="1" outlineLevel="1">
      <c r="B316" s="735"/>
      <c r="C316" s="740" t="s">
        <v>309</v>
      </c>
      <c r="D316" s="716">
        <f t="shared" si="58"/>
        <v>14</v>
      </c>
      <c r="E316" s="826"/>
      <c r="F316" s="826"/>
      <c r="G316" s="826"/>
      <c r="H316" s="826"/>
      <c r="I316" s="826"/>
      <c r="J316" s="826"/>
      <c r="K316" s="826"/>
      <c r="L316" s="826"/>
      <c r="M316" s="826"/>
      <c r="N316" s="826"/>
      <c r="O316" s="826"/>
      <c r="P316" s="826"/>
      <c r="Q316" s="826"/>
      <c r="T316" s="826"/>
      <c r="U316" s="826"/>
      <c r="V316" s="826"/>
      <c r="W316" s="826"/>
      <c r="X316" s="826"/>
      <c r="Y316" s="826"/>
    </row>
    <row r="317" spans="2:25" hidden="1" outlineLevel="1">
      <c r="B317" s="735"/>
      <c r="C317" s="740" t="s">
        <v>309</v>
      </c>
      <c r="D317" s="716">
        <f t="shared" si="58"/>
        <v>15</v>
      </c>
      <c r="E317" s="826"/>
      <c r="F317" s="826"/>
      <c r="G317" s="826"/>
      <c r="H317" s="826"/>
      <c r="I317" s="826"/>
      <c r="J317" s="826"/>
      <c r="K317" s="826"/>
      <c r="L317" s="826"/>
      <c r="M317" s="826"/>
      <c r="N317" s="826"/>
      <c r="O317" s="826"/>
      <c r="P317" s="826"/>
      <c r="Q317" s="826"/>
      <c r="T317" s="826"/>
      <c r="U317" s="826"/>
      <c r="V317" s="826"/>
      <c r="W317" s="826"/>
      <c r="X317" s="826"/>
      <c r="Y317" s="826"/>
    </row>
    <row r="318" spans="2:25" hidden="1" outlineLevel="1">
      <c r="B318" s="735"/>
      <c r="C318" s="740" t="s">
        <v>309</v>
      </c>
      <c r="D318" s="716">
        <f t="shared" si="58"/>
        <v>16</v>
      </c>
      <c r="E318" s="826"/>
      <c r="F318" s="826"/>
      <c r="G318" s="826"/>
      <c r="H318" s="826"/>
      <c r="I318" s="826"/>
      <c r="J318" s="826"/>
      <c r="K318" s="826"/>
      <c r="L318" s="826"/>
      <c r="M318" s="826"/>
      <c r="N318" s="826"/>
      <c r="O318" s="826"/>
      <c r="P318" s="826"/>
      <c r="Q318" s="826"/>
      <c r="T318" s="826"/>
      <c r="U318" s="826"/>
      <c r="V318" s="826"/>
      <c r="W318" s="826"/>
      <c r="X318" s="826"/>
      <c r="Y318" s="826"/>
    </row>
    <row r="319" spans="2:25" hidden="1" outlineLevel="1">
      <c r="B319" s="735"/>
      <c r="C319" s="740" t="s">
        <v>309</v>
      </c>
      <c r="D319" s="716">
        <f t="shared" si="58"/>
        <v>17</v>
      </c>
      <c r="E319" s="826"/>
      <c r="F319" s="826"/>
      <c r="G319" s="826"/>
      <c r="H319" s="826"/>
      <c r="I319" s="826"/>
      <c r="J319" s="826"/>
      <c r="K319" s="826"/>
      <c r="L319" s="826"/>
      <c r="M319" s="826"/>
      <c r="N319" s="826"/>
      <c r="O319" s="826"/>
      <c r="P319" s="826"/>
      <c r="Q319" s="826"/>
      <c r="T319" s="826"/>
      <c r="U319" s="826"/>
      <c r="V319" s="826"/>
      <c r="W319" s="826"/>
      <c r="X319" s="826"/>
      <c r="Y319" s="826"/>
    </row>
    <row r="320" spans="2:25" hidden="1" outlineLevel="1">
      <c r="B320" s="735"/>
      <c r="C320" s="740" t="s">
        <v>309</v>
      </c>
      <c r="D320" s="716">
        <f t="shared" si="58"/>
        <v>18</v>
      </c>
      <c r="E320" s="826"/>
      <c r="F320" s="826"/>
      <c r="G320" s="826"/>
      <c r="H320" s="826"/>
      <c r="I320" s="826"/>
      <c r="J320" s="826"/>
      <c r="K320" s="826"/>
      <c r="L320" s="826"/>
      <c r="M320" s="826"/>
      <c r="N320" s="826"/>
      <c r="O320" s="826"/>
      <c r="P320" s="826"/>
      <c r="Q320" s="826"/>
      <c r="T320" s="826"/>
      <c r="U320" s="826"/>
      <c r="V320" s="826"/>
      <c r="W320" s="826"/>
      <c r="X320" s="826"/>
      <c r="Y320" s="826"/>
    </row>
    <row r="321" spans="2:25" hidden="1" outlineLevel="1">
      <c r="B321" s="735"/>
      <c r="C321" s="740" t="s">
        <v>309</v>
      </c>
      <c r="D321" s="716">
        <f t="shared" si="58"/>
        <v>19</v>
      </c>
      <c r="E321" s="826"/>
      <c r="F321" s="826"/>
      <c r="G321" s="826"/>
      <c r="H321" s="826"/>
      <c r="I321" s="826"/>
      <c r="J321" s="826"/>
      <c r="K321" s="826"/>
      <c r="L321" s="826"/>
      <c r="M321" s="826"/>
      <c r="N321" s="826"/>
      <c r="O321" s="826"/>
      <c r="P321" s="826"/>
      <c r="Q321" s="826"/>
      <c r="T321" s="826"/>
      <c r="U321" s="826"/>
      <c r="V321" s="826"/>
      <c r="W321" s="826"/>
      <c r="X321" s="826"/>
      <c r="Y321" s="826"/>
    </row>
    <row r="322" spans="2:25" hidden="1" outlineLevel="1">
      <c r="B322" s="735"/>
      <c r="C322" s="740" t="s">
        <v>309</v>
      </c>
      <c r="D322" s="716">
        <f t="shared" si="58"/>
        <v>20</v>
      </c>
      <c r="E322" s="826"/>
      <c r="F322" s="826"/>
      <c r="G322" s="826"/>
      <c r="H322" s="826"/>
      <c r="I322" s="826"/>
      <c r="J322" s="826"/>
      <c r="K322" s="826"/>
      <c r="L322" s="826"/>
      <c r="M322" s="826"/>
      <c r="N322" s="826"/>
      <c r="O322" s="826"/>
      <c r="P322" s="826"/>
      <c r="Q322" s="826"/>
      <c r="T322" s="826"/>
      <c r="U322" s="826"/>
      <c r="V322" s="826"/>
      <c r="W322" s="826"/>
      <c r="X322" s="826"/>
      <c r="Y322" s="826"/>
    </row>
    <row r="323" spans="2:25" hidden="1" outlineLevel="1">
      <c r="B323" s="735"/>
      <c r="C323" s="740" t="s">
        <v>309</v>
      </c>
      <c r="D323" s="716">
        <f t="shared" si="58"/>
        <v>21</v>
      </c>
      <c r="E323" s="826"/>
      <c r="F323" s="826"/>
      <c r="G323" s="826"/>
      <c r="H323" s="826"/>
      <c r="I323" s="826"/>
      <c r="J323" s="826"/>
      <c r="K323" s="826"/>
      <c r="L323" s="826"/>
      <c r="M323" s="826"/>
      <c r="N323" s="826"/>
      <c r="O323" s="826"/>
      <c r="P323" s="826"/>
      <c r="Q323" s="826"/>
      <c r="T323" s="826"/>
      <c r="U323" s="826"/>
      <c r="V323" s="826"/>
      <c r="W323" s="826"/>
      <c r="X323" s="826"/>
      <c r="Y323" s="826"/>
    </row>
    <row r="324" spans="2:25" hidden="1" outlineLevel="1">
      <c r="B324" s="735"/>
      <c r="C324" s="740" t="s">
        <v>309</v>
      </c>
      <c r="D324" s="716">
        <f t="shared" si="58"/>
        <v>22</v>
      </c>
      <c r="E324" s="826"/>
      <c r="F324" s="826"/>
      <c r="G324" s="826"/>
      <c r="H324" s="826"/>
      <c r="I324" s="826"/>
      <c r="J324" s="826"/>
      <c r="K324" s="826"/>
      <c r="L324" s="826"/>
      <c r="M324" s="826"/>
      <c r="N324" s="826"/>
      <c r="O324" s="826"/>
      <c r="P324" s="826"/>
      <c r="Q324" s="826"/>
      <c r="T324" s="826"/>
      <c r="U324" s="826"/>
      <c r="V324" s="826"/>
      <c r="W324" s="826"/>
      <c r="X324" s="826"/>
      <c r="Y324" s="826"/>
    </row>
    <row r="325" spans="2:25" hidden="1" outlineLevel="1">
      <c r="B325" s="735"/>
      <c r="C325" s="740" t="s">
        <v>309</v>
      </c>
      <c r="D325" s="716">
        <f t="shared" si="58"/>
        <v>23</v>
      </c>
      <c r="E325" s="826"/>
      <c r="F325" s="826"/>
      <c r="G325" s="826"/>
      <c r="H325" s="826"/>
      <c r="I325" s="826"/>
      <c r="J325" s="826"/>
      <c r="K325" s="826"/>
      <c r="L325" s="826"/>
      <c r="M325" s="826"/>
      <c r="N325" s="826"/>
      <c r="O325" s="826"/>
      <c r="P325" s="826"/>
      <c r="Q325" s="826"/>
      <c r="T325" s="826"/>
      <c r="U325" s="826"/>
      <c r="V325" s="826"/>
      <c r="W325" s="826"/>
      <c r="X325" s="826"/>
      <c r="Y325" s="826"/>
    </row>
    <row r="326" spans="2:25" hidden="1" outlineLevel="1">
      <c r="B326" s="735"/>
      <c r="C326" s="740" t="s">
        <v>309</v>
      </c>
      <c r="D326" s="716">
        <f t="shared" si="58"/>
        <v>24</v>
      </c>
      <c r="E326" s="826"/>
      <c r="F326" s="826"/>
      <c r="G326" s="826"/>
      <c r="H326" s="826"/>
      <c r="I326" s="826"/>
      <c r="J326" s="826"/>
      <c r="K326" s="826"/>
      <c r="L326" s="826"/>
      <c r="M326" s="826"/>
      <c r="N326" s="826"/>
      <c r="O326" s="826"/>
      <c r="P326" s="826"/>
      <c r="Q326" s="826"/>
      <c r="T326" s="826"/>
      <c r="U326" s="826"/>
      <c r="V326" s="826"/>
      <c r="W326" s="826"/>
      <c r="X326" s="826"/>
      <c r="Y326" s="826"/>
    </row>
    <row r="327" spans="2:25" hidden="1" outlineLevel="1">
      <c r="B327" s="735" t="s">
        <v>540</v>
      </c>
      <c r="E327" s="830"/>
      <c r="F327" s="830"/>
      <c r="G327" s="830"/>
      <c r="H327" s="830"/>
      <c r="I327" s="830"/>
      <c r="J327" s="830"/>
      <c r="K327" s="830"/>
      <c r="L327" s="830"/>
      <c r="M327" s="830"/>
      <c r="N327" s="830"/>
      <c r="O327" s="830"/>
      <c r="P327" s="830"/>
      <c r="Q327" s="830"/>
      <c r="T327" s="962"/>
      <c r="U327" s="962"/>
      <c r="V327" s="962"/>
      <c r="W327" s="962"/>
      <c r="X327" s="962"/>
      <c r="Y327" s="962"/>
    </row>
    <row r="328" spans="2:25" outlineLevel="1">
      <c r="T328" s="777"/>
      <c r="U328" s="777"/>
      <c r="V328" s="777"/>
      <c r="W328" s="777"/>
      <c r="X328" s="777"/>
      <c r="Y328" s="777"/>
    </row>
    <row r="329" spans="2:25" hidden="1" outlineLevel="1">
      <c r="B329" s="803" t="s">
        <v>578</v>
      </c>
      <c r="D329" s="749"/>
      <c r="E329" s="750"/>
      <c r="F329" s="750"/>
      <c r="G329" s="750"/>
      <c r="H329" s="750"/>
      <c r="I329" s="750"/>
      <c r="J329" s="750"/>
      <c r="K329" s="750"/>
      <c r="L329" s="750"/>
      <c r="M329" s="750"/>
      <c r="N329" s="750"/>
      <c r="O329" s="750"/>
      <c r="P329" s="750"/>
      <c r="Q329" s="750"/>
      <c r="T329" s="953"/>
      <c r="U329" s="953"/>
      <c r="V329" s="953"/>
      <c r="W329" s="953"/>
      <c r="X329" s="953"/>
      <c r="Y329" s="953"/>
    </row>
    <row r="330" spans="2:25" ht="16.5" hidden="1" customHeight="1" outlineLevel="1">
      <c r="B330" s="735" t="s">
        <v>487</v>
      </c>
      <c r="C330" s="760"/>
      <c r="D330" s="759"/>
      <c r="E330" s="801" t="s">
        <v>545</v>
      </c>
      <c r="F330" s="801" t="s">
        <v>545</v>
      </c>
      <c r="G330" s="801" t="s">
        <v>545</v>
      </c>
      <c r="H330" s="801" t="s">
        <v>545</v>
      </c>
      <c r="I330" s="801" t="s">
        <v>545</v>
      </c>
      <c r="J330" s="801" t="s">
        <v>545</v>
      </c>
      <c r="K330" s="801" t="s">
        <v>545</v>
      </c>
      <c r="L330" s="801" t="s">
        <v>545</v>
      </c>
      <c r="M330" s="801" t="s">
        <v>545</v>
      </c>
      <c r="N330" s="801" t="s">
        <v>545</v>
      </c>
      <c r="O330" s="801" t="s">
        <v>545</v>
      </c>
      <c r="P330" s="801" t="s">
        <v>545</v>
      </c>
      <c r="Q330" s="801" t="s">
        <v>545</v>
      </c>
      <c r="T330" s="801" t="s">
        <v>545</v>
      </c>
      <c r="U330" s="801" t="s">
        <v>545</v>
      </c>
      <c r="V330" s="801" t="s">
        <v>545</v>
      </c>
      <c r="W330" s="801" t="s">
        <v>545</v>
      </c>
      <c r="X330" s="801" t="s">
        <v>545</v>
      </c>
      <c r="Y330" s="801" t="s">
        <v>545</v>
      </c>
    </row>
    <row r="331" spans="2:25" hidden="1" outlineLevel="1">
      <c r="B331" s="735" t="s">
        <v>528</v>
      </c>
      <c r="D331" s="813" t="s">
        <v>567</v>
      </c>
      <c r="E331" s="829">
        <f>+'[6]입력 시트(0124)'!E398</f>
        <v>0</v>
      </c>
      <c r="F331" s="829">
        <f>+'[6]입력 시트(0124)'!F398</f>
        <v>0</v>
      </c>
      <c r="G331" s="829">
        <f>+'[6]입력 시트(0124)'!G398</f>
        <v>0</v>
      </c>
      <c r="H331" s="829">
        <f>+'[6]입력 시트(0124)'!H398</f>
        <v>0</v>
      </c>
      <c r="I331" s="829">
        <f>+'[6]입력 시트(0124)'!I398</f>
        <v>0</v>
      </c>
      <c r="J331" s="829" t="e">
        <f>+'[6]입력 시트(0124)'!J398</f>
        <v>#REF!</v>
      </c>
      <c r="K331" s="829">
        <f>+'[6]입력 시트(0124)'!G398</f>
        <v>0</v>
      </c>
      <c r="L331" s="829">
        <f>+'[6]입력 시트(0124)'!H398</f>
        <v>0</v>
      </c>
      <c r="M331" s="829">
        <f>+'[6]입력 시트(0124)'!I398</f>
        <v>0</v>
      </c>
      <c r="N331" s="829" t="e">
        <f>+'[6]입력 시트(0124)'!N398</f>
        <v>#REF!</v>
      </c>
      <c r="O331" s="829" t="e">
        <f>+'[6]입력 시트(0124)'!O398</f>
        <v>#REF!</v>
      </c>
      <c r="P331" s="829" t="e">
        <f>+'[6]입력 시트(0124)'!P398</f>
        <v>#REF!</v>
      </c>
      <c r="Q331" s="829" t="e">
        <f>+'[6]입력 시트(0124)'!Q398</f>
        <v>#REF!</v>
      </c>
      <c r="T331" s="829" t="e">
        <f>+'[6]입력 시트(0124)'!T398</f>
        <v>#REF!</v>
      </c>
      <c r="U331" s="829" t="e">
        <f>+'[6]입력 시트(0124)'!U398</f>
        <v>#REF!</v>
      </c>
      <c r="V331" s="829" t="e">
        <f>+'[6]입력 시트(0124)'!V398</f>
        <v>#REF!</v>
      </c>
      <c r="W331" s="829" t="e">
        <f>+'[6]입력 시트(0124)'!W398</f>
        <v>#REF!</v>
      </c>
      <c r="X331" s="829" t="e">
        <f>+'[6]입력 시트(0124)'!X398</f>
        <v>#REF!</v>
      </c>
      <c r="Y331" s="829" t="e">
        <f>+'[6]입력 시트(0124)'!Y398</f>
        <v>#REF!</v>
      </c>
    </row>
    <row r="332" spans="2:25" ht="16.5" hidden="1" customHeight="1" outlineLevel="1">
      <c r="B332" s="735" t="s">
        <v>542</v>
      </c>
      <c r="D332" s="721" t="s">
        <v>533</v>
      </c>
      <c r="E332" s="822">
        <v>0</v>
      </c>
      <c r="F332" s="822">
        <v>0</v>
      </c>
      <c r="G332" s="822">
        <v>0</v>
      </c>
      <c r="H332" s="822">
        <v>0</v>
      </c>
      <c r="I332" s="822">
        <v>0</v>
      </c>
      <c r="J332" s="822">
        <v>0</v>
      </c>
      <c r="K332" s="822">
        <v>0</v>
      </c>
      <c r="L332" s="822">
        <v>0</v>
      </c>
      <c r="M332" s="822">
        <v>0</v>
      </c>
      <c r="N332" s="822">
        <v>0</v>
      </c>
      <c r="O332" s="822">
        <v>0</v>
      </c>
      <c r="P332" s="822">
        <v>0</v>
      </c>
      <c r="Q332" s="822">
        <v>0</v>
      </c>
      <c r="T332" s="822">
        <v>0</v>
      </c>
      <c r="U332" s="822">
        <v>0</v>
      </c>
      <c r="V332" s="822">
        <v>0</v>
      </c>
      <c r="W332" s="822">
        <v>0</v>
      </c>
      <c r="X332" s="822">
        <v>0</v>
      </c>
      <c r="Y332" s="822">
        <v>0</v>
      </c>
    </row>
    <row r="333" spans="2:25" ht="16.5" hidden="1" customHeight="1" outlineLevel="1">
      <c r="B333" s="735" t="s">
        <v>534</v>
      </c>
      <c r="D333" s="721" t="s">
        <v>301</v>
      </c>
      <c r="E333" s="823"/>
      <c r="F333" s="823"/>
      <c r="G333" s="823"/>
      <c r="H333" s="823"/>
      <c r="I333" s="823"/>
      <c r="J333" s="823"/>
      <c r="K333" s="823"/>
      <c r="L333" s="823"/>
      <c r="M333" s="823"/>
      <c r="N333" s="823"/>
      <c r="O333" s="823"/>
      <c r="P333" s="823"/>
      <c r="Q333" s="823"/>
      <c r="T333" s="823"/>
      <c r="U333" s="823"/>
      <c r="V333" s="823"/>
      <c r="W333" s="823"/>
      <c r="X333" s="823"/>
      <c r="Y333" s="823"/>
    </row>
    <row r="334" spans="2:25" ht="16.5" hidden="1" customHeight="1" outlineLevel="1">
      <c r="B334" s="735" t="s">
        <v>536</v>
      </c>
      <c r="D334" s="721" t="s">
        <v>309</v>
      </c>
      <c r="E334" s="824"/>
      <c r="F334" s="824"/>
      <c r="G334" s="824"/>
      <c r="H334" s="824"/>
      <c r="I334" s="824"/>
      <c r="J334" s="824"/>
      <c r="K334" s="824"/>
      <c r="L334" s="824"/>
      <c r="M334" s="824"/>
      <c r="N334" s="824"/>
      <c r="O334" s="824"/>
      <c r="P334" s="824"/>
      <c r="Q334" s="824"/>
      <c r="T334" s="824"/>
      <c r="U334" s="824"/>
      <c r="V334" s="824"/>
      <c r="W334" s="824"/>
      <c r="X334" s="824"/>
      <c r="Y334" s="824"/>
    </row>
    <row r="335" spans="2:25" hidden="1" outlineLevel="1">
      <c r="B335" s="716" t="s">
        <v>568</v>
      </c>
      <c r="C335" s="740" t="s">
        <v>569</v>
      </c>
      <c r="D335" s="716">
        <v>1</v>
      </c>
      <c r="E335" s="824">
        <f>+'[6]입력 시트(0124)'!E402</f>
        <v>0</v>
      </c>
      <c r="F335" s="824">
        <f>+'[6]입력 시트(0124)'!F402</f>
        <v>0</v>
      </c>
      <c r="G335" s="824">
        <f>+'[6]입력 시트(0124)'!G402</f>
        <v>0</v>
      </c>
      <c r="H335" s="824">
        <f>+'[6]입력 시트(0124)'!H402</f>
        <v>0</v>
      </c>
      <c r="I335" s="824">
        <f>+'[6]입력 시트(0124)'!I402</f>
        <v>0</v>
      </c>
      <c r="J335" s="824" t="e">
        <f>+'[6]입력 시트(0124)'!J402</f>
        <v>#REF!</v>
      </c>
      <c r="K335" s="824">
        <f>+'[6]입력 시트(0124)'!G402</f>
        <v>0</v>
      </c>
      <c r="L335" s="824">
        <f>+'[6]입력 시트(0124)'!H402</f>
        <v>0</v>
      </c>
      <c r="M335" s="824">
        <f>+'[6]입력 시트(0124)'!I402</f>
        <v>0</v>
      </c>
      <c r="N335" s="824" t="e">
        <f>+'[6]입력 시트(0124)'!N402</f>
        <v>#REF!</v>
      </c>
      <c r="O335" s="824" t="e">
        <f>+'[6]입력 시트(0124)'!O402</f>
        <v>#REF!</v>
      </c>
      <c r="P335" s="824" t="e">
        <f>+'[6]입력 시트(0124)'!P402</f>
        <v>#REF!</v>
      </c>
      <c r="Q335" s="824" t="e">
        <f>+'[6]입력 시트(0124)'!Q402</f>
        <v>#REF!</v>
      </c>
      <c r="T335" s="824" t="e">
        <f>+'[6]입력 시트(0124)'!T402</f>
        <v>#REF!</v>
      </c>
      <c r="U335" s="824" t="e">
        <f>+'[6]입력 시트(0124)'!U402</f>
        <v>#REF!</v>
      </c>
      <c r="V335" s="824" t="e">
        <f>+'[6]입력 시트(0124)'!V402</f>
        <v>#REF!</v>
      </c>
      <c r="W335" s="824" t="e">
        <f>+'[6]입력 시트(0124)'!W402</f>
        <v>#REF!</v>
      </c>
      <c r="X335" s="824" t="e">
        <f>+'[6]입력 시트(0124)'!X402</f>
        <v>#REF!</v>
      </c>
      <c r="Y335" s="824" t="e">
        <f>+'[6]입력 시트(0124)'!Y402</f>
        <v>#REF!</v>
      </c>
    </row>
    <row r="336" spans="2:25" hidden="1" outlineLevel="1">
      <c r="B336" s="735"/>
      <c r="C336" s="740" t="s">
        <v>309</v>
      </c>
      <c r="D336" s="716">
        <f>+D335+1</f>
        <v>2</v>
      </c>
      <c r="E336" s="824">
        <f>+'[6]입력 시트(0124)'!E403</f>
        <v>0</v>
      </c>
      <c r="F336" s="824">
        <f>+'[6]입력 시트(0124)'!F403</f>
        <v>0</v>
      </c>
      <c r="G336" s="824">
        <f>+'[6]입력 시트(0124)'!G403</f>
        <v>0</v>
      </c>
      <c r="H336" s="824">
        <f>+'[6]입력 시트(0124)'!H403</f>
        <v>0</v>
      </c>
      <c r="I336" s="824">
        <f>+'[6]입력 시트(0124)'!I403</f>
        <v>0</v>
      </c>
      <c r="J336" s="824" t="e">
        <f>+'[6]입력 시트(0124)'!J403</f>
        <v>#REF!</v>
      </c>
      <c r="K336" s="824">
        <f>+'[6]입력 시트(0124)'!G403</f>
        <v>0</v>
      </c>
      <c r="L336" s="824">
        <f>+'[6]입력 시트(0124)'!H403</f>
        <v>0</v>
      </c>
      <c r="M336" s="824">
        <f>+'[6]입력 시트(0124)'!I403</f>
        <v>0</v>
      </c>
      <c r="N336" s="824" t="e">
        <f>+'[6]입력 시트(0124)'!N403</f>
        <v>#REF!</v>
      </c>
      <c r="O336" s="824" t="e">
        <f>+'[6]입력 시트(0124)'!O403</f>
        <v>#REF!</v>
      </c>
      <c r="P336" s="824" t="e">
        <f>+'[6]입력 시트(0124)'!P403</f>
        <v>#REF!</v>
      </c>
      <c r="Q336" s="824" t="e">
        <f>+'[6]입력 시트(0124)'!Q403</f>
        <v>#REF!</v>
      </c>
      <c r="T336" s="824" t="e">
        <f>+'[6]입력 시트(0124)'!T403</f>
        <v>#REF!</v>
      </c>
      <c r="U336" s="824" t="e">
        <f>+'[6]입력 시트(0124)'!U403</f>
        <v>#REF!</v>
      </c>
      <c r="V336" s="824" t="e">
        <f>+'[6]입력 시트(0124)'!V403</f>
        <v>#REF!</v>
      </c>
      <c r="W336" s="824" t="e">
        <f>+'[6]입력 시트(0124)'!W403</f>
        <v>#REF!</v>
      </c>
      <c r="X336" s="824" t="e">
        <f>+'[6]입력 시트(0124)'!X403</f>
        <v>#REF!</v>
      </c>
      <c r="Y336" s="824" t="e">
        <f>+'[6]입력 시트(0124)'!Y403</f>
        <v>#REF!</v>
      </c>
    </row>
    <row r="337" spans="2:25" hidden="1" outlineLevel="1">
      <c r="B337" s="735"/>
      <c r="C337" s="740" t="s">
        <v>309</v>
      </c>
      <c r="D337" s="716">
        <f t="shared" ref="D337:D358" si="59">+D336+1</f>
        <v>3</v>
      </c>
      <c r="E337" s="824">
        <f>+'[6]입력 시트(0124)'!E404</f>
        <v>0</v>
      </c>
      <c r="F337" s="824">
        <f>+'[6]입력 시트(0124)'!F404</f>
        <v>0</v>
      </c>
      <c r="G337" s="824">
        <f>+'[6]입력 시트(0124)'!G404</f>
        <v>0</v>
      </c>
      <c r="H337" s="824">
        <f>+'[6]입력 시트(0124)'!H404</f>
        <v>0</v>
      </c>
      <c r="I337" s="824">
        <f>+'[6]입력 시트(0124)'!I404</f>
        <v>0</v>
      </c>
      <c r="J337" s="824" t="e">
        <f>+'[6]입력 시트(0124)'!J404</f>
        <v>#REF!</v>
      </c>
      <c r="K337" s="824">
        <f>+'[6]입력 시트(0124)'!G404</f>
        <v>0</v>
      </c>
      <c r="L337" s="824">
        <f>+'[6]입력 시트(0124)'!H404</f>
        <v>0</v>
      </c>
      <c r="M337" s="824">
        <f>+'[6]입력 시트(0124)'!I404</f>
        <v>0</v>
      </c>
      <c r="N337" s="824" t="e">
        <f>+'[6]입력 시트(0124)'!N404</f>
        <v>#REF!</v>
      </c>
      <c r="O337" s="824" t="e">
        <f>+'[6]입력 시트(0124)'!O404</f>
        <v>#REF!</v>
      </c>
      <c r="P337" s="824" t="e">
        <f>+'[6]입력 시트(0124)'!P404</f>
        <v>#REF!</v>
      </c>
      <c r="Q337" s="824" t="e">
        <f>+'[6]입력 시트(0124)'!Q404</f>
        <v>#REF!</v>
      </c>
      <c r="T337" s="824" t="e">
        <f>+'[6]입력 시트(0124)'!T404</f>
        <v>#REF!</v>
      </c>
      <c r="U337" s="824" t="e">
        <f>+'[6]입력 시트(0124)'!U404</f>
        <v>#REF!</v>
      </c>
      <c r="V337" s="824" t="e">
        <f>+'[6]입력 시트(0124)'!V404</f>
        <v>#REF!</v>
      </c>
      <c r="W337" s="824" t="e">
        <f>+'[6]입력 시트(0124)'!W404</f>
        <v>#REF!</v>
      </c>
      <c r="X337" s="824" t="e">
        <f>+'[6]입력 시트(0124)'!X404</f>
        <v>#REF!</v>
      </c>
      <c r="Y337" s="824" t="e">
        <f>+'[6]입력 시트(0124)'!Y404</f>
        <v>#REF!</v>
      </c>
    </row>
    <row r="338" spans="2:25" hidden="1" outlineLevel="1">
      <c r="B338" s="735"/>
      <c r="C338" s="740" t="s">
        <v>309</v>
      </c>
      <c r="D338" s="716">
        <f t="shared" si="59"/>
        <v>4</v>
      </c>
      <c r="E338" s="824">
        <f>+'[6]입력 시트(0124)'!E405</f>
        <v>0</v>
      </c>
      <c r="F338" s="824">
        <f>+'[6]입력 시트(0124)'!F405</f>
        <v>0</v>
      </c>
      <c r="G338" s="824">
        <f>+'[6]입력 시트(0124)'!G405</f>
        <v>0</v>
      </c>
      <c r="H338" s="824">
        <f>+'[6]입력 시트(0124)'!H405</f>
        <v>0</v>
      </c>
      <c r="I338" s="824">
        <f>+'[6]입력 시트(0124)'!I405</f>
        <v>0</v>
      </c>
      <c r="J338" s="824" t="e">
        <f>+'[6]입력 시트(0124)'!J405</f>
        <v>#REF!</v>
      </c>
      <c r="K338" s="824">
        <f>+'[6]입력 시트(0124)'!G405</f>
        <v>0</v>
      </c>
      <c r="L338" s="824">
        <f>+'[6]입력 시트(0124)'!H405</f>
        <v>0</v>
      </c>
      <c r="M338" s="824">
        <f>+'[6]입력 시트(0124)'!I405</f>
        <v>0</v>
      </c>
      <c r="N338" s="824" t="e">
        <f>+'[6]입력 시트(0124)'!N405</f>
        <v>#REF!</v>
      </c>
      <c r="O338" s="824" t="e">
        <f>+'[6]입력 시트(0124)'!O405</f>
        <v>#REF!</v>
      </c>
      <c r="P338" s="824" t="e">
        <f>+'[6]입력 시트(0124)'!P405</f>
        <v>#REF!</v>
      </c>
      <c r="Q338" s="824" t="e">
        <f>+'[6]입력 시트(0124)'!Q405</f>
        <v>#REF!</v>
      </c>
      <c r="T338" s="824" t="e">
        <f>+'[6]입력 시트(0124)'!T405</f>
        <v>#REF!</v>
      </c>
      <c r="U338" s="824" t="e">
        <f>+'[6]입력 시트(0124)'!U405</f>
        <v>#REF!</v>
      </c>
      <c r="V338" s="824" t="e">
        <f>+'[6]입력 시트(0124)'!V405</f>
        <v>#REF!</v>
      </c>
      <c r="W338" s="824" t="e">
        <f>+'[6]입력 시트(0124)'!W405</f>
        <v>#REF!</v>
      </c>
      <c r="X338" s="824" t="e">
        <f>+'[6]입력 시트(0124)'!X405</f>
        <v>#REF!</v>
      </c>
      <c r="Y338" s="824" t="e">
        <f>+'[6]입력 시트(0124)'!Y405</f>
        <v>#REF!</v>
      </c>
    </row>
    <row r="339" spans="2:25" hidden="1" outlineLevel="1">
      <c r="B339" s="735"/>
      <c r="C339" s="740" t="s">
        <v>309</v>
      </c>
      <c r="D339" s="716">
        <f t="shared" si="59"/>
        <v>5</v>
      </c>
      <c r="E339" s="824">
        <f>+'[6]입력 시트(0124)'!E406</f>
        <v>0</v>
      </c>
      <c r="F339" s="824">
        <f>+'[6]입력 시트(0124)'!F406</f>
        <v>0</v>
      </c>
      <c r="G339" s="824">
        <f>+'[6]입력 시트(0124)'!G406</f>
        <v>0</v>
      </c>
      <c r="H339" s="824">
        <f>+'[6]입력 시트(0124)'!H406</f>
        <v>0</v>
      </c>
      <c r="I339" s="824">
        <f>+'[6]입력 시트(0124)'!I406</f>
        <v>0</v>
      </c>
      <c r="J339" s="824" t="e">
        <f>+'[6]입력 시트(0124)'!J406</f>
        <v>#REF!</v>
      </c>
      <c r="K339" s="824">
        <f>+'[6]입력 시트(0124)'!G406</f>
        <v>0</v>
      </c>
      <c r="L339" s="824">
        <f>+'[6]입력 시트(0124)'!H406</f>
        <v>0</v>
      </c>
      <c r="M339" s="824">
        <f>+'[6]입력 시트(0124)'!I406</f>
        <v>0</v>
      </c>
      <c r="N339" s="824" t="e">
        <f>+'[6]입력 시트(0124)'!N406</f>
        <v>#REF!</v>
      </c>
      <c r="O339" s="824" t="e">
        <f>+'[6]입력 시트(0124)'!O406</f>
        <v>#REF!</v>
      </c>
      <c r="P339" s="824" t="e">
        <f>+'[6]입력 시트(0124)'!P406</f>
        <v>#REF!</v>
      </c>
      <c r="Q339" s="824" t="e">
        <f>+'[6]입력 시트(0124)'!Q406</f>
        <v>#REF!</v>
      </c>
      <c r="T339" s="824" t="e">
        <f>+'[6]입력 시트(0124)'!T406</f>
        <v>#REF!</v>
      </c>
      <c r="U339" s="824" t="e">
        <f>+'[6]입력 시트(0124)'!U406</f>
        <v>#REF!</v>
      </c>
      <c r="V339" s="824" t="e">
        <f>+'[6]입력 시트(0124)'!V406</f>
        <v>#REF!</v>
      </c>
      <c r="W339" s="824" t="e">
        <f>+'[6]입력 시트(0124)'!W406</f>
        <v>#REF!</v>
      </c>
      <c r="X339" s="824" t="e">
        <f>+'[6]입력 시트(0124)'!X406</f>
        <v>#REF!</v>
      </c>
      <c r="Y339" s="824" t="e">
        <f>+'[6]입력 시트(0124)'!Y406</f>
        <v>#REF!</v>
      </c>
    </row>
    <row r="340" spans="2:25" hidden="1" outlineLevel="1">
      <c r="B340" s="735"/>
      <c r="C340" s="740" t="s">
        <v>309</v>
      </c>
      <c r="D340" s="716">
        <f t="shared" si="59"/>
        <v>6</v>
      </c>
      <c r="E340" s="824">
        <f>+'[6]입력 시트(0124)'!E407</f>
        <v>0</v>
      </c>
      <c r="F340" s="824">
        <f>+'[6]입력 시트(0124)'!F407</f>
        <v>0</v>
      </c>
      <c r="G340" s="824">
        <f>+'[6]입력 시트(0124)'!G407</f>
        <v>0</v>
      </c>
      <c r="H340" s="824">
        <f>+'[6]입력 시트(0124)'!H407</f>
        <v>0</v>
      </c>
      <c r="I340" s="824">
        <f>+'[6]입력 시트(0124)'!I407</f>
        <v>0</v>
      </c>
      <c r="J340" s="824" t="e">
        <f>+'[6]입력 시트(0124)'!J407</f>
        <v>#REF!</v>
      </c>
      <c r="K340" s="824">
        <f>+'[6]입력 시트(0124)'!G407</f>
        <v>0</v>
      </c>
      <c r="L340" s="824">
        <f>+'[6]입력 시트(0124)'!H407</f>
        <v>0</v>
      </c>
      <c r="M340" s="824">
        <f>+'[6]입력 시트(0124)'!I407</f>
        <v>0</v>
      </c>
      <c r="N340" s="824" t="e">
        <f>+'[6]입력 시트(0124)'!N407</f>
        <v>#REF!</v>
      </c>
      <c r="O340" s="824" t="e">
        <f>+'[6]입력 시트(0124)'!O407</f>
        <v>#REF!</v>
      </c>
      <c r="P340" s="824" t="e">
        <f>+'[6]입력 시트(0124)'!P407</f>
        <v>#REF!</v>
      </c>
      <c r="Q340" s="824" t="e">
        <f>+'[6]입력 시트(0124)'!Q407</f>
        <v>#REF!</v>
      </c>
      <c r="T340" s="824" t="e">
        <f>+'[6]입력 시트(0124)'!T407</f>
        <v>#REF!</v>
      </c>
      <c r="U340" s="824" t="e">
        <f>+'[6]입력 시트(0124)'!U407</f>
        <v>#REF!</v>
      </c>
      <c r="V340" s="824" t="e">
        <f>+'[6]입력 시트(0124)'!V407</f>
        <v>#REF!</v>
      </c>
      <c r="W340" s="824" t="e">
        <f>+'[6]입력 시트(0124)'!W407</f>
        <v>#REF!</v>
      </c>
      <c r="X340" s="824" t="e">
        <f>+'[6]입력 시트(0124)'!X407</f>
        <v>#REF!</v>
      </c>
      <c r="Y340" s="824" t="e">
        <f>+'[6]입력 시트(0124)'!Y407</f>
        <v>#REF!</v>
      </c>
    </row>
    <row r="341" spans="2:25" hidden="1" outlineLevel="1">
      <c r="B341" s="735"/>
      <c r="C341" s="740" t="s">
        <v>309</v>
      </c>
      <c r="D341" s="716">
        <f t="shared" si="59"/>
        <v>7</v>
      </c>
      <c r="E341" s="824">
        <f>+'[6]입력 시트(0124)'!E408</f>
        <v>0</v>
      </c>
      <c r="F341" s="824">
        <f>+'[6]입력 시트(0124)'!F408</f>
        <v>0</v>
      </c>
      <c r="G341" s="824">
        <f>+'[6]입력 시트(0124)'!G408</f>
        <v>0</v>
      </c>
      <c r="H341" s="824">
        <f>+'[6]입력 시트(0124)'!H408</f>
        <v>0</v>
      </c>
      <c r="I341" s="824">
        <f>+'[6]입력 시트(0124)'!I408</f>
        <v>0</v>
      </c>
      <c r="J341" s="824" t="e">
        <f>+'[6]입력 시트(0124)'!J408</f>
        <v>#REF!</v>
      </c>
      <c r="K341" s="824">
        <f>+'[6]입력 시트(0124)'!G408</f>
        <v>0</v>
      </c>
      <c r="L341" s="824">
        <f>+'[6]입력 시트(0124)'!H408</f>
        <v>0</v>
      </c>
      <c r="M341" s="824">
        <f>+'[6]입력 시트(0124)'!I408</f>
        <v>0</v>
      </c>
      <c r="N341" s="824" t="e">
        <f>+'[6]입력 시트(0124)'!N408</f>
        <v>#REF!</v>
      </c>
      <c r="O341" s="824" t="e">
        <f>+'[6]입력 시트(0124)'!O408</f>
        <v>#REF!</v>
      </c>
      <c r="P341" s="824" t="e">
        <f>+'[6]입력 시트(0124)'!P408</f>
        <v>#REF!</v>
      </c>
      <c r="Q341" s="824" t="e">
        <f>+'[6]입력 시트(0124)'!Q408</f>
        <v>#REF!</v>
      </c>
      <c r="T341" s="824" t="e">
        <f>+'[6]입력 시트(0124)'!T408</f>
        <v>#REF!</v>
      </c>
      <c r="U341" s="824" t="e">
        <f>+'[6]입력 시트(0124)'!U408</f>
        <v>#REF!</v>
      </c>
      <c r="V341" s="824" t="e">
        <f>+'[6]입력 시트(0124)'!V408</f>
        <v>#REF!</v>
      </c>
      <c r="W341" s="824" t="e">
        <f>+'[6]입력 시트(0124)'!W408</f>
        <v>#REF!</v>
      </c>
      <c r="X341" s="824" t="e">
        <f>+'[6]입력 시트(0124)'!X408</f>
        <v>#REF!</v>
      </c>
      <c r="Y341" s="824" t="e">
        <f>+'[6]입력 시트(0124)'!Y408</f>
        <v>#REF!</v>
      </c>
    </row>
    <row r="342" spans="2:25" hidden="1" outlineLevel="1">
      <c r="B342" s="735"/>
      <c r="C342" s="740" t="s">
        <v>309</v>
      </c>
      <c r="D342" s="716">
        <f t="shared" si="59"/>
        <v>8</v>
      </c>
      <c r="E342" s="824">
        <f>+'[6]입력 시트(0124)'!E409</f>
        <v>0</v>
      </c>
      <c r="F342" s="824">
        <f>+'[6]입력 시트(0124)'!F409</f>
        <v>0</v>
      </c>
      <c r="G342" s="824">
        <f>+'[6]입력 시트(0124)'!G409</f>
        <v>0</v>
      </c>
      <c r="H342" s="824">
        <f>+'[6]입력 시트(0124)'!H409</f>
        <v>0</v>
      </c>
      <c r="I342" s="824">
        <f>+'[6]입력 시트(0124)'!I409</f>
        <v>0</v>
      </c>
      <c r="J342" s="824" t="e">
        <f>+'[6]입력 시트(0124)'!J409</f>
        <v>#REF!</v>
      </c>
      <c r="K342" s="824">
        <f>+'[6]입력 시트(0124)'!G409</f>
        <v>0</v>
      </c>
      <c r="L342" s="824">
        <f>+'[6]입력 시트(0124)'!H409</f>
        <v>0</v>
      </c>
      <c r="M342" s="824">
        <f>+'[6]입력 시트(0124)'!I409</f>
        <v>0</v>
      </c>
      <c r="N342" s="824" t="e">
        <f>+'[6]입력 시트(0124)'!N409</f>
        <v>#REF!</v>
      </c>
      <c r="O342" s="824" t="e">
        <f>+'[6]입력 시트(0124)'!O409</f>
        <v>#REF!</v>
      </c>
      <c r="P342" s="824" t="e">
        <f>+'[6]입력 시트(0124)'!P409</f>
        <v>#REF!</v>
      </c>
      <c r="Q342" s="824" t="e">
        <f>+'[6]입력 시트(0124)'!Q409</f>
        <v>#REF!</v>
      </c>
      <c r="T342" s="824" t="e">
        <f>+'[6]입력 시트(0124)'!T409</f>
        <v>#REF!</v>
      </c>
      <c r="U342" s="824" t="e">
        <f>+'[6]입력 시트(0124)'!U409</f>
        <v>#REF!</v>
      </c>
      <c r="V342" s="824" t="e">
        <f>+'[6]입력 시트(0124)'!V409</f>
        <v>#REF!</v>
      </c>
      <c r="W342" s="824" t="e">
        <f>+'[6]입력 시트(0124)'!W409</f>
        <v>#REF!</v>
      </c>
      <c r="X342" s="824" t="e">
        <f>+'[6]입력 시트(0124)'!X409</f>
        <v>#REF!</v>
      </c>
      <c r="Y342" s="824" t="e">
        <f>+'[6]입력 시트(0124)'!Y409</f>
        <v>#REF!</v>
      </c>
    </row>
    <row r="343" spans="2:25" hidden="1" outlineLevel="1">
      <c r="B343" s="735"/>
      <c r="C343" s="740" t="s">
        <v>309</v>
      </c>
      <c r="D343" s="716">
        <f t="shared" si="59"/>
        <v>9</v>
      </c>
      <c r="E343" s="824">
        <f>+'[6]입력 시트(0124)'!E410</f>
        <v>0</v>
      </c>
      <c r="F343" s="824">
        <f>+'[6]입력 시트(0124)'!F410</f>
        <v>0</v>
      </c>
      <c r="G343" s="824">
        <f>+'[6]입력 시트(0124)'!G410</f>
        <v>0</v>
      </c>
      <c r="H343" s="824">
        <f>+'[6]입력 시트(0124)'!H410</f>
        <v>0</v>
      </c>
      <c r="I343" s="824">
        <f>+'[6]입력 시트(0124)'!I410</f>
        <v>0</v>
      </c>
      <c r="J343" s="824" t="e">
        <f>+'[6]입력 시트(0124)'!J410</f>
        <v>#REF!</v>
      </c>
      <c r="K343" s="824">
        <f>+'[6]입력 시트(0124)'!G410</f>
        <v>0</v>
      </c>
      <c r="L343" s="824">
        <f>+'[6]입력 시트(0124)'!H410</f>
        <v>0</v>
      </c>
      <c r="M343" s="824">
        <f>+'[6]입력 시트(0124)'!I410</f>
        <v>0</v>
      </c>
      <c r="N343" s="824" t="e">
        <f>+'[6]입력 시트(0124)'!N410</f>
        <v>#REF!</v>
      </c>
      <c r="O343" s="824" t="e">
        <f>+'[6]입력 시트(0124)'!O410</f>
        <v>#REF!</v>
      </c>
      <c r="P343" s="824" t="e">
        <f>+'[6]입력 시트(0124)'!P410</f>
        <v>#REF!</v>
      </c>
      <c r="Q343" s="824" t="e">
        <f>+'[6]입력 시트(0124)'!Q410</f>
        <v>#REF!</v>
      </c>
      <c r="T343" s="824" t="e">
        <f>+'[6]입력 시트(0124)'!T410</f>
        <v>#REF!</v>
      </c>
      <c r="U343" s="824" t="e">
        <f>+'[6]입력 시트(0124)'!U410</f>
        <v>#REF!</v>
      </c>
      <c r="V343" s="824" t="e">
        <f>+'[6]입력 시트(0124)'!V410</f>
        <v>#REF!</v>
      </c>
      <c r="W343" s="824" t="e">
        <f>+'[6]입력 시트(0124)'!W410</f>
        <v>#REF!</v>
      </c>
      <c r="X343" s="824" t="e">
        <f>+'[6]입력 시트(0124)'!X410</f>
        <v>#REF!</v>
      </c>
      <c r="Y343" s="824" t="e">
        <f>+'[6]입력 시트(0124)'!Y410</f>
        <v>#REF!</v>
      </c>
    </row>
    <row r="344" spans="2:25" hidden="1" outlineLevel="1">
      <c r="B344" s="735"/>
      <c r="C344" s="740" t="s">
        <v>309</v>
      </c>
      <c r="D344" s="716">
        <f t="shared" si="59"/>
        <v>10</v>
      </c>
      <c r="E344" s="824">
        <f>+'[6]입력 시트(0124)'!E411</f>
        <v>0</v>
      </c>
      <c r="F344" s="824">
        <f>+'[6]입력 시트(0124)'!F411</f>
        <v>0</v>
      </c>
      <c r="G344" s="824">
        <f>+'[6]입력 시트(0124)'!G411</f>
        <v>0</v>
      </c>
      <c r="H344" s="824">
        <f>+'[6]입력 시트(0124)'!H411</f>
        <v>0</v>
      </c>
      <c r="I344" s="824">
        <f>+'[6]입력 시트(0124)'!I411</f>
        <v>0</v>
      </c>
      <c r="J344" s="824" t="e">
        <f>+'[6]입력 시트(0124)'!J411</f>
        <v>#REF!</v>
      </c>
      <c r="K344" s="824">
        <f>+'[6]입력 시트(0124)'!G411</f>
        <v>0</v>
      </c>
      <c r="L344" s="824">
        <f>+'[6]입력 시트(0124)'!H411</f>
        <v>0</v>
      </c>
      <c r="M344" s="824">
        <f>+'[6]입력 시트(0124)'!I411</f>
        <v>0</v>
      </c>
      <c r="N344" s="824" t="e">
        <f>+'[6]입력 시트(0124)'!N411</f>
        <v>#REF!</v>
      </c>
      <c r="O344" s="824" t="e">
        <f>+'[6]입력 시트(0124)'!O411</f>
        <v>#REF!</v>
      </c>
      <c r="P344" s="824" t="e">
        <f>+'[6]입력 시트(0124)'!P411</f>
        <v>#REF!</v>
      </c>
      <c r="Q344" s="824" t="e">
        <f>+'[6]입력 시트(0124)'!Q411</f>
        <v>#REF!</v>
      </c>
      <c r="T344" s="824" t="e">
        <f>+'[6]입력 시트(0124)'!T411</f>
        <v>#REF!</v>
      </c>
      <c r="U344" s="824" t="e">
        <f>+'[6]입력 시트(0124)'!U411</f>
        <v>#REF!</v>
      </c>
      <c r="V344" s="824" t="e">
        <f>+'[6]입력 시트(0124)'!V411</f>
        <v>#REF!</v>
      </c>
      <c r="W344" s="824" t="e">
        <f>+'[6]입력 시트(0124)'!W411</f>
        <v>#REF!</v>
      </c>
      <c r="X344" s="824" t="e">
        <f>+'[6]입력 시트(0124)'!X411</f>
        <v>#REF!</v>
      </c>
      <c r="Y344" s="824" t="e">
        <f>+'[6]입력 시트(0124)'!Y411</f>
        <v>#REF!</v>
      </c>
    </row>
    <row r="345" spans="2:25" hidden="1" outlineLevel="1">
      <c r="B345" s="735"/>
      <c r="C345" s="740" t="s">
        <v>309</v>
      </c>
      <c r="D345" s="716">
        <f t="shared" si="59"/>
        <v>11</v>
      </c>
      <c r="E345" s="824">
        <f>+'[6]입력 시트(0124)'!E412</f>
        <v>0</v>
      </c>
      <c r="F345" s="824">
        <f>+'[6]입력 시트(0124)'!F412</f>
        <v>0</v>
      </c>
      <c r="G345" s="824">
        <f>+'[6]입력 시트(0124)'!G412</f>
        <v>0</v>
      </c>
      <c r="H345" s="824">
        <f>+'[6]입력 시트(0124)'!H412</f>
        <v>0</v>
      </c>
      <c r="I345" s="824">
        <f>+'[6]입력 시트(0124)'!I412</f>
        <v>0</v>
      </c>
      <c r="J345" s="824" t="e">
        <f>+'[6]입력 시트(0124)'!J412</f>
        <v>#REF!</v>
      </c>
      <c r="K345" s="824">
        <f>+'[6]입력 시트(0124)'!G412</f>
        <v>0</v>
      </c>
      <c r="L345" s="824">
        <f>+'[6]입력 시트(0124)'!H412</f>
        <v>0</v>
      </c>
      <c r="M345" s="824">
        <f>+'[6]입력 시트(0124)'!I412</f>
        <v>0</v>
      </c>
      <c r="N345" s="824" t="e">
        <f>+'[6]입력 시트(0124)'!N412</f>
        <v>#REF!</v>
      </c>
      <c r="O345" s="824" t="e">
        <f>+'[6]입력 시트(0124)'!O412</f>
        <v>#REF!</v>
      </c>
      <c r="P345" s="824" t="e">
        <f>+'[6]입력 시트(0124)'!P412</f>
        <v>#REF!</v>
      </c>
      <c r="Q345" s="824" t="e">
        <f>+'[6]입력 시트(0124)'!Q412</f>
        <v>#REF!</v>
      </c>
      <c r="T345" s="824" t="e">
        <f>+'[6]입력 시트(0124)'!T412</f>
        <v>#REF!</v>
      </c>
      <c r="U345" s="824" t="e">
        <f>+'[6]입력 시트(0124)'!U412</f>
        <v>#REF!</v>
      </c>
      <c r="V345" s="824" t="e">
        <f>+'[6]입력 시트(0124)'!V412</f>
        <v>#REF!</v>
      </c>
      <c r="W345" s="824" t="e">
        <f>+'[6]입력 시트(0124)'!W412</f>
        <v>#REF!</v>
      </c>
      <c r="X345" s="824" t="e">
        <f>+'[6]입력 시트(0124)'!X412</f>
        <v>#REF!</v>
      </c>
      <c r="Y345" s="824" t="e">
        <f>+'[6]입력 시트(0124)'!Y412</f>
        <v>#REF!</v>
      </c>
    </row>
    <row r="346" spans="2:25" hidden="1" outlineLevel="1">
      <c r="B346" s="735"/>
      <c r="C346" s="740" t="s">
        <v>309</v>
      </c>
      <c r="D346" s="716">
        <f t="shared" si="59"/>
        <v>12</v>
      </c>
      <c r="E346" s="824">
        <f>+'[6]입력 시트(0124)'!E413</f>
        <v>0</v>
      </c>
      <c r="F346" s="824">
        <f>+'[6]입력 시트(0124)'!F413</f>
        <v>0</v>
      </c>
      <c r="G346" s="824">
        <f>+'[6]입력 시트(0124)'!G413</f>
        <v>0</v>
      </c>
      <c r="H346" s="824">
        <f>+'[6]입력 시트(0124)'!H413</f>
        <v>0</v>
      </c>
      <c r="I346" s="824">
        <f>+'[6]입력 시트(0124)'!I413</f>
        <v>0</v>
      </c>
      <c r="J346" s="824" t="e">
        <f>+'[6]입력 시트(0124)'!J413</f>
        <v>#REF!</v>
      </c>
      <c r="K346" s="824">
        <f>+'[6]입력 시트(0124)'!G413</f>
        <v>0</v>
      </c>
      <c r="L346" s="824">
        <f>+'[6]입력 시트(0124)'!H413</f>
        <v>0</v>
      </c>
      <c r="M346" s="824">
        <f>+'[6]입력 시트(0124)'!I413</f>
        <v>0</v>
      </c>
      <c r="N346" s="824" t="e">
        <f>+'[6]입력 시트(0124)'!N413</f>
        <v>#REF!</v>
      </c>
      <c r="O346" s="824" t="e">
        <f>+'[6]입력 시트(0124)'!O413</f>
        <v>#REF!</v>
      </c>
      <c r="P346" s="824" t="e">
        <f>+'[6]입력 시트(0124)'!P413</f>
        <v>#REF!</v>
      </c>
      <c r="Q346" s="824" t="e">
        <f>+'[6]입력 시트(0124)'!Q413</f>
        <v>#REF!</v>
      </c>
      <c r="T346" s="824" t="e">
        <f>+'[6]입력 시트(0124)'!T413</f>
        <v>#REF!</v>
      </c>
      <c r="U346" s="824" t="e">
        <f>+'[6]입력 시트(0124)'!U413</f>
        <v>#REF!</v>
      </c>
      <c r="V346" s="824" t="e">
        <f>+'[6]입력 시트(0124)'!V413</f>
        <v>#REF!</v>
      </c>
      <c r="W346" s="824" t="e">
        <f>+'[6]입력 시트(0124)'!W413</f>
        <v>#REF!</v>
      </c>
      <c r="X346" s="824" t="e">
        <f>+'[6]입력 시트(0124)'!X413</f>
        <v>#REF!</v>
      </c>
      <c r="Y346" s="824" t="e">
        <f>+'[6]입력 시트(0124)'!Y413</f>
        <v>#REF!</v>
      </c>
    </row>
    <row r="347" spans="2:25" hidden="1" outlineLevel="1">
      <c r="B347" s="735"/>
      <c r="C347" s="740" t="s">
        <v>309</v>
      </c>
      <c r="D347" s="716">
        <f t="shared" si="59"/>
        <v>13</v>
      </c>
      <c r="E347" s="824">
        <f>+'[6]입력 시트(0124)'!E414</f>
        <v>0</v>
      </c>
      <c r="F347" s="824">
        <f>+'[6]입력 시트(0124)'!F414</f>
        <v>0</v>
      </c>
      <c r="G347" s="824">
        <f>+'[6]입력 시트(0124)'!G414</f>
        <v>0</v>
      </c>
      <c r="H347" s="824">
        <f>+'[6]입력 시트(0124)'!H414</f>
        <v>0</v>
      </c>
      <c r="I347" s="824">
        <f>+'[6]입력 시트(0124)'!I414</f>
        <v>0</v>
      </c>
      <c r="J347" s="824" t="e">
        <f>+'[6]입력 시트(0124)'!J414</f>
        <v>#REF!</v>
      </c>
      <c r="K347" s="824">
        <f>+'[6]입력 시트(0124)'!G414</f>
        <v>0</v>
      </c>
      <c r="L347" s="824">
        <f>+'[6]입력 시트(0124)'!H414</f>
        <v>0</v>
      </c>
      <c r="M347" s="824">
        <f>+'[6]입력 시트(0124)'!I414</f>
        <v>0</v>
      </c>
      <c r="N347" s="824" t="e">
        <f>+'[6]입력 시트(0124)'!N414</f>
        <v>#REF!</v>
      </c>
      <c r="O347" s="824" t="e">
        <f>+'[6]입력 시트(0124)'!O414</f>
        <v>#REF!</v>
      </c>
      <c r="P347" s="824" t="e">
        <f>+'[6]입력 시트(0124)'!P414</f>
        <v>#REF!</v>
      </c>
      <c r="Q347" s="824" t="e">
        <f>+'[6]입력 시트(0124)'!Q414</f>
        <v>#REF!</v>
      </c>
      <c r="T347" s="824" t="e">
        <f>+'[6]입력 시트(0124)'!T414</f>
        <v>#REF!</v>
      </c>
      <c r="U347" s="824" t="e">
        <f>+'[6]입력 시트(0124)'!U414</f>
        <v>#REF!</v>
      </c>
      <c r="V347" s="824" t="e">
        <f>+'[6]입력 시트(0124)'!V414</f>
        <v>#REF!</v>
      </c>
      <c r="W347" s="824" t="e">
        <f>+'[6]입력 시트(0124)'!W414</f>
        <v>#REF!</v>
      </c>
      <c r="X347" s="824" t="e">
        <f>+'[6]입력 시트(0124)'!X414</f>
        <v>#REF!</v>
      </c>
      <c r="Y347" s="824" t="e">
        <f>+'[6]입력 시트(0124)'!Y414</f>
        <v>#REF!</v>
      </c>
    </row>
    <row r="348" spans="2:25" hidden="1" outlineLevel="1">
      <c r="B348" s="735"/>
      <c r="C348" s="740" t="s">
        <v>309</v>
      </c>
      <c r="D348" s="716">
        <f t="shared" si="59"/>
        <v>14</v>
      </c>
      <c r="E348" s="824">
        <f>+'[6]입력 시트(0124)'!E415</f>
        <v>0</v>
      </c>
      <c r="F348" s="824">
        <f>+'[6]입력 시트(0124)'!F415</f>
        <v>0</v>
      </c>
      <c r="G348" s="824">
        <f>+'[6]입력 시트(0124)'!G415</f>
        <v>0</v>
      </c>
      <c r="H348" s="824">
        <f>+'[6]입력 시트(0124)'!H415</f>
        <v>0</v>
      </c>
      <c r="I348" s="824">
        <f>+'[6]입력 시트(0124)'!I415</f>
        <v>0</v>
      </c>
      <c r="J348" s="824" t="e">
        <f>+'[6]입력 시트(0124)'!J415</f>
        <v>#REF!</v>
      </c>
      <c r="K348" s="824">
        <f>+'[6]입력 시트(0124)'!G415</f>
        <v>0</v>
      </c>
      <c r="L348" s="824">
        <f>+'[6]입력 시트(0124)'!H415</f>
        <v>0</v>
      </c>
      <c r="M348" s="824">
        <f>+'[6]입력 시트(0124)'!I415</f>
        <v>0</v>
      </c>
      <c r="N348" s="824" t="e">
        <f>+'[6]입력 시트(0124)'!N415</f>
        <v>#REF!</v>
      </c>
      <c r="O348" s="824" t="e">
        <f>+'[6]입력 시트(0124)'!O415</f>
        <v>#REF!</v>
      </c>
      <c r="P348" s="824" t="e">
        <f>+'[6]입력 시트(0124)'!P415</f>
        <v>#REF!</v>
      </c>
      <c r="Q348" s="824" t="e">
        <f>+'[6]입력 시트(0124)'!Q415</f>
        <v>#REF!</v>
      </c>
      <c r="T348" s="824" t="e">
        <f>+'[6]입력 시트(0124)'!T415</f>
        <v>#REF!</v>
      </c>
      <c r="U348" s="824" t="e">
        <f>+'[6]입력 시트(0124)'!U415</f>
        <v>#REF!</v>
      </c>
      <c r="V348" s="824" t="e">
        <f>+'[6]입력 시트(0124)'!V415</f>
        <v>#REF!</v>
      </c>
      <c r="W348" s="824" t="e">
        <f>+'[6]입력 시트(0124)'!W415</f>
        <v>#REF!</v>
      </c>
      <c r="X348" s="824" t="e">
        <f>+'[6]입력 시트(0124)'!X415</f>
        <v>#REF!</v>
      </c>
      <c r="Y348" s="824" t="e">
        <f>+'[6]입력 시트(0124)'!Y415</f>
        <v>#REF!</v>
      </c>
    </row>
    <row r="349" spans="2:25" hidden="1" outlineLevel="1">
      <c r="B349" s="735"/>
      <c r="C349" s="740" t="s">
        <v>309</v>
      </c>
      <c r="D349" s="716">
        <f t="shared" si="59"/>
        <v>15</v>
      </c>
      <c r="E349" s="824">
        <f>+'[6]입력 시트(0124)'!E416</f>
        <v>0</v>
      </c>
      <c r="F349" s="824">
        <f>+'[6]입력 시트(0124)'!F416</f>
        <v>0</v>
      </c>
      <c r="G349" s="824">
        <f>+'[6]입력 시트(0124)'!G416</f>
        <v>0</v>
      </c>
      <c r="H349" s="824">
        <f>+'[6]입력 시트(0124)'!H416</f>
        <v>0</v>
      </c>
      <c r="I349" s="824">
        <f>+'[6]입력 시트(0124)'!I416</f>
        <v>0</v>
      </c>
      <c r="J349" s="824" t="e">
        <f>+'[6]입력 시트(0124)'!J416</f>
        <v>#REF!</v>
      </c>
      <c r="K349" s="824">
        <f>+'[6]입력 시트(0124)'!G416</f>
        <v>0</v>
      </c>
      <c r="L349" s="824">
        <f>+'[6]입력 시트(0124)'!H416</f>
        <v>0</v>
      </c>
      <c r="M349" s="824">
        <f>+'[6]입력 시트(0124)'!I416</f>
        <v>0</v>
      </c>
      <c r="N349" s="824" t="e">
        <f>+'[6]입력 시트(0124)'!N416</f>
        <v>#REF!</v>
      </c>
      <c r="O349" s="824" t="e">
        <f>+'[6]입력 시트(0124)'!O416</f>
        <v>#REF!</v>
      </c>
      <c r="P349" s="824" t="e">
        <f>+'[6]입력 시트(0124)'!P416</f>
        <v>#REF!</v>
      </c>
      <c r="Q349" s="824" t="e">
        <f>+'[6]입력 시트(0124)'!Q416</f>
        <v>#REF!</v>
      </c>
      <c r="T349" s="824" t="e">
        <f>+'[6]입력 시트(0124)'!T416</f>
        <v>#REF!</v>
      </c>
      <c r="U349" s="824" t="e">
        <f>+'[6]입력 시트(0124)'!U416</f>
        <v>#REF!</v>
      </c>
      <c r="V349" s="824" t="e">
        <f>+'[6]입력 시트(0124)'!V416</f>
        <v>#REF!</v>
      </c>
      <c r="W349" s="824" t="e">
        <f>+'[6]입력 시트(0124)'!W416</f>
        <v>#REF!</v>
      </c>
      <c r="X349" s="824" t="e">
        <f>+'[6]입력 시트(0124)'!X416</f>
        <v>#REF!</v>
      </c>
      <c r="Y349" s="824" t="e">
        <f>+'[6]입력 시트(0124)'!Y416</f>
        <v>#REF!</v>
      </c>
    </row>
    <row r="350" spans="2:25" hidden="1" outlineLevel="1">
      <c r="B350" s="735"/>
      <c r="C350" s="740" t="s">
        <v>309</v>
      </c>
      <c r="D350" s="716">
        <f t="shared" si="59"/>
        <v>16</v>
      </c>
      <c r="E350" s="824">
        <f>+'[6]입력 시트(0124)'!E417</f>
        <v>0</v>
      </c>
      <c r="F350" s="824">
        <f>+'[6]입력 시트(0124)'!F417</f>
        <v>0</v>
      </c>
      <c r="G350" s="824">
        <f>+'[6]입력 시트(0124)'!G417</f>
        <v>0</v>
      </c>
      <c r="H350" s="824">
        <f>+'[6]입력 시트(0124)'!H417</f>
        <v>0</v>
      </c>
      <c r="I350" s="824">
        <f>+'[6]입력 시트(0124)'!I417</f>
        <v>0</v>
      </c>
      <c r="J350" s="824" t="e">
        <f>+'[6]입력 시트(0124)'!J417</f>
        <v>#REF!</v>
      </c>
      <c r="K350" s="824">
        <f>+'[6]입력 시트(0124)'!G417</f>
        <v>0</v>
      </c>
      <c r="L350" s="824">
        <f>+'[6]입력 시트(0124)'!H417</f>
        <v>0</v>
      </c>
      <c r="M350" s="824">
        <f>+'[6]입력 시트(0124)'!I417</f>
        <v>0</v>
      </c>
      <c r="N350" s="824" t="e">
        <f>+'[6]입력 시트(0124)'!N417</f>
        <v>#REF!</v>
      </c>
      <c r="O350" s="824" t="e">
        <f>+'[6]입력 시트(0124)'!O417</f>
        <v>#REF!</v>
      </c>
      <c r="P350" s="824" t="e">
        <f>+'[6]입력 시트(0124)'!P417</f>
        <v>#REF!</v>
      </c>
      <c r="Q350" s="824" t="e">
        <f>+'[6]입력 시트(0124)'!Q417</f>
        <v>#REF!</v>
      </c>
      <c r="T350" s="824" t="e">
        <f>+'[6]입력 시트(0124)'!T417</f>
        <v>#REF!</v>
      </c>
      <c r="U350" s="824" t="e">
        <f>+'[6]입력 시트(0124)'!U417</f>
        <v>#REF!</v>
      </c>
      <c r="V350" s="824" t="e">
        <f>+'[6]입력 시트(0124)'!V417</f>
        <v>#REF!</v>
      </c>
      <c r="W350" s="824" t="e">
        <f>+'[6]입력 시트(0124)'!W417</f>
        <v>#REF!</v>
      </c>
      <c r="X350" s="824" t="e">
        <f>+'[6]입력 시트(0124)'!X417</f>
        <v>#REF!</v>
      </c>
      <c r="Y350" s="824" t="e">
        <f>+'[6]입력 시트(0124)'!Y417</f>
        <v>#REF!</v>
      </c>
    </row>
    <row r="351" spans="2:25" hidden="1" outlineLevel="1">
      <c r="B351" s="735"/>
      <c r="C351" s="740" t="s">
        <v>309</v>
      </c>
      <c r="D351" s="716">
        <f t="shared" si="59"/>
        <v>17</v>
      </c>
      <c r="E351" s="824">
        <f>+'[6]입력 시트(0124)'!E418</f>
        <v>0</v>
      </c>
      <c r="F351" s="824">
        <f>+'[6]입력 시트(0124)'!F418</f>
        <v>0</v>
      </c>
      <c r="G351" s="824">
        <f>+'[6]입력 시트(0124)'!G418</f>
        <v>0</v>
      </c>
      <c r="H351" s="824">
        <f>+'[6]입력 시트(0124)'!H418</f>
        <v>0</v>
      </c>
      <c r="I351" s="824">
        <f>+'[6]입력 시트(0124)'!I418</f>
        <v>0</v>
      </c>
      <c r="J351" s="824" t="e">
        <f>+'[6]입력 시트(0124)'!J418</f>
        <v>#REF!</v>
      </c>
      <c r="K351" s="824">
        <f>+'[6]입력 시트(0124)'!G418</f>
        <v>0</v>
      </c>
      <c r="L351" s="824">
        <f>+'[6]입력 시트(0124)'!H418</f>
        <v>0</v>
      </c>
      <c r="M351" s="824">
        <f>+'[6]입력 시트(0124)'!I418</f>
        <v>0</v>
      </c>
      <c r="N351" s="824" t="e">
        <f>+'[6]입력 시트(0124)'!N418</f>
        <v>#REF!</v>
      </c>
      <c r="O351" s="824" t="e">
        <f>+'[6]입력 시트(0124)'!O418</f>
        <v>#REF!</v>
      </c>
      <c r="P351" s="824" t="e">
        <f>+'[6]입력 시트(0124)'!P418</f>
        <v>#REF!</v>
      </c>
      <c r="Q351" s="824" t="e">
        <f>+'[6]입력 시트(0124)'!Q418</f>
        <v>#REF!</v>
      </c>
      <c r="T351" s="824" t="e">
        <f>+'[6]입력 시트(0124)'!T418</f>
        <v>#REF!</v>
      </c>
      <c r="U351" s="824" t="e">
        <f>+'[6]입력 시트(0124)'!U418</f>
        <v>#REF!</v>
      </c>
      <c r="V351" s="824" t="e">
        <f>+'[6]입력 시트(0124)'!V418</f>
        <v>#REF!</v>
      </c>
      <c r="W351" s="824" t="e">
        <f>+'[6]입력 시트(0124)'!W418</f>
        <v>#REF!</v>
      </c>
      <c r="X351" s="824" t="e">
        <f>+'[6]입력 시트(0124)'!X418</f>
        <v>#REF!</v>
      </c>
      <c r="Y351" s="824" t="e">
        <f>+'[6]입력 시트(0124)'!Y418</f>
        <v>#REF!</v>
      </c>
    </row>
    <row r="352" spans="2:25" hidden="1" outlineLevel="1">
      <c r="B352" s="735"/>
      <c r="C352" s="740" t="s">
        <v>309</v>
      </c>
      <c r="D352" s="716">
        <f t="shared" si="59"/>
        <v>18</v>
      </c>
      <c r="E352" s="824">
        <f>+'[6]입력 시트(0124)'!E419</f>
        <v>0</v>
      </c>
      <c r="F352" s="824">
        <f>+'[6]입력 시트(0124)'!F419</f>
        <v>0</v>
      </c>
      <c r="G352" s="824">
        <f>+'[6]입력 시트(0124)'!G419</f>
        <v>0</v>
      </c>
      <c r="H352" s="824">
        <f>+'[6]입력 시트(0124)'!H419</f>
        <v>0</v>
      </c>
      <c r="I352" s="824">
        <f>+'[6]입력 시트(0124)'!I419</f>
        <v>0</v>
      </c>
      <c r="J352" s="824" t="e">
        <f>+'[6]입력 시트(0124)'!J419</f>
        <v>#REF!</v>
      </c>
      <c r="K352" s="824">
        <f>+'[6]입력 시트(0124)'!G419</f>
        <v>0</v>
      </c>
      <c r="L352" s="824">
        <f>+'[6]입력 시트(0124)'!H419</f>
        <v>0</v>
      </c>
      <c r="M352" s="824">
        <f>+'[6]입력 시트(0124)'!I419</f>
        <v>0</v>
      </c>
      <c r="N352" s="824" t="e">
        <f>+'[6]입력 시트(0124)'!N419</f>
        <v>#REF!</v>
      </c>
      <c r="O352" s="824" t="e">
        <f>+'[6]입력 시트(0124)'!O419</f>
        <v>#REF!</v>
      </c>
      <c r="P352" s="824" t="e">
        <f>+'[6]입력 시트(0124)'!P419</f>
        <v>#REF!</v>
      </c>
      <c r="Q352" s="824" t="e">
        <f>+'[6]입력 시트(0124)'!Q419</f>
        <v>#REF!</v>
      </c>
      <c r="T352" s="824" t="e">
        <f>+'[6]입력 시트(0124)'!T419</f>
        <v>#REF!</v>
      </c>
      <c r="U352" s="824" t="e">
        <f>+'[6]입력 시트(0124)'!U419</f>
        <v>#REF!</v>
      </c>
      <c r="V352" s="824" t="e">
        <f>+'[6]입력 시트(0124)'!V419</f>
        <v>#REF!</v>
      </c>
      <c r="W352" s="824" t="e">
        <f>+'[6]입력 시트(0124)'!W419</f>
        <v>#REF!</v>
      </c>
      <c r="X352" s="824" t="e">
        <f>+'[6]입력 시트(0124)'!X419</f>
        <v>#REF!</v>
      </c>
      <c r="Y352" s="824" t="e">
        <f>+'[6]입력 시트(0124)'!Y419</f>
        <v>#REF!</v>
      </c>
    </row>
    <row r="353" spans="2:25" hidden="1" outlineLevel="1">
      <c r="B353" s="735"/>
      <c r="C353" s="740" t="s">
        <v>309</v>
      </c>
      <c r="D353" s="716">
        <f t="shared" si="59"/>
        <v>19</v>
      </c>
      <c r="E353" s="824">
        <f>+'[6]입력 시트(0124)'!E420</f>
        <v>0</v>
      </c>
      <c r="F353" s="824">
        <f>+'[6]입력 시트(0124)'!F420</f>
        <v>0</v>
      </c>
      <c r="G353" s="824">
        <f>+'[6]입력 시트(0124)'!G420</f>
        <v>0</v>
      </c>
      <c r="H353" s="824">
        <f>+'[6]입력 시트(0124)'!H420</f>
        <v>0</v>
      </c>
      <c r="I353" s="824">
        <f>+'[6]입력 시트(0124)'!I420</f>
        <v>0</v>
      </c>
      <c r="J353" s="824" t="e">
        <f>+'[6]입력 시트(0124)'!J420</f>
        <v>#REF!</v>
      </c>
      <c r="K353" s="824">
        <f>+'[6]입력 시트(0124)'!G420</f>
        <v>0</v>
      </c>
      <c r="L353" s="824">
        <f>+'[6]입력 시트(0124)'!H420</f>
        <v>0</v>
      </c>
      <c r="M353" s="824">
        <f>+'[6]입력 시트(0124)'!I420</f>
        <v>0</v>
      </c>
      <c r="N353" s="824" t="e">
        <f>+'[6]입력 시트(0124)'!N420</f>
        <v>#REF!</v>
      </c>
      <c r="O353" s="824" t="e">
        <f>+'[6]입력 시트(0124)'!O420</f>
        <v>#REF!</v>
      </c>
      <c r="P353" s="824" t="e">
        <f>+'[6]입력 시트(0124)'!P420</f>
        <v>#REF!</v>
      </c>
      <c r="Q353" s="824" t="e">
        <f>+'[6]입력 시트(0124)'!Q420</f>
        <v>#REF!</v>
      </c>
      <c r="T353" s="824" t="e">
        <f>+'[6]입력 시트(0124)'!T420</f>
        <v>#REF!</v>
      </c>
      <c r="U353" s="824" t="e">
        <f>+'[6]입력 시트(0124)'!U420</f>
        <v>#REF!</v>
      </c>
      <c r="V353" s="824" t="e">
        <f>+'[6]입력 시트(0124)'!V420</f>
        <v>#REF!</v>
      </c>
      <c r="W353" s="824" t="e">
        <f>+'[6]입력 시트(0124)'!W420</f>
        <v>#REF!</v>
      </c>
      <c r="X353" s="824" t="e">
        <f>+'[6]입력 시트(0124)'!X420</f>
        <v>#REF!</v>
      </c>
      <c r="Y353" s="824" t="e">
        <f>+'[6]입력 시트(0124)'!Y420</f>
        <v>#REF!</v>
      </c>
    </row>
    <row r="354" spans="2:25" hidden="1" outlineLevel="1">
      <c r="B354" s="735"/>
      <c r="C354" s="740" t="s">
        <v>309</v>
      </c>
      <c r="D354" s="716">
        <f t="shared" si="59"/>
        <v>20</v>
      </c>
      <c r="E354" s="824">
        <f>+'[6]입력 시트(0124)'!E421</f>
        <v>0</v>
      </c>
      <c r="F354" s="824">
        <f>+'[6]입력 시트(0124)'!F421</f>
        <v>0</v>
      </c>
      <c r="G354" s="824">
        <f>+'[6]입력 시트(0124)'!G421</f>
        <v>0</v>
      </c>
      <c r="H354" s="824">
        <f>+'[6]입력 시트(0124)'!H421</f>
        <v>0</v>
      </c>
      <c r="I354" s="824">
        <f>+'[6]입력 시트(0124)'!I421</f>
        <v>0</v>
      </c>
      <c r="J354" s="824" t="e">
        <f>+'[6]입력 시트(0124)'!J421</f>
        <v>#REF!</v>
      </c>
      <c r="K354" s="824">
        <f>+'[6]입력 시트(0124)'!G421</f>
        <v>0</v>
      </c>
      <c r="L354" s="824">
        <f>+'[6]입력 시트(0124)'!H421</f>
        <v>0</v>
      </c>
      <c r="M354" s="824">
        <f>+'[6]입력 시트(0124)'!I421</f>
        <v>0</v>
      </c>
      <c r="N354" s="824" t="e">
        <f>+'[6]입력 시트(0124)'!N421</f>
        <v>#REF!</v>
      </c>
      <c r="O354" s="824" t="e">
        <f>+'[6]입력 시트(0124)'!O421</f>
        <v>#REF!</v>
      </c>
      <c r="P354" s="824" t="e">
        <f>+'[6]입력 시트(0124)'!P421</f>
        <v>#REF!</v>
      </c>
      <c r="Q354" s="824" t="e">
        <f>+'[6]입력 시트(0124)'!Q421</f>
        <v>#REF!</v>
      </c>
      <c r="T354" s="824" t="e">
        <f>+'[6]입력 시트(0124)'!T421</f>
        <v>#REF!</v>
      </c>
      <c r="U354" s="824" t="e">
        <f>+'[6]입력 시트(0124)'!U421</f>
        <v>#REF!</v>
      </c>
      <c r="V354" s="824" t="e">
        <f>+'[6]입력 시트(0124)'!V421</f>
        <v>#REF!</v>
      </c>
      <c r="W354" s="824" t="e">
        <f>+'[6]입력 시트(0124)'!W421</f>
        <v>#REF!</v>
      </c>
      <c r="X354" s="824" t="e">
        <f>+'[6]입력 시트(0124)'!X421</f>
        <v>#REF!</v>
      </c>
      <c r="Y354" s="824" t="e">
        <f>+'[6]입력 시트(0124)'!Y421</f>
        <v>#REF!</v>
      </c>
    </row>
    <row r="355" spans="2:25" hidden="1" outlineLevel="1">
      <c r="B355" s="735"/>
      <c r="C355" s="740" t="s">
        <v>309</v>
      </c>
      <c r="D355" s="716">
        <f t="shared" si="59"/>
        <v>21</v>
      </c>
      <c r="E355" s="824">
        <f>+'[6]입력 시트(0124)'!E422</f>
        <v>0</v>
      </c>
      <c r="F355" s="824">
        <f>+'[6]입력 시트(0124)'!F422</f>
        <v>0</v>
      </c>
      <c r="G355" s="824">
        <f>+'[6]입력 시트(0124)'!G422</f>
        <v>0</v>
      </c>
      <c r="H355" s="824">
        <f>+'[6]입력 시트(0124)'!H422</f>
        <v>0</v>
      </c>
      <c r="I355" s="824">
        <f>+'[6]입력 시트(0124)'!I422</f>
        <v>0</v>
      </c>
      <c r="J355" s="824" t="e">
        <f>+'[6]입력 시트(0124)'!J422</f>
        <v>#REF!</v>
      </c>
      <c r="K355" s="824">
        <f>+'[6]입력 시트(0124)'!G422</f>
        <v>0</v>
      </c>
      <c r="L355" s="824">
        <f>+'[6]입력 시트(0124)'!H422</f>
        <v>0</v>
      </c>
      <c r="M355" s="824">
        <f>+'[6]입력 시트(0124)'!I422</f>
        <v>0</v>
      </c>
      <c r="N355" s="824" t="e">
        <f>+'[6]입력 시트(0124)'!N422</f>
        <v>#REF!</v>
      </c>
      <c r="O355" s="824" t="e">
        <f>+'[6]입력 시트(0124)'!O422</f>
        <v>#REF!</v>
      </c>
      <c r="P355" s="824" t="e">
        <f>+'[6]입력 시트(0124)'!P422</f>
        <v>#REF!</v>
      </c>
      <c r="Q355" s="824" t="e">
        <f>+'[6]입력 시트(0124)'!Q422</f>
        <v>#REF!</v>
      </c>
      <c r="T355" s="824" t="e">
        <f>+'[6]입력 시트(0124)'!T422</f>
        <v>#REF!</v>
      </c>
      <c r="U355" s="824" t="e">
        <f>+'[6]입력 시트(0124)'!U422</f>
        <v>#REF!</v>
      </c>
      <c r="V355" s="824" t="e">
        <f>+'[6]입력 시트(0124)'!V422</f>
        <v>#REF!</v>
      </c>
      <c r="W355" s="824" t="e">
        <f>+'[6]입력 시트(0124)'!W422</f>
        <v>#REF!</v>
      </c>
      <c r="X355" s="824" t="e">
        <f>+'[6]입력 시트(0124)'!X422</f>
        <v>#REF!</v>
      </c>
      <c r="Y355" s="824" t="e">
        <f>+'[6]입력 시트(0124)'!Y422</f>
        <v>#REF!</v>
      </c>
    </row>
    <row r="356" spans="2:25" hidden="1" outlineLevel="1">
      <c r="B356" s="735"/>
      <c r="C356" s="740" t="s">
        <v>309</v>
      </c>
      <c r="D356" s="716">
        <f t="shared" si="59"/>
        <v>22</v>
      </c>
      <c r="E356" s="824">
        <f>+'[6]입력 시트(0124)'!E423</f>
        <v>0</v>
      </c>
      <c r="F356" s="824">
        <f>+'[6]입력 시트(0124)'!F423</f>
        <v>0</v>
      </c>
      <c r="G356" s="824">
        <f>+'[6]입력 시트(0124)'!G423</f>
        <v>0</v>
      </c>
      <c r="H356" s="824">
        <f>+'[6]입력 시트(0124)'!H423</f>
        <v>0</v>
      </c>
      <c r="I356" s="824">
        <f>+'[6]입력 시트(0124)'!I423</f>
        <v>0</v>
      </c>
      <c r="J356" s="824" t="e">
        <f>+'[6]입력 시트(0124)'!J423</f>
        <v>#REF!</v>
      </c>
      <c r="K356" s="824">
        <f>+'[6]입력 시트(0124)'!G423</f>
        <v>0</v>
      </c>
      <c r="L356" s="824">
        <f>+'[6]입력 시트(0124)'!H423</f>
        <v>0</v>
      </c>
      <c r="M356" s="824">
        <f>+'[6]입력 시트(0124)'!I423</f>
        <v>0</v>
      </c>
      <c r="N356" s="824" t="e">
        <f>+'[6]입력 시트(0124)'!N423</f>
        <v>#REF!</v>
      </c>
      <c r="O356" s="824" t="e">
        <f>+'[6]입력 시트(0124)'!O423</f>
        <v>#REF!</v>
      </c>
      <c r="P356" s="824" t="e">
        <f>+'[6]입력 시트(0124)'!P423</f>
        <v>#REF!</v>
      </c>
      <c r="Q356" s="824" t="e">
        <f>+'[6]입력 시트(0124)'!Q423</f>
        <v>#REF!</v>
      </c>
      <c r="T356" s="824" t="e">
        <f>+'[6]입력 시트(0124)'!T423</f>
        <v>#REF!</v>
      </c>
      <c r="U356" s="824" t="e">
        <f>+'[6]입력 시트(0124)'!U423</f>
        <v>#REF!</v>
      </c>
      <c r="V356" s="824" t="e">
        <f>+'[6]입력 시트(0124)'!V423</f>
        <v>#REF!</v>
      </c>
      <c r="W356" s="824" t="e">
        <f>+'[6]입력 시트(0124)'!W423</f>
        <v>#REF!</v>
      </c>
      <c r="X356" s="824" t="e">
        <f>+'[6]입력 시트(0124)'!X423</f>
        <v>#REF!</v>
      </c>
      <c r="Y356" s="824" t="e">
        <f>+'[6]입력 시트(0124)'!Y423</f>
        <v>#REF!</v>
      </c>
    </row>
    <row r="357" spans="2:25" hidden="1" outlineLevel="1">
      <c r="B357" s="735"/>
      <c r="C357" s="740" t="s">
        <v>309</v>
      </c>
      <c r="D357" s="716">
        <f t="shared" si="59"/>
        <v>23</v>
      </c>
      <c r="E357" s="824">
        <f>+'[6]입력 시트(0124)'!E424</f>
        <v>0</v>
      </c>
      <c r="F357" s="824">
        <f>+'[6]입력 시트(0124)'!F424</f>
        <v>0</v>
      </c>
      <c r="G357" s="824">
        <f>+'[6]입력 시트(0124)'!G424</f>
        <v>0</v>
      </c>
      <c r="H357" s="824">
        <f>+'[6]입력 시트(0124)'!H424</f>
        <v>0</v>
      </c>
      <c r="I357" s="824">
        <f>+'[6]입력 시트(0124)'!I424</f>
        <v>0</v>
      </c>
      <c r="J357" s="824" t="e">
        <f>+'[6]입력 시트(0124)'!J424</f>
        <v>#REF!</v>
      </c>
      <c r="K357" s="824">
        <f>+'[6]입력 시트(0124)'!G424</f>
        <v>0</v>
      </c>
      <c r="L357" s="824">
        <f>+'[6]입력 시트(0124)'!H424</f>
        <v>0</v>
      </c>
      <c r="M357" s="824">
        <f>+'[6]입력 시트(0124)'!I424</f>
        <v>0</v>
      </c>
      <c r="N357" s="824" t="e">
        <f>+'[6]입력 시트(0124)'!N424</f>
        <v>#REF!</v>
      </c>
      <c r="O357" s="824" t="e">
        <f>+'[6]입력 시트(0124)'!O424</f>
        <v>#REF!</v>
      </c>
      <c r="P357" s="824" t="e">
        <f>+'[6]입력 시트(0124)'!P424</f>
        <v>#REF!</v>
      </c>
      <c r="Q357" s="824" t="e">
        <f>+'[6]입력 시트(0124)'!Q424</f>
        <v>#REF!</v>
      </c>
      <c r="T357" s="824" t="e">
        <f>+'[6]입력 시트(0124)'!T424</f>
        <v>#REF!</v>
      </c>
      <c r="U357" s="824" t="e">
        <f>+'[6]입력 시트(0124)'!U424</f>
        <v>#REF!</v>
      </c>
      <c r="V357" s="824" t="e">
        <f>+'[6]입력 시트(0124)'!V424</f>
        <v>#REF!</v>
      </c>
      <c r="W357" s="824" t="e">
        <f>+'[6]입력 시트(0124)'!W424</f>
        <v>#REF!</v>
      </c>
      <c r="X357" s="824" t="e">
        <f>+'[6]입력 시트(0124)'!X424</f>
        <v>#REF!</v>
      </c>
      <c r="Y357" s="824" t="e">
        <f>+'[6]입력 시트(0124)'!Y424</f>
        <v>#REF!</v>
      </c>
    </row>
    <row r="358" spans="2:25" hidden="1" outlineLevel="1">
      <c r="B358" s="735"/>
      <c r="C358" s="740" t="s">
        <v>309</v>
      </c>
      <c r="D358" s="716">
        <f t="shared" si="59"/>
        <v>24</v>
      </c>
      <c r="E358" s="824">
        <f>+'[6]입력 시트(0124)'!E425</f>
        <v>0</v>
      </c>
      <c r="F358" s="824">
        <f>+'[6]입력 시트(0124)'!F425</f>
        <v>0</v>
      </c>
      <c r="G358" s="824">
        <f>+'[6]입력 시트(0124)'!G425</f>
        <v>0</v>
      </c>
      <c r="H358" s="824">
        <f>+'[6]입력 시트(0124)'!H425</f>
        <v>0</v>
      </c>
      <c r="I358" s="824">
        <f>+'[6]입력 시트(0124)'!I425</f>
        <v>0</v>
      </c>
      <c r="J358" s="824" t="e">
        <f>+'[6]입력 시트(0124)'!J425</f>
        <v>#REF!</v>
      </c>
      <c r="K358" s="824">
        <f>+'[6]입력 시트(0124)'!G425</f>
        <v>0</v>
      </c>
      <c r="L358" s="824">
        <f>+'[6]입력 시트(0124)'!H425</f>
        <v>0</v>
      </c>
      <c r="M358" s="824">
        <f>+'[6]입력 시트(0124)'!I425</f>
        <v>0</v>
      </c>
      <c r="N358" s="824" t="e">
        <f>+'[6]입력 시트(0124)'!N425</f>
        <v>#REF!</v>
      </c>
      <c r="O358" s="824" t="e">
        <f>+'[6]입력 시트(0124)'!O425</f>
        <v>#REF!</v>
      </c>
      <c r="P358" s="824" t="e">
        <f>+'[6]입력 시트(0124)'!P425</f>
        <v>#REF!</v>
      </c>
      <c r="Q358" s="824" t="e">
        <f>+'[6]입력 시트(0124)'!Q425</f>
        <v>#REF!</v>
      </c>
      <c r="T358" s="824" t="e">
        <f>+'[6]입력 시트(0124)'!T425</f>
        <v>#REF!</v>
      </c>
      <c r="U358" s="824" t="e">
        <f>+'[6]입력 시트(0124)'!U425</f>
        <v>#REF!</v>
      </c>
      <c r="V358" s="824" t="e">
        <f>+'[6]입력 시트(0124)'!V425</f>
        <v>#REF!</v>
      </c>
      <c r="W358" s="824" t="e">
        <f>+'[6]입력 시트(0124)'!W425</f>
        <v>#REF!</v>
      </c>
      <c r="X358" s="824" t="e">
        <f>+'[6]입력 시트(0124)'!X425</f>
        <v>#REF!</v>
      </c>
      <c r="Y358" s="824" t="e">
        <f>+'[6]입력 시트(0124)'!Y425</f>
        <v>#REF!</v>
      </c>
    </row>
    <row r="359" spans="2:25" hidden="1" outlineLevel="1">
      <c r="B359" s="735" t="s">
        <v>540</v>
      </c>
      <c r="E359" s="826"/>
      <c r="F359" s="826"/>
      <c r="G359" s="826"/>
      <c r="H359" s="826"/>
      <c r="I359" s="826"/>
      <c r="J359" s="826"/>
      <c r="K359" s="826"/>
      <c r="L359" s="826"/>
      <c r="M359" s="826"/>
      <c r="N359" s="826"/>
      <c r="O359" s="826"/>
      <c r="P359" s="826"/>
      <c r="Q359" s="826"/>
      <c r="T359" s="826"/>
      <c r="U359" s="826"/>
      <c r="V359" s="826"/>
      <c r="W359" s="826"/>
      <c r="X359" s="826"/>
      <c r="Y359" s="826"/>
    </row>
  </sheetData>
  <mergeCells count="17">
    <mergeCell ref="C295:D295"/>
    <mergeCell ref="C93:D93"/>
    <mergeCell ref="C102:D102"/>
    <mergeCell ref="C111:D111"/>
    <mergeCell ref="C120:D120"/>
    <mergeCell ref="C130:D130"/>
    <mergeCell ref="C157:D157"/>
    <mergeCell ref="C179:D179"/>
    <mergeCell ref="C214:D214"/>
    <mergeCell ref="C232:D232"/>
    <mergeCell ref="C263:D263"/>
    <mergeCell ref="C84:D84"/>
    <mergeCell ref="E1:Q1"/>
    <mergeCell ref="C11:D11"/>
    <mergeCell ref="C12:D12"/>
    <mergeCell ref="C66:D67"/>
    <mergeCell ref="C75:D75"/>
  </mergeCells>
  <phoneticPr fontId="9" type="noConversion"/>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AF73-EAA3-4B4C-8616-DB5911E33E42}">
  <dimension ref="B3:Z146"/>
  <sheetViews>
    <sheetView showGridLines="0" topLeftCell="A32" zoomScale="130" zoomScaleNormal="130" workbookViewId="0">
      <selection activeCell="C36" sqref="B22:C54"/>
    </sheetView>
  </sheetViews>
  <sheetFormatPr defaultRowHeight="12.75"/>
  <cols>
    <col min="1" max="2" width="1.7109375" customWidth="1"/>
    <col min="3" max="3" width="20.7109375" customWidth="1"/>
    <col min="10" max="10" width="1.7109375" customWidth="1"/>
    <col min="11" max="11" width="20.7109375" customWidth="1"/>
    <col min="18" max="18" width="1.7109375" customWidth="1"/>
  </cols>
  <sheetData>
    <row r="3" spans="2:26" s="843" customFormat="1" ht="12"/>
    <row r="4" spans="2:26" s="843" customFormat="1" thickBot="1">
      <c r="B4" s="857"/>
      <c r="C4" s="844"/>
    </row>
    <row r="5" spans="2:26" s="843" customFormat="1" ht="12">
      <c r="B5" s="845"/>
      <c r="C5" s="846"/>
      <c r="D5" s="846"/>
      <c r="E5" s="846"/>
      <c r="F5" s="846"/>
      <c r="G5" s="846"/>
      <c r="H5" s="846"/>
      <c r="I5" s="846"/>
      <c r="J5" s="846"/>
      <c r="K5" s="846"/>
      <c r="L5" s="846"/>
      <c r="M5" s="846"/>
      <c r="N5" s="846"/>
      <c r="O5" s="846"/>
      <c r="P5" s="846"/>
      <c r="Q5" s="846"/>
      <c r="R5" s="847"/>
    </row>
    <row r="6" spans="2:26" s="843" customFormat="1" ht="12">
      <c r="B6" s="848"/>
      <c r="C6" s="1376" t="s">
        <v>582</v>
      </c>
      <c r="D6" s="1376"/>
      <c r="E6" s="1376"/>
      <c r="F6" s="1376"/>
      <c r="R6" s="849"/>
    </row>
    <row r="7" spans="2:26" s="843" customFormat="1" ht="12">
      <c r="B7" s="848"/>
      <c r="E7" s="1377" t="s">
        <v>583</v>
      </c>
      <c r="F7" s="1377"/>
      <c r="G7" s="1377"/>
      <c r="H7" s="1377"/>
      <c r="I7" s="1377"/>
      <c r="M7" s="1377" t="s">
        <v>584</v>
      </c>
      <c r="N7" s="1377"/>
      <c r="O7" s="1377"/>
      <c r="P7" s="1377"/>
      <c r="Q7" s="1377"/>
      <c r="R7" s="849"/>
    </row>
    <row r="8" spans="2:26" s="843" customFormat="1" ht="12">
      <c r="B8" s="848"/>
      <c r="E8" s="859">
        <f>+F8-5</f>
        <v>179</v>
      </c>
      <c r="F8" s="859">
        <f>+G8-5</f>
        <v>184</v>
      </c>
      <c r="G8" s="863">
        <v>189</v>
      </c>
      <c r="H8" s="859">
        <f>+G8+5</f>
        <v>194</v>
      </c>
      <c r="I8" s="859">
        <f>+H8+5</f>
        <v>199</v>
      </c>
      <c r="M8" s="859">
        <f>+N8-50</f>
        <v>1000</v>
      </c>
      <c r="N8" s="859">
        <f>+O8-50</f>
        <v>1050</v>
      </c>
      <c r="O8" s="864">
        <v>1100</v>
      </c>
      <c r="P8" s="859">
        <f>+O8+50</f>
        <v>1150</v>
      </c>
      <c r="Q8" s="859">
        <f>+P8+50</f>
        <v>1200</v>
      </c>
      <c r="R8" s="849"/>
    </row>
    <row r="9" spans="2:26" s="843" customFormat="1" ht="12" customHeight="1">
      <c r="B9" s="848"/>
      <c r="C9" s="1378" t="s">
        <v>585</v>
      </c>
      <c r="D9" s="859">
        <f>+D10-50</f>
        <v>350</v>
      </c>
      <c r="E9" s="858">
        <v>9.063178372150027E-2</v>
      </c>
      <c r="F9" s="858">
        <v>9.4672051799062018E-2</v>
      </c>
      <c r="G9" s="858">
        <v>9.8659628633527952E-2</v>
      </c>
      <c r="H9" s="858">
        <v>0.10261055734361291</v>
      </c>
      <c r="I9" s="858">
        <v>0.10648803162026055</v>
      </c>
      <c r="K9" s="1378" t="s">
        <v>586</v>
      </c>
      <c r="L9" s="850">
        <v>-0.1</v>
      </c>
      <c r="M9" s="858">
        <v>9.6694903599249038E-2</v>
      </c>
      <c r="N9" s="858">
        <v>9.327629160691342E-2</v>
      </c>
      <c r="O9" s="858">
        <v>9.0031081857081086E-2</v>
      </c>
      <c r="P9" s="858">
        <v>8.6960841514967635E-2</v>
      </c>
      <c r="Q9" s="858">
        <v>8.4052768940562794E-2</v>
      </c>
      <c r="R9" s="849"/>
      <c r="Z9" s="851"/>
    </row>
    <row r="10" spans="2:26" s="843" customFormat="1" ht="12" customHeight="1">
      <c r="B10" s="848"/>
      <c r="C10" s="1379"/>
      <c r="D10" s="859">
        <f>+D11-50</f>
        <v>400</v>
      </c>
      <c r="E10" s="858">
        <v>8.7271833049347824E-2</v>
      </c>
      <c r="F10" s="858">
        <v>9.123034788274742E-2</v>
      </c>
      <c r="G10" s="858">
        <v>9.5126079681409292E-2</v>
      </c>
      <c r="H10" s="858">
        <v>9.8972528189180231E-2</v>
      </c>
      <c r="I10" s="858">
        <v>0.10278645415794063</v>
      </c>
      <c r="K10" s="1379"/>
      <c r="L10" s="850">
        <v>-0.05</v>
      </c>
      <c r="M10" s="858">
        <v>9.5968601664232489E-2</v>
      </c>
      <c r="N10" s="858">
        <v>9.2561679518871509E-2</v>
      </c>
      <c r="O10" s="858">
        <v>8.9326767407088559E-2</v>
      </c>
      <c r="P10" s="858">
        <v>8.6269405053663428E-2</v>
      </c>
      <c r="Q10" s="858">
        <v>8.3365210146929991E-2</v>
      </c>
      <c r="R10" s="849"/>
    </row>
    <row r="11" spans="2:26" s="843" customFormat="1" ht="12" customHeight="1">
      <c r="B11" s="848"/>
      <c r="C11" s="1379"/>
      <c r="D11" s="859">
        <f>+D12-50</f>
        <v>450</v>
      </c>
      <c r="E11" s="858">
        <v>8.4111491770920921E-2</v>
      </c>
      <c r="F11" s="858">
        <v>8.7969196647023296E-2</v>
      </c>
      <c r="G11" s="858">
        <v>9.1788175089282831E-2</v>
      </c>
      <c r="H11" s="858">
        <v>9.5550062598975138E-2</v>
      </c>
      <c r="I11" s="858">
        <v>9.9264551753084795E-2</v>
      </c>
      <c r="K11" s="1379"/>
      <c r="L11" s="863" t="s">
        <v>587</v>
      </c>
      <c r="M11" s="858">
        <v>9.5238435749558814E-2</v>
      </c>
      <c r="N11" s="858">
        <v>9.1843203163849418E-2</v>
      </c>
      <c r="O11" s="865">
        <v>8.8620033897617079E-2</v>
      </c>
      <c r="P11" s="858">
        <v>8.5574412995170324E-2</v>
      </c>
      <c r="Q11" s="858">
        <v>8.2679880575935227E-2</v>
      </c>
      <c r="R11" s="849"/>
    </row>
    <row r="12" spans="2:26" s="843" customFormat="1" ht="12" customHeight="1">
      <c r="B12" s="848"/>
      <c r="C12" s="1379"/>
      <c r="D12" s="866">
        <v>500</v>
      </c>
      <c r="E12" s="858">
        <v>8.1120570711950668E-2</v>
      </c>
      <c r="F12" s="858">
        <v>8.4894417725565052E-2</v>
      </c>
      <c r="G12" s="865">
        <v>8.8620033897617079E-2</v>
      </c>
      <c r="H12" s="858">
        <v>9.2310473215621469E-2</v>
      </c>
      <c r="I12" s="858">
        <v>9.5946330233021904E-2</v>
      </c>
      <c r="K12" s="1379"/>
      <c r="L12" s="850">
        <v>0.05</v>
      </c>
      <c r="M12" s="858">
        <v>9.4505391176659348E-2</v>
      </c>
      <c r="N12" s="858">
        <v>9.1122387115128323E-2</v>
      </c>
      <c r="O12" s="858">
        <v>8.791003403378661E-2</v>
      </c>
      <c r="P12" s="858">
        <v>8.4875532190999747E-2</v>
      </c>
      <c r="Q12" s="858">
        <v>8.1992828725736766E-2</v>
      </c>
      <c r="R12" s="849"/>
    </row>
    <row r="13" spans="2:26" s="843" customFormat="1" ht="12" customHeight="1">
      <c r="B13" s="848"/>
      <c r="C13" s="1379"/>
      <c r="D13" s="859">
        <f>+D12+50</f>
        <v>550</v>
      </c>
      <c r="E13" s="858">
        <v>7.8296366147703855E-2</v>
      </c>
      <c r="F13" s="858">
        <v>8.1979031492411591E-2</v>
      </c>
      <c r="G13" s="858">
        <v>8.5627161987397171E-2</v>
      </c>
      <c r="H13" s="858">
        <v>8.9229348673654618E-2</v>
      </c>
      <c r="I13" s="858">
        <v>9.2799402177042634E-2</v>
      </c>
      <c r="K13" s="1380"/>
      <c r="L13" s="850">
        <v>0.1</v>
      </c>
      <c r="M13" s="858">
        <v>9.3769042612870557E-2</v>
      </c>
      <c r="N13" s="858">
        <v>9.0397887936383592E-2</v>
      </c>
      <c r="O13" s="858">
        <v>8.7196055503732328E-2</v>
      </c>
      <c r="P13" s="858">
        <v>8.417305791473173E-2</v>
      </c>
      <c r="Q13" s="858">
        <v>8.1302233089351361E-2</v>
      </c>
      <c r="R13" s="849"/>
    </row>
    <row r="14" spans="2:26" s="843" customFormat="1" ht="12" customHeight="1">
      <c r="B14" s="848"/>
      <c r="C14" s="1379"/>
      <c r="D14" s="859">
        <f>+D13+50</f>
        <v>600</v>
      </c>
      <c r="E14" s="858">
        <v>7.5623142081042261E-2</v>
      </c>
      <c r="F14" s="858">
        <v>7.9224630757585013E-2</v>
      </c>
      <c r="G14" s="858">
        <v>8.278349911569971E-2</v>
      </c>
      <c r="H14" s="858">
        <v>8.6313640993126217E-2</v>
      </c>
      <c r="I14" s="858">
        <v>8.9801929233535027E-2</v>
      </c>
      <c r="R14" s="849"/>
    </row>
    <row r="15" spans="2:26" s="843" customFormat="1" ht="12" customHeight="1">
      <c r="B15" s="848"/>
      <c r="C15" s="1380"/>
      <c r="D15" s="859">
        <f>+D14+50</f>
        <v>650</v>
      </c>
      <c r="E15" s="858">
        <v>7.3078482383976739E-2</v>
      </c>
      <c r="F15" s="858">
        <v>7.6609285115327497E-2</v>
      </c>
      <c r="G15" s="858">
        <v>8.0092187966565032E-2</v>
      </c>
      <c r="H15" s="858">
        <v>8.354710621676964E-2</v>
      </c>
      <c r="I15" s="858">
        <v>8.6958761533303397E-2</v>
      </c>
      <c r="L15" s="852"/>
      <c r="M15" s="851"/>
      <c r="R15" s="849"/>
    </row>
    <row r="16" spans="2:26" s="843" customFormat="1" thickBot="1">
      <c r="B16" s="853"/>
      <c r="C16" s="854"/>
      <c r="D16" s="854"/>
      <c r="E16" s="855"/>
      <c r="F16" s="855"/>
      <c r="G16" s="855"/>
      <c r="H16" s="855"/>
      <c r="I16" s="855"/>
      <c r="J16" s="854"/>
      <c r="K16" s="854"/>
      <c r="L16" s="854"/>
      <c r="M16" s="855"/>
      <c r="N16" s="855"/>
      <c r="O16" s="855"/>
      <c r="P16" s="855"/>
      <c r="Q16" s="855"/>
      <c r="R16" s="856"/>
    </row>
    <row r="17" spans="2:26" ht="13.5" thickBot="1"/>
    <row r="18" spans="2:26" s="843" customFormat="1" ht="12">
      <c r="B18" s="845"/>
      <c r="C18" s="846"/>
      <c r="D18" s="846"/>
      <c r="E18" s="846"/>
      <c r="F18" s="846"/>
      <c r="G18" s="846"/>
      <c r="H18" s="846"/>
      <c r="I18" s="846"/>
      <c r="J18" s="846"/>
      <c r="K18" s="846"/>
      <c r="L18" s="846"/>
      <c r="M18" s="846"/>
      <c r="N18" s="846"/>
      <c r="O18" s="846"/>
      <c r="P18" s="846"/>
      <c r="Q18" s="846"/>
      <c r="R18" s="847"/>
    </row>
    <row r="19" spans="2:26" s="843" customFormat="1" ht="12">
      <c r="B19" s="848"/>
      <c r="C19" s="1376" t="s">
        <v>588</v>
      </c>
      <c r="D19" s="1376"/>
      <c r="E19" s="1376"/>
      <c r="F19" s="1376"/>
      <c r="R19" s="849"/>
    </row>
    <row r="20" spans="2:26" s="843" customFormat="1" ht="12">
      <c r="B20" s="848"/>
      <c r="E20" s="1377" t="s">
        <v>583</v>
      </c>
      <c r="F20" s="1377"/>
      <c r="G20" s="1377"/>
      <c r="H20" s="1377"/>
      <c r="I20" s="1377"/>
      <c r="M20" s="1377" t="s">
        <v>584</v>
      </c>
      <c r="N20" s="1377"/>
      <c r="O20" s="1377"/>
      <c r="P20" s="1377"/>
      <c r="Q20" s="1377"/>
      <c r="R20" s="849"/>
    </row>
    <row r="21" spans="2:26" s="843" customFormat="1" ht="12">
      <c r="B21" s="848"/>
      <c r="E21" s="859">
        <f>+F21-5</f>
        <v>179</v>
      </c>
      <c r="F21" s="859">
        <f>+G21-5</f>
        <v>184</v>
      </c>
      <c r="G21" s="863">
        <v>189</v>
      </c>
      <c r="H21" s="859">
        <f>+G21+5</f>
        <v>194</v>
      </c>
      <c r="I21" s="859">
        <f>+H21+5</f>
        <v>199</v>
      </c>
      <c r="M21" s="859">
        <f>+N21-50</f>
        <v>1000</v>
      </c>
      <c r="N21" s="859">
        <f>+O21-50</f>
        <v>1050</v>
      </c>
      <c r="O21" s="864">
        <v>1100</v>
      </c>
      <c r="P21" s="859">
        <f>+O21+50</f>
        <v>1150</v>
      </c>
      <c r="Q21" s="859">
        <f>+P21+50</f>
        <v>1200</v>
      </c>
      <c r="R21" s="849"/>
    </row>
    <row r="22" spans="2:26" s="843" customFormat="1" ht="12" customHeight="1">
      <c r="B22" s="848"/>
      <c r="C22" s="1378" t="s">
        <v>585</v>
      </c>
      <c r="D22" s="859">
        <f>+D23-50</f>
        <v>350</v>
      </c>
      <c r="E22" s="858">
        <v>9.6389086963282855E-2</v>
      </c>
      <c r="F22" s="858">
        <v>0.10050834726381219</v>
      </c>
      <c r="G22" s="858">
        <v>0.10458111819544791</v>
      </c>
      <c r="H22" s="858">
        <v>0.10858349825685876</v>
      </c>
      <c r="I22" s="858">
        <v>0.11252967113835655</v>
      </c>
      <c r="K22" s="1378" t="s">
        <v>586</v>
      </c>
      <c r="L22" s="850">
        <v>-0.1</v>
      </c>
      <c r="M22" s="858">
        <v>0.10261330935544177</v>
      </c>
      <c r="N22" s="858">
        <v>9.9040962711111513E-2</v>
      </c>
      <c r="O22" s="858">
        <v>9.5674009815406968E-2</v>
      </c>
      <c r="P22" s="858">
        <v>9.2480689968039043E-2</v>
      </c>
      <c r="Q22" s="858">
        <v>8.9437963741976656E-2</v>
      </c>
      <c r="R22" s="849"/>
      <c r="Z22" s="851"/>
    </row>
    <row r="23" spans="2:26" s="843" customFormat="1" ht="12" customHeight="1">
      <c r="B23" s="848"/>
      <c r="C23" s="1379"/>
      <c r="D23" s="859">
        <f>+D24-50</f>
        <v>400</v>
      </c>
      <c r="E23" s="858">
        <v>9.2896214230736129E-2</v>
      </c>
      <c r="F23" s="858">
        <v>9.6922783398132983E-2</v>
      </c>
      <c r="G23" s="858">
        <v>0.10089504366177815</v>
      </c>
      <c r="H23" s="858">
        <v>0.10482485646176509</v>
      </c>
      <c r="I23" s="858">
        <v>0.10868842870337225</v>
      </c>
      <c r="K23" s="1379"/>
      <c r="L23" s="850">
        <v>-0.05</v>
      </c>
      <c r="M23" s="858">
        <v>0.10182002653751199</v>
      </c>
      <c r="N23" s="858">
        <v>9.8259728560050386E-2</v>
      </c>
      <c r="O23" s="858">
        <v>9.4903500482808045E-2</v>
      </c>
      <c r="P23" s="858">
        <v>9.1721657606080198E-2</v>
      </c>
      <c r="Q23" s="858">
        <v>8.8690343740269517E-2</v>
      </c>
      <c r="R23" s="849"/>
    </row>
    <row r="24" spans="2:26" s="843" customFormat="1" ht="12" customHeight="1">
      <c r="B24" s="848"/>
      <c r="C24" s="1379"/>
      <c r="D24" s="859">
        <f>+D25-50</f>
        <v>450</v>
      </c>
      <c r="E24" s="858">
        <v>8.9597871406654317E-2</v>
      </c>
      <c r="F24" s="858">
        <v>9.3534409284656173E-2</v>
      </c>
      <c r="G24" s="858">
        <v>9.7420180242287824E-2</v>
      </c>
      <c r="H24" s="858">
        <v>0.10125570089615232</v>
      </c>
      <c r="I24" s="858">
        <v>0.10505232893268657</v>
      </c>
      <c r="K24" s="1379"/>
      <c r="L24" s="863" t="s">
        <v>587</v>
      </c>
      <c r="M24" s="858">
        <v>0.10100513625999907</v>
      </c>
      <c r="N24" s="858">
        <v>9.7474102643706484E-2</v>
      </c>
      <c r="O24" s="865">
        <v>9.413019826929192E-2</v>
      </c>
      <c r="P24" s="858">
        <v>9.0960213932529843E-2</v>
      </c>
      <c r="Q24" s="858">
        <v>8.7939404419376865E-2</v>
      </c>
      <c r="R24" s="849"/>
    </row>
    <row r="25" spans="2:26" s="843" customFormat="1" ht="12" customHeight="1">
      <c r="B25" s="848"/>
      <c r="C25" s="1379"/>
      <c r="D25" s="866">
        <v>500</v>
      </c>
      <c r="E25" s="858">
        <v>8.646477964645749E-2</v>
      </c>
      <c r="F25" s="858">
        <v>9.032869280591016E-2</v>
      </c>
      <c r="G25" s="865">
        <v>9.413019826929192E-2</v>
      </c>
      <c r="H25" s="858">
        <v>9.7884871877299995E-2</v>
      </c>
      <c r="I25" s="858">
        <v>0.10160964821418217</v>
      </c>
      <c r="K25" s="1379"/>
      <c r="L25" s="850">
        <v>0.05</v>
      </c>
      <c r="M25" s="858">
        <v>0.10020218705507555</v>
      </c>
      <c r="N25" s="858">
        <v>9.6683993165036064E-2</v>
      </c>
      <c r="O25" s="858">
        <v>9.3352411582925843E-2</v>
      </c>
      <c r="P25" s="858">
        <v>9.0194289773066094E-2</v>
      </c>
      <c r="Q25" s="858">
        <v>8.7184013442547892E-2</v>
      </c>
      <c r="R25" s="849"/>
    </row>
    <row r="26" spans="2:26" s="843" customFormat="1" ht="12" customHeight="1">
      <c r="B26" s="848"/>
      <c r="C26" s="1379"/>
      <c r="D26" s="859">
        <f>+D25+50</f>
        <v>550</v>
      </c>
      <c r="E26" s="858">
        <v>8.3511649416183165E-2</v>
      </c>
      <c r="F26" s="858">
        <v>8.727886304657595E-2</v>
      </c>
      <c r="G26" s="858">
        <v>9.1012022932728698E-2</v>
      </c>
      <c r="H26" s="858">
        <v>9.4687692385309052E-2</v>
      </c>
      <c r="I26" s="858">
        <v>9.8319991698470055E-2</v>
      </c>
      <c r="K26" s="1380"/>
      <c r="L26" s="850">
        <v>0.1</v>
      </c>
      <c r="M26" s="858">
        <v>9.9394665326754117E-2</v>
      </c>
      <c r="N26" s="858">
        <v>9.5889305355941978E-2</v>
      </c>
      <c r="O26" s="858">
        <v>9.2570045409217538E-2</v>
      </c>
      <c r="P26" s="858">
        <v>8.942379000152223E-2</v>
      </c>
      <c r="Q26" s="858">
        <v>8.6424075890453977E-2</v>
      </c>
      <c r="R26" s="849"/>
    </row>
    <row r="27" spans="2:26" s="843" customFormat="1" ht="12" customHeight="1">
      <c r="B27" s="848"/>
      <c r="C27" s="1379"/>
      <c r="D27" s="859">
        <f>+D26+50</f>
        <v>600</v>
      </c>
      <c r="E27" s="858">
        <v>8.0704382590969903E-2</v>
      </c>
      <c r="F27" s="858">
        <v>8.4395698835873612E-2</v>
      </c>
      <c r="G27" s="858">
        <v>8.8041190171269879E-2</v>
      </c>
      <c r="H27" s="858">
        <v>9.1652375078807413E-2</v>
      </c>
      <c r="I27" s="858">
        <v>9.5211094917245997E-2</v>
      </c>
      <c r="R27" s="849"/>
    </row>
    <row r="28" spans="2:26" s="843" customFormat="1" ht="12" customHeight="1">
      <c r="B28" s="848"/>
      <c r="C28" s="1380"/>
      <c r="D28" s="859">
        <f>+D27+50</f>
        <v>650</v>
      </c>
      <c r="E28" s="858">
        <v>7.8046959266538707E-2</v>
      </c>
      <c r="F28" s="858">
        <v>8.1653741011535885E-2</v>
      </c>
      <c r="G28" s="858">
        <v>8.5227395481228152E-2</v>
      </c>
      <c r="H28" s="858">
        <v>8.875658526061625E-2</v>
      </c>
      <c r="I28" s="858">
        <v>9.2255346514452663E-2</v>
      </c>
      <c r="L28" s="852"/>
      <c r="M28" s="851"/>
      <c r="R28" s="849"/>
    </row>
    <row r="29" spans="2:26" s="843" customFormat="1" thickBot="1">
      <c r="B29" s="853"/>
      <c r="C29" s="854"/>
      <c r="D29" s="854"/>
      <c r="E29" s="855"/>
      <c r="F29" s="855"/>
      <c r="G29" s="855"/>
      <c r="H29" s="855"/>
      <c r="I29" s="855"/>
      <c r="J29" s="854"/>
      <c r="K29" s="854"/>
      <c r="L29" s="854"/>
      <c r="M29" s="855"/>
      <c r="N29" s="855"/>
      <c r="O29" s="855"/>
      <c r="P29" s="855"/>
      <c r="Q29" s="855"/>
      <c r="R29" s="856"/>
    </row>
    <row r="30" spans="2:26" ht="13.5" thickBot="1"/>
    <row r="31" spans="2:26" s="843" customFormat="1" ht="12">
      <c r="B31" s="845"/>
      <c r="C31" s="846"/>
      <c r="D31" s="846"/>
      <c r="E31" s="846"/>
      <c r="F31" s="846"/>
      <c r="G31" s="846"/>
      <c r="H31" s="846"/>
      <c r="I31" s="846"/>
      <c r="J31" s="846"/>
      <c r="K31" s="846"/>
      <c r="L31" s="846"/>
      <c r="M31" s="846"/>
      <c r="N31" s="846"/>
      <c r="O31" s="846"/>
      <c r="P31" s="846"/>
      <c r="Q31" s="846"/>
      <c r="R31" s="847"/>
    </row>
    <row r="32" spans="2:26" s="843" customFormat="1" ht="12">
      <c r="B32" s="848"/>
      <c r="C32" s="1376" t="s">
        <v>589</v>
      </c>
      <c r="D32" s="1376"/>
      <c r="E32" s="1376"/>
      <c r="F32" s="1376"/>
      <c r="R32" s="849"/>
    </row>
    <row r="33" spans="2:26" s="843" customFormat="1" ht="12">
      <c r="B33" s="848"/>
      <c r="E33" s="1377" t="s">
        <v>583</v>
      </c>
      <c r="F33" s="1377"/>
      <c r="G33" s="1377"/>
      <c r="H33" s="1377"/>
      <c r="I33" s="1377"/>
      <c r="M33" s="1377" t="s">
        <v>584</v>
      </c>
      <c r="N33" s="1377"/>
      <c r="O33" s="1377"/>
      <c r="P33" s="1377"/>
      <c r="Q33" s="1377"/>
      <c r="R33" s="849"/>
    </row>
    <row r="34" spans="2:26" s="843" customFormat="1" ht="12">
      <c r="B34" s="848"/>
      <c r="E34" s="859">
        <f>+F34-5</f>
        <v>179</v>
      </c>
      <c r="F34" s="859">
        <f>+G34-5</f>
        <v>184</v>
      </c>
      <c r="G34" s="863">
        <v>189</v>
      </c>
      <c r="H34" s="859">
        <f>+G34+5</f>
        <v>194</v>
      </c>
      <c r="I34" s="859">
        <f>+H34+5</f>
        <v>199</v>
      </c>
      <c r="M34" s="859">
        <f>+N34-50</f>
        <v>1000</v>
      </c>
      <c r="N34" s="859">
        <f>+O34-50</f>
        <v>1050</v>
      </c>
      <c r="O34" s="864">
        <v>1100</v>
      </c>
      <c r="P34" s="859">
        <f>+O34+50</f>
        <v>1150</v>
      </c>
      <c r="Q34" s="859">
        <f>+P34+50</f>
        <v>1200</v>
      </c>
      <c r="R34" s="849"/>
    </row>
    <row r="35" spans="2:26" s="843" customFormat="1" ht="12" customHeight="1">
      <c r="B35" s="848"/>
      <c r="C35" s="1378" t="s">
        <v>585</v>
      </c>
      <c r="D35" s="859">
        <f>+D36-50</f>
        <v>350</v>
      </c>
      <c r="E35" s="858">
        <v>8.6425710009035761E-2</v>
      </c>
      <c r="F35" s="858">
        <v>9.0407013774109091E-2</v>
      </c>
      <c r="G35" s="858">
        <v>9.4322973537734001E-2</v>
      </c>
      <c r="H35" s="858">
        <v>9.8189605492979171E-2</v>
      </c>
      <c r="I35" s="858">
        <v>0.10202374171177908</v>
      </c>
      <c r="K35" s="1378" t="s">
        <v>586</v>
      </c>
      <c r="L35" s="850">
        <v>-0.1</v>
      </c>
      <c r="M35" s="858">
        <v>9.2411670544337854E-2</v>
      </c>
      <c r="N35" s="858">
        <v>8.9081768848223497E-2</v>
      </c>
      <c r="O35" s="858">
        <v>8.594076379481197E-2</v>
      </c>
      <c r="P35" s="858">
        <v>8.2960127425196761E-2</v>
      </c>
      <c r="Q35" s="858">
        <v>8.0143417741360023E-2</v>
      </c>
      <c r="R35" s="849"/>
      <c r="Z35" s="851"/>
    </row>
    <row r="36" spans="2:26" s="843" customFormat="1" ht="12" customHeight="1">
      <c r="B36" s="848"/>
      <c r="C36" s="1379"/>
      <c r="D36" s="859">
        <f>+D37-50</f>
        <v>400</v>
      </c>
      <c r="E36" s="858">
        <v>8.3185121229778503E-2</v>
      </c>
      <c r="F36" s="858">
        <v>8.7056700554401178E-2</v>
      </c>
      <c r="G36" s="858">
        <v>9.0894338447203626E-2</v>
      </c>
      <c r="H36" s="858">
        <v>9.4671389226611113E-2</v>
      </c>
      <c r="I36" s="858">
        <v>9.8402920885374057E-2</v>
      </c>
      <c r="K36" s="1379"/>
      <c r="L36" s="850">
        <v>-0.05</v>
      </c>
      <c r="M36" s="858">
        <v>9.1711191623412125E-2</v>
      </c>
      <c r="N36" s="858">
        <v>8.8392974278325154E-2</v>
      </c>
      <c r="O36" s="858">
        <v>8.5263099689860677E-2</v>
      </c>
      <c r="P36" s="858">
        <v>8.2294149989263321E-2</v>
      </c>
      <c r="Q36" s="858">
        <v>7.9488605538568624E-2</v>
      </c>
      <c r="R36" s="849"/>
    </row>
    <row r="37" spans="2:26" s="843" customFormat="1" ht="12" customHeight="1">
      <c r="B37" s="848"/>
      <c r="C37" s="1379"/>
      <c r="D37" s="859">
        <f>+D38-50</f>
        <v>450</v>
      </c>
      <c r="E37" s="858">
        <v>8.012192370471749E-2</v>
      </c>
      <c r="F37" s="858">
        <v>8.3907543160417042E-2</v>
      </c>
      <c r="G37" s="858">
        <v>8.7644681701128491E-2</v>
      </c>
      <c r="H37" s="858">
        <v>9.1348623005399476E-2</v>
      </c>
      <c r="I37" s="858">
        <v>9.4996413989233641E-2</v>
      </c>
      <c r="K37" s="1379"/>
      <c r="L37" s="863" t="s">
        <v>587</v>
      </c>
      <c r="M37" s="858">
        <v>9.1008110739274173E-2</v>
      </c>
      <c r="N37" s="858">
        <v>8.7700470351536497E-2</v>
      </c>
      <c r="O37" s="865">
        <v>8.4581737945218061E-2</v>
      </c>
      <c r="P37" s="858">
        <v>8.1624971811238733E-2</v>
      </c>
      <c r="Q37" s="858">
        <v>7.8826146997812874E-2</v>
      </c>
      <c r="R37" s="849"/>
    </row>
    <row r="38" spans="2:26" s="843" customFormat="1" ht="12" customHeight="1">
      <c r="B38" s="848"/>
      <c r="C38" s="1379"/>
      <c r="D38" s="866">
        <v>500</v>
      </c>
      <c r="E38" s="858">
        <v>7.7235241198525095E-2</v>
      </c>
      <c r="F38" s="858">
        <v>8.0925157408002102E-2</v>
      </c>
      <c r="G38" s="865">
        <v>8.4581737945218061E-2</v>
      </c>
      <c r="H38" s="858">
        <v>8.8193735252289018E-2</v>
      </c>
      <c r="I38" s="858">
        <v>9.1773127522184916E-2</v>
      </c>
      <c r="K38" s="1379"/>
      <c r="L38" s="850">
        <v>0.05</v>
      </c>
      <c r="M38" s="858">
        <v>9.0301224400098912E-2</v>
      </c>
      <c r="N38" s="858">
        <v>8.7004185041694937E-2</v>
      </c>
      <c r="O38" s="858">
        <v>8.3898796038273327E-2</v>
      </c>
      <c r="P38" s="858">
        <v>8.095208971289658E-2</v>
      </c>
      <c r="Q38" s="858">
        <v>7.8165539943935824E-2</v>
      </c>
      <c r="R38" s="849"/>
    </row>
    <row r="39" spans="2:26" s="843" customFormat="1" ht="12" customHeight="1">
      <c r="B39" s="848"/>
      <c r="C39" s="1379"/>
      <c r="D39" s="859">
        <f>+D38+50</f>
        <v>550</v>
      </c>
      <c r="E39" s="858">
        <v>7.4503364976385544E-2</v>
      </c>
      <c r="F39" s="858">
        <v>7.811036937989857E-2</v>
      </c>
      <c r="G39" s="858">
        <v>8.1678388239349697E-2</v>
      </c>
      <c r="H39" s="858">
        <v>8.5214457169109581E-2</v>
      </c>
      <c r="I39" s="858">
        <v>8.8707619885715516E-2</v>
      </c>
      <c r="K39" s="1380"/>
      <c r="L39" s="850">
        <v>0.1</v>
      </c>
      <c r="M39" s="858">
        <v>8.9590458304455334E-2</v>
      </c>
      <c r="N39" s="858">
        <v>8.6304457056282091E-2</v>
      </c>
      <c r="O39" s="858">
        <v>8.3212159657041429E-2</v>
      </c>
      <c r="P39" s="858">
        <v>8.0277108433871147E-2</v>
      </c>
      <c r="Q39" s="858">
        <v>7.7501244202449193E-2</v>
      </c>
      <c r="R39" s="849"/>
    </row>
    <row r="40" spans="2:26" s="843" customFormat="1" ht="12" customHeight="1">
      <c r="B40" s="848"/>
      <c r="C40" s="1379"/>
      <c r="D40" s="859">
        <f>+D39+50</f>
        <v>600</v>
      </c>
      <c r="E40" s="858">
        <v>7.1908251657651245E-2</v>
      </c>
      <c r="F40" s="858">
        <v>7.5444738442722814E-2</v>
      </c>
      <c r="G40" s="858">
        <v>7.8930568221467379E-2</v>
      </c>
      <c r="H40" s="858">
        <v>8.2383951629400043E-2</v>
      </c>
      <c r="I40" s="858">
        <v>8.5807526802937462E-2</v>
      </c>
      <c r="R40" s="849"/>
    </row>
    <row r="41" spans="2:26" s="843" customFormat="1" ht="12" customHeight="1">
      <c r="B41" s="848"/>
      <c r="C41" s="1380"/>
      <c r="D41" s="859">
        <f>+D40+50</f>
        <v>650</v>
      </c>
      <c r="E41" s="858">
        <v>6.9432881973618299E-2</v>
      </c>
      <c r="F41" s="858">
        <v>7.2907297510764968E-2</v>
      </c>
      <c r="G41" s="858">
        <v>7.6330687545057341E-2</v>
      </c>
      <c r="H41" s="858">
        <v>7.9705979180519693E-2</v>
      </c>
      <c r="I41" s="858">
        <v>8.3047439635995701E-2</v>
      </c>
      <c r="L41" s="852"/>
      <c r="M41" s="851"/>
      <c r="R41" s="849"/>
    </row>
    <row r="42" spans="2:26" s="843" customFormat="1" thickBot="1">
      <c r="B42" s="853"/>
      <c r="C42" s="854"/>
      <c r="D42" s="854"/>
      <c r="E42" s="855"/>
      <c r="F42" s="855"/>
      <c r="G42" s="855"/>
      <c r="H42" s="855"/>
      <c r="I42" s="855"/>
      <c r="J42" s="854"/>
      <c r="K42" s="854"/>
      <c r="L42" s="854"/>
      <c r="M42" s="855"/>
      <c r="N42" s="855"/>
      <c r="O42" s="855"/>
      <c r="P42" s="855"/>
      <c r="Q42" s="855"/>
      <c r="R42" s="856"/>
    </row>
    <row r="43" spans="2:26" ht="13.5" thickBot="1"/>
    <row r="44" spans="2:26" s="843" customFormat="1" ht="12">
      <c r="B44" s="845"/>
      <c r="C44" s="846"/>
      <c r="D44" s="846"/>
      <c r="E44" s="846"/>
      <c r="F44" s="846"/>
      <c r="G44" s="846"/>
      <c r="H44" s="846"/>
      <c r="I44" s="846"/>
      <c r="J44" s="846"/>
      <c r="K44" s="846"/>
      <c r="L44" s="846"/>
      <c r="M44" s="846"/>
      <c r="N44" s="846"/>
      <c r="O44" s="846"/>
      <c r="P44" s="846"/>
      <c r="Q44" s="846"/>
      <c r="R44" s="847"/>
    </row>
    <row r="45" spans="2:26" s="843" customFormat="1" ht="12">
      <c r="B45" s="848"/>
      <c r="C45" s="1376" t="s">
        <v>590</v>
      </c>
      <c r="D45" s="1376"/>
      <c r="E45" s="1376"/>
      <c r="F45" s="1376"/>
      <c r="R45" s="849"/>
    </row>
    <row r="46" spans="2:26" s="843" customFormat="1" ht="12">
      <c r="B46" s="848"/>
      <c r="E46" s="1377" t="s">
        <v>583</v>
      </c>
      <c r="F46" s="1377"/>
      <c r="G46" s="1377"/>
      <c r="H46" s="1377"/>
      <c r="I46" s="1377"/>
      <c r="M46" s="1377" t="s">
        <v>584</v>
      </c>
      <c r="N46" s="1377"/>
      <c r="O46" s="1377"/>
      <c r="P46" s="1377"/>
      <c r="Q46" s="1377"/>
      <c r="R46" s="849"/>
    </row>
    <row r="47" spans="2:26" s="843" customFormat="1" ht="12">
      <c r="B47" s="848"/>
      <c r="E47" s="859">
        <f>+F47-5</f>
        <v>179</v>
      </c>
      <c r="F47" s="859">
        <f>+G47-5</f>
        <v>184</v>
      </c>
      <c r="G47" s="863">
        <v>189</v>
      </c>
      <c r="H47" s="859">
        <f>+G47+5</f>
        <v>194</v>
      </c>
      <c r="I47" s="859">
        <f>+H47+5</f>
        <v>199</v>
      </c>
      <c r="M47" s="859">
        <f>+N47-50</f>
        <v>1000</v>
      </c>
      <c r="N47" s="859">
        <f>+O47-50</f>
        <v>1050</v>
      </c>
      <c r="O47" s="864">
        <v>1100</v>
      </c>
      <c r="P47" s="859">
        <f>+O47+50</f>
        <v>1150</v>
      </c>
      <c r="Q47" s="859">
        <f>+P47+50</f>
        <v>1200</v>
      </c>
      <c r="R47" s="849"/>
    </row>
    <row r="48" spans="2:26" s="843" customFormat="1" ht="12" customHeight="1">
      <c r="B48" s="848"/>
      <c r="C48" s="1378" t="s">
        <v>585</v>
      </c>
      <c r="D48" s="859">
        <f>+D49-50</f>
        <v>350</v>
      </c>
      <c r="E48" s="858">
        <v>9.1515499726172012E-2</v>
      </c>
      <c r="F48" s="858">
        <v>9.5570032221848455E-2</v>
      </c>
      <c r="G48" s="858">
        <v>9.956849535911072E-2</v>
      </c>
      <c r="H48" s="858">
        <v>0.10352611050618399</v>
      </c>
      <c r="I48" s="858">
        <v>0.10741380890828212</v>
      </c>
      <c r="K48" s="1378" t="s">
        <v>586</v>
      </c>
      <c r="L48" s="850">
        <v>-0.1</v>
      </c>
      <c r="M48" s="858">
        <v>9.777956661149978E-2</v>
      </c>
      <c r="N48" s="858">
        <v>9.4325791023095684E-2</v>
      </c>
      <c r="O48" s="858">
        <v>9.1057231434206187E-2</v>
      </c>
      <c r="P48" s="858">
        <v>8.7947474953375515E-2</v>
      </c>
      <c r="Q48" s="858">
        <v>8.5005884262987497E-2</v>
      </c>
      <c r="R48" s="849"/>
      <c r="Z48" s="851"/>
    </row>
    <row r="49" spans="2:26" s="843" customFormat="1" ht="12" customHeight="1">
      <c r="B49" s="848"/>
      <c r="C49" s="1379"/>
      <c r="D49" s="859">
        <f>+D50-50</f>
        <v>400</v>
      </c>
      <c r="E49" s="858">
        <v>8.8122680629659333E-2</v>
      </c>
      <c r="F49" s="858">
        <v>9.2093836959507236E-2</v>
      </c>
      <c r="G49" s="858">
        <v>9.6002386597952016E-2</v>
      </c>
      <c r="H49" s="858">
        <v>9.9859185947451357E-2</v>
      </c>
      <c r="I49" s="858">
        <v>0.10367893048613874</v>
      </c>
      <c r="K49" s="1379"/>
      <c r="L49" s="850">
        <v>-0.05</v>
      </c>
      <c r="M49" s="858">
        <v>9.6949635126893252E-2</v>
      </c>
      <c r="N49" s="858">
        <v>9.3509206164571479E-2</v>
      </c>
      <c r="O49" s="858">
        <v>9.0253463603940043E-2</v>
      </c>
      <c r="P49" s="858">
        <v>8.7155093890193935E-2</v>
      </c>
      <c r="Q49" s="858">
        <v>8.422619291988731E-2</v>
      </c>
      <c r="R49" s="849"/>
    </row>
    <row r="50" spans="2:26" s="843" customFormat="1" ht="12" customHeight="1">
      <c r="B50" s="848"/>
      <c r="C50" s="1379"/>
      <c r="D50" s="859">
        <f>+D51-50</f>
        <v>450</v>
      </c>
      <c r="E50" s="858">
        <v>8.4928868270276237E-2</v>
      </c>
      <c r="F50" s="858">
        <v>8.8800933025945161E-2</v>
      </c>
      <c r="G50" s="858">
        <v>9.2632594129249402E-2</v>
      </c>
      <c r="H50" s="858">
        <v>9.6405464202966806E-2</v>
      </c>
      <c r="I50" s="858">
        <v>0.10013038093991122</v>
      </c>
      <c r="K50" s="1379"/>
      <c r="L50" s="863" t="s">
        <v>587</v>
      </c>
      <c r="M50" s="858">
        <v>9.6114674195101557E-2</v>
      </c>
      <c r="N50" s="858">
        <v>9.2687590444945567E-2</v>
      </c>
      <c r="O50" s="865">
        <v>8.9444669089781881E-2</v>
      </c>
      <c r="P50" s="858">
        <v>8.6357718116660598E-2</v>
      </c>
      <c r="Q50" s="858">
        <v>8.3443579862302553E-2</v>
      </c>
      <c r="R50" s="849"/>
    </row>
    <row r="51" spans="2:26" s="843" customFormat="1" ht="12" customHeight="1">
      <c r="B51" s="848"/>
      <c r="C51" s="1379"/>
      <c r="D51" s="866">
        <v>500</v>
      </c>
      <c r="E51" s="858">
        <v>8.190599974128987E-2</v>
      </c>
      <c r="F51" s="858">
        <v>8.569463440037417E-2</v>
      </c>
      <c r="G51" s="865">
        <v>8.9444669089781881E-2</v>
      </c>
      <c r="H51" s="858">
        <v>9.3135716897940979E-2</v>
      </c>
      <c r="I51" s="858">
        <v>9.678214920453998E-2</v>
      </c>
      <c r="K51" s="1379"/>
      <c r="L51" s="850">
        <v>0.05</v>
      </c>
      <c r="M51" s="858">
        <v>9.5274571093491689E-2</v>
      </c>
      <c r="N51" s="858">
        <v>9.1860830850536868E-2</v>
      </c>
      <c r="O51" s="858">
        <v>8.8620041813420425E-2</v>
      </c>
      <c r="P51" s="858">
        <v>8.5557651540047797E-2</v>
      </c>
      <c r="Q51" s="858">
        <v>8.2649018243333483E-2</v>
      </c>
      <c r="R51" s="849"/>
    </row>
    <row r="52" spans="2:26" s="843" customFormat="1" ht="12" customHeight="1">
      <c r="B52" s="848"/>
      <c r="C52" s="1379"/>
      <c r="D52" s="859">
        <f>+D51+50</f>
        <v>550</v>
      </c>
      <c r="E52" s="858">
        <v>7.9055050316376052E-2</v>
      </c>
      <c r="F52" s="858">
        <v>8.2750280488314898E-2</v>
      </c>
      <c r="G52" s="858">
        <v>8.6410635130685254E-2</v>
      </c>
      <c r="H52" s="858">
        <v>9.003695025315217E-2</v>
      </c>
      <c r="I52" s="858">
        <v>9.3606641189327267E-2</v>
      </c>
      <c r="K52" s="1380"/>
      <c r="L52" s="850">
        <v>0.1</v>
      </c>
      <c r="M52" s="858">
        <v>9.4429209183160223E-2</v>
      </c>
      <c r="N52" s="858">
        <v>9.102894349386359E-2</v>
      </c>
      <c r="O52" s="858">
        <v>8.7801866305114551E-2</v>
      </c>
      <c r="P52" s="858">
        <v>8.4752497084153777E-2</v>
      </c>
      <c r="Q52" s="858">
        <v>8.1855762921137165E-2</v>
      </c>
      <c r="R52" s="849"/>
    </row>
    <row r="53" spans="2:26" s="843" customFormat="1" ht="12" customHeight="1">
      <c r="B53" s="848"/>
      <c r="C53" s="1379"/>
      <c r="D53" s="859">
        <f>+D52+50</f>
        <v>600</v>
      </c>
      <c r="E53" s="858">
        <v>7.6353067679544306E-2</v>
      </c>
      <c r="F53" s="858">
        <v>7.9965525181427299E-2</v>
      </c>
      <c r="G53" s="858">
        <v>8.3546951507915246E-2</v>
      </c>
      <c r="H53" s="858">
        <v>8.7083308155732064E-2</v>
      </c>
      <c r="I53" s="858">
        <v>9.0592146833862852E-2</v>
      </c>
      <c r="R53" s="849"/>
    </row>
    <row r="54" spans="2:26" s="843" customFormat="1" ht="12" customHeight="1">
      <c r="B54" s="848"/>
      <c r="C54" s="1380"/>
      <c r="D54" s="859">
        <f>+D53+50</f>
        <v>650</v>
      </c>
      <c r="E54" s="858">
        <v>7.3783947192554766E-2</v>
      </c>
      <c r="F54" s="858">
        <v>7.7321559569005327E-2</v>
      </c>
      <c r="G54" s="858">
        <v>8.0820065716227019E-2</v>
      </c>
      <c r="H54" s="858">
        <v>8.4287843452017563E-2</v>
      </c>
      <c r="I54" s="858">
        <v>8.771475642288995E-2</v>
      </c>
      <c r="L54" s="852"/>
      <c r="M54" s="851"/>
      <c r="R54" s="849"/>
    </row>
    <row r="55" spans="2:26" s="843" customFormat="1" thickBot="1">
      <c r="B55" s="853"/>
      <c r="C55" s="854"/>
      <c r="D55" s="854"/>
      <c r="E55" s="855"/>
      <c r="F55" s="855"/>
      <c r="G55" s="855"/>
      <c r="H55" s="855"/>
      <c r="I55" s="855"/>
      <c r="J55" s="854"/>
      <c r="K55" s="854"/>
      <c r="L55" s="854"/>
      <c r="M55" s="855"/>
      <c r="N55" s="855"/>
      <c r="O55" s="855"/>
      <c r="P55" s="855"/>
      <c r="Q55" s="855"/>
      <c r="R55" s="856"/>
    </row>
    <row r="56" spans="2:26" ht="13.5" thickBot="1"/>
    <row r="57" spans="2:26" s="843" customFormat="1" ht="12">
      <c r="B57" s="845"/>
      <c r="C57" s="846"/>
      <c r="D57" s="846"/>
      <c r="E57" s="846"/>
      <c r="F57" s="846"/>
      <c r="G57" s="846"/>
      <c r="H57" s="846"/>
      <c r="I57" s="846"/>
      <c r="J57" s="846"/>
      <c r="K57" s="846"/>
      <c r="L57" s="846"/>
      <c r="M57" s="846"/>
      <c r="N57" s="846"/>
      <c r="O57" s="846"/>
      <c r="P57" s="846"/>
      <c r="Q57" s="846"/>
      <c r="R57" s="847"/>
    </row>
    <row r="58" spans="2:26" s="843" customFormat="1" ht="12">
      <c r="B58" s="848"/>
      <c r="C58" s="1376" t="s">
        <v>591</v>
      </c>
      <c r="D58" s="1376"/>
      <c r="E58" s="1376"/>
      <c r="F58" s="1376"/>
      <c r="R58" s="849"/>
    </row>
    <row r="59" spans="2:26" s="843" customFormat="1" ht="12">
      <c r="B59" s="848"/>
      <c r="E59" s="1377" t="s">
        <v>583</v>
      </c>
      <c r="F59" s="1377"/>
      <c r="G59" s="1377"/>
      <c r="H59" s="1377"/>
      <c r="I59" s="1377"/>
      <c r="M59" s="1377" t="s">
        <v>584</v>
      </c>
      <c r="N59" s="1377"/>
      <c r="O59" s="1377"/>
      <c r="P59" s="1377"/>
      <c r="Q59" s="1377"/>
      <c r="R59" s="849"/>
    </row>
    <row r="60" spans="2:26" s="843" customFormat="1" ht="12">
      <c r="B60" s="848"/>
      <c r="E60" s="859">
        <f>+F60-5</f>
        <v>179</v>
      </c>
      <c r="F60" s="859">
        <f>+G60-5</f>
        <v>184</v>
      </c>
      <c r="G60" s="863">
        <v>189</v>
      </c>
      <c r="H60" s="859">
        <f>+G60+5</f>
        <v>194</v>
      </c>
      <c r="I60" s="859">
        <f>+H60+5</f>
        <v>199</v>
      </c>
      <c r="M60" s="859">
        <f>+N60-50</f>
        <v>1000</v>
      </c>
      <c r="N60" s="859">
        <f>+O60-50</f>
        <v>1050</v>
      </c>
      <c r="O60" s="864">
        <v>1100</v>
      </c>
      <c r="P60" s="859">
        <f>+O60+50</f>
        <v>1150</v>
      </c>
      <c r="Q60" s="859">
        <f>+P60+50</f>
        <v>1200</v>
      </c>
      <c r="R60" s="849"/>
    </row>
    <row r="61" spans="2:26" s="843" customFormat="1" ht="12" customHeight="1">
      <c r="B61" s="848"/>
      <c r="C61" s="1378" t="s">
        <v>585</v>
      </c>
      <c r="D61" s="859">
        <f>+D62-50</f>
        <v>350</v>
      </c>
      <c r="E61" s="858">
        <v>8.9768021984765412E-2</v>
      </c>
      <c r="F61" s="858">
        <v>9.3796790862253676E-2</v>
      </c>
      <c r="G61" s="858">
        <v>9.7772036640658477E-2</v>
      </c>
      <c r="H61" s="858">
        <v>0.10171053405224928</v>
      </c>
      <c r="I61" s="858">
        <v>0.10557446229438994</v>
      </c>
      <c r="K61" s="1378" t="s">
        <v>586</v>
      </c>
      <c r="L61" s="850">
        <v>-0.1</v>
      </c>
      <c r="M61" s="858">
        <v>9.6016487865020483E-2</v>
      </c>
      <c r="N61" s="858">
        <v>9.2602870265311221E-2</v>
      </c>
      <c r="O61" s="858">
        <v>8.9362069863255789E-2</v>
      </c>
      <c r="P61" s="858">
        <v>8.6298084452521628E-2</v>
      </c>
      <c r="Q61" s="858">
        <v>8.3395416112091114E-2</v>
      </c>
      <c r="R61" s="849"/>
      <c r="Z61" s="851"/>
    </row>
    <row r="62" spans="2:26" s="843" customFormat="1" ht="12" customHeight="1">
      <c r="B62" s="848"/>
      <c r="C62" s="1379"/>
      <c r="D62" s="859">
        <f>+D63-50</f>
        <v>400</v>
      </c>
      <c r="E62" s="858">
        <v>8.6415161640585492E-2</v>
      </c>
      <c r="F62" s="858">
        <v>9.0363334330555212E-2</v>
      </c>
      <c r="G62" s="858">
        <v>9.4246910304452314E-2</v>
      </c>
      <c r="H62" s="858">
        <v>9.8081254562597531E-2</v>
      </c>
      <c r="I62" s="858">
        <v>0.10188271494816048</v>
      </c>
      <c r="K62" s="1379"/>
      <c r="L62" s="850">
        <v>-0.05</v>
      </c>
      <c r="M62" s="858">
        <v>9.5190218819799721E-2</v>
      </c>
      <c r="N62" s="858">
        <v>9.1789793522921714E-2</v>
      </c>
      <c r="O62" s="858">
        <v>8.8561657809864913E-2</v>
      </c>
      <c r="P62" s="858">
        <v>8.5511511353832503E-2</v>
      </c>
      <c r="Q62" s="858">
        <v>8.2613075451301476E-2</v>
      </c>
      <c r="R62" s="849"/>
    </row>
    <row r="63" spans="2:26" s="843" customFormat="1" ht="12" customHeight="1">
      <c r="B63" s="848"/>
      <c r="C63" s="1379"/>
      <c r="D63" s="859">
        <f>+D64-50</f>
        <v>450</v>
      </c>
      <c r="E63" s="858">
        <v>8.3264769872885891E-2</v>
      </c>
      <c r="F63" s="858">
        <v>8.7109601935020375E-2</v>
      </c>
      <c r="G63" s="858">
        <v>9.0917830968124891E-2</v>
      </c>
      <c r="H63" s="858">
        <v>9.4666499545086769E-2</v>
      </c>
      <c r="I63" s="858">
        <v>9.8369703384681095E-2</v>
      </c>
      <c r="K63" s="1379"/>
      <c r="L63" s="863" t="s">
        <v>587</v>
      </c>
      <c r="M63" s="858">
        <v>9.4359748982864922E-2</v>
      </c>
      <c r="N63" s="858">
        <v>9.0973086387650337E-2</v>
      </c>
      <c r="O63" s="865">
        <v>8.7757532229501001E-2</v>
      </c>
      <c r="P63" s="858">
        <v>8.4719937789053512E-2</v>
      </c>
      <c r="Q63" s="858">
        <v>8.183457858355947E-2</v>
      </c>
      <c r="R63" s="849"/>
    </row>
    <row r="64" spans="2:26" s="843" customFormat="1" ht="12" customHeight="1">
      <c r="B64" s="848"/>
      <c r="C64" s="1379"/>
      <c r="D64" s="866">
        <v>500</v>
      </c>
      <c r="E64" s="858">
        <v>8.0281549098814242E-2</v>
      </c>
      <c r="F64" s="858">
        <v>8.4043292241783307E-2</v>
      </c>
      <c r="G64" s="865">
        <v>8.7757532229501001E-2</v>
      </c>
      <c r="H64" s="858">
        <v>9.1435588923136857E-2</v>
      </c>
      <c r="I64" s="858">
        <v>9.5059250253778371E-2</v>
      </c>
      <c r="K64" s="1379"/>
      <c r="L64" s="850">
        <v>0.05</v>
      </c>
      <c r="M64" s="858">
        <v>9.3525246826066111E-2</v>
      </c>
      <c r="N64" s="858">
        <v>9.0151956964999336E-2</v>
      </c>
      <c r="O64" s="858">
        <v>8.6948277329636392E-2</v>
      </c>
      <c r="P64" s="858">
        <v>8.3923880676852303E-2</v>
      </c>
      <c r="Q64" s="858">
        <v>8.1051738966028131E-2</v>
      </c>
      <c r="R64" s="849"/>
    </row>
    <row r="65" spans="2:26" s="843" customFormat="1" ht="12" customHeight="1">
      <c r="B65" s="848"/>
      <c r="C65" s="1379"/>
      <c r="D65" s="859">
        <f>+D64+50</f>
        <v>550</v>
      </c>
      <c r="E65" s="858">
        <v>7.7466689676113365E-2</v>
      </c>
      <c r="F65" s="858">
        <v>8.1137200912549945E-2</v>
      </c>
      <c r="G65" s="858">
        <v>8.4773077715176282E-2</v>
      </c>
      <c r="H65" s="858">
        <v>8.8363501725577054E-2</v>
      </c>
      <c r="I65" s="858">
        <v>9.1921253323770324E-2</v>
      </c>
      <c r="K65" s="1380"/>
      <c r="L65" s="850">
        <v>0.1</v>
      </c>
      <c r="M65" s="858">
        <v>9.2685462860672363E-2</v>
      </c>
      <c r="N65" s="858">
        <v>8.932554866002107E-2</v>
      </c>
      <c r="O65" s="858">
        <v>8.6133775511939792E-2</v>
      </c>
      <c r="P65" s="858">
        <v>8.3124674984770719E-2</v>
      </c>
      <c r="Q65" s="858">
        <v>8.026395273326381E-2</v>
      </c>
      <c r="R65" s="849"/>
    </row>
    <row r="66" spans="2:26" s="843" customFormat="1" ht="12" customHeight="1">
      <c r="B66" s="848"/>
      <c r="C66" s="1379"/>
      <c r="D66" s="859">
        <f>+D65+50</f>
        <v>600</v>
      </c>
      <c r="E66" s="858">
        <v>7.4800873723270156E-2</v>
      </c>
      <c r="F66" s="858">
        <v>7.8387940913167364E-2</v>
      </c>
      <c r="G66" s="858">
        <v>8.1938544051379125E-2</v>
      </c>
      <c r="H66" s="858">
        <v>8.545694634548906E-2</v>
      </c>
      <c r="I66" s="858">
        <v>8.8931694932799621E-2</v>
      </c>
      <c r="R66" s="849"/>
    </row>
    <row r="67" spans="2:26" s="843" customFormat="1" ht="12" customHeight="1">
      <c r="B67" s="848"/>
      <c r="C67" s="1380"/>
      <c r="D67" s="859">
        <f>+D66+50</f>
        <v>650</v>
      </c>
      <c r="E67" s="858">
        <v>7.226366805435025E-2</v>
      </c>
      <c r="F67" s="858">
        <v>7.5786370841238293E-2</v>
      </c>
      <c r="G67" s="858">
        <v>7.9256656777309864E-2</v>
      </c>
      <c r="H67" s="858">
        <v>8.2691415526292777E-2</v>
      </c>
      <c r="I67" s="858">
        <v>8.6098833794875818E-2</v>
      </c>
      <c r="L67" s="852"/>
      <c r="M67" s="851"/>
      <c r="R67" s="849"/>
    </row>
    <row r="68" spans="2:26" s="843" customFormat="1" thickBot="1">
      <c r="B68" s="853"/>
      <c r="C68" s="854"/>
      <c r="D68" s="854"/>
      <c r="E68" s="855"/>
      <c r="F68" s="855"/>
      <c r="G68" s="855"/>
      <c r="H68" s="855"/>
      <c r="I68" s="855"/>
      <c r="J68" s="854"/>
      <c r="K68" s="854"/>
      <c r="L68" s="854"/>
      <c r="M68" s="855"/>
      <c r="N68" s="855"/>
      <c r="O68" s="855"/>
      <c r="P68" s="855"/>
      <c r="Q68" s="855"/>
      <c r="R68" s="856"/>
    </row>
    <row r="69" spans="2:26" ht="13.5" thickBot="1"/>
    <row r="70" spans="2:26" s="843" customFormat="1" ht="12">
      <c r="B70" s="845"/>
      <c r="C70" s="846"/>
      <c r="D70" s="846"/>
      <c r="E70" s="846"/>
      <c r="F70" s="846"/>
      <c r="G70" s="846"/>
      <c r="H70" s="846"/>
      <c r="I70" s="846"/>
      <c r="J70" s="846"/>
      <c r="K70" s="846"/>
      <c r="L70" s="846"/>
      <c r="M70" s="846"/>
      <c r="N70" s="846"/>
      <c r="O70" s="846"/>
      <c r="P70" s="846"/>
      <c r="Q70" s="846"/>
      <c r="R70" s="847"/>
    </row>
    <row r="71" spans="2:26" s="843" customFormat="1" ht="12">
      <c r="B71" s="848"/>
      <c r="C71" s="1376" t="s">
        <v>592</v>
      </c>
      <c r="D71" s="1376"/>
      <c r="E71" s="1376"/>
      <c r="F71" s="1376"/>
      <c r="R71" s="849"/>
    </row>
    <row r="72" spans="2:26" s="843" customFormat="1" ht="12">
      <c r="B72" s="848"/>
      <c r="E72" s="1377" t="s">
        <v>583</v>
      </c>
      <c r="F72" s="1377"/>
      <c r="G72" s="1377"/>
      <c r="H72" s="1377"/>
      <c r="I72" s="1377"/>
      <c r="M72" s="1377" t="s">
        <v>584</v>
      </c>
      <c r="N72" s="1377"/>
      <c r="O72" s="1377"/>
      <c r="P72" s="1377"/>
      <c r="Q72" s="1377"/>
      <c r="R72" s="849"/>
    </row>
    <row r="73" spans="2:26" s="843" customFormat="1" ht="12">
      <c r="B73" s="848"/>
      <c r="E73" s="859">
        <f>+F73-5</f>
        <v>179</v>
      </c>
      <c r="F73" s="859">
        <f>+G73-5</f>
        <v>184</v>
      </c>
      <c r="G73" s="863">
        <v>189</v>
      </c>
      <c r="H73" s="859">
        <f>+G73+5</f>
        <v>194</v>
      </c>
      <c r="I73" s="859">
        <f>+H73+5</f>
        <v>199</v>
      </c>
      <c r="M73" s="859">
        <f>+N73-50</f>
        <v>1000</v>
      </c>
      <c r="N73" s="859">
        <f>+O73-50</f>
        <v>1050</v>
      </c>
      <c r="O73" s="864">
        <v>1100</v>
      </c>
      <c r="P73" s="859">
        <f>+O73+50</f>
        <v>1150</v>
      </c>
      <c r="Q73" s="859">
        <f>+P73+50</f>
        <v>1200</v>
      </c>
      <c r="R73" s="849"/>
    </row>
    <row r="74" spans="2:26" s="843" customFormat="1" ht="12" customHeight="1">
      <c r="B74" s="848"/>
      <c r="C74" s="1378" t="s">
        <v>585</v>
      </c>
      <c r="D74" s="859">
        <f>+D75-50</f>
        <v>350</v>
      </c>
      <c r="E74" s="858">
        <v>0.1020779311707789</v>
      </c>
      <c r="F74" s="858">
        <v>0.10627516609248722</v>
      </c>
      <c r="G74" s="858">
        <v>0.11041454490549873</v>
      </c>
      <c r="H74" s="858">
        <v>0.11449842433032598</v>
      </c>
      <c r="I74" s="858">
        <v>0.11853103589289438</v>
      </c>
      <c r="K74" s="1378" t="s">
        <v>586</v>
      </c>
      <c r="L74" s="850">
        <v>-0.1</v>
      </c>
      <c r="M74" s="858">
        <v>0.10808877081218315</v>
      </c>
      <c r="N74" s="858">
        <v>0.10443112997848947</v>
      </c>
      <c r="O74" s="858">
        <v>0.10094824544233316</v>
      </c>
      <c r="P74" s="858">
        <v>9.765591435305887E-2</v>
      </c>
      <c r="Q74" s="858">
        <v>9.4527395428025462E-2</v>
      </c>
      <c r="R74" s="849"/>
      <c r="Z74" s="851"/>
    </row>
    <row r="75" spans="2:26" s="843" customFormat="1" ht="12" customHeight="1">
      <c r="B75" s="848"/>
      <c r="C75" s="1379"/>
      <c r="D75" s="859">
        <f>+D76-50</f>
        <v>400</v>
      </c>
      <c r="E75" s="858">
        <v>9.8452646098760033E-2</v>
      </c>
      <c r="F75" s="858">
        <v>0.10257965033117245</v>
      </c>
      <c r="G75" s="858">
        <v>0.1066285171453536</v>
      </c>
      <c r="H75" s="858">
        <v>0.11062333969123905</v>
      </c>
      <c r="I75" s="858">
        <v>0.11456694345838025</v>
      </c>
      <c r="K75" s="1379"/>
      <c r="L75" s="850">
        <v>-0.05</v>
      </c>
      <c r="M75" s="858">
        <v>0.10741377032995114</v>
      </c>
      <c r="N75" s="858">
        <v>0.10376709191697775</v>
      </c>
      <c r="O75" s="858">
        <v>0.10029270904262066</v>
      </c>
      <c r="P75" s="858">
        <v>9.7010427432027591E-2</v>
      </c>
      <c r="Q75" s="858">
        <v>9.3891596084122231E-2</v>
      </c>
      <c r="R75" s="849"/>
    </row>
    <row r="76" spans="2:26" s="843" customFormat="1" ht="12" customHeight="1">
      <c r="B76" s="848"/>
      <c r="C76" s="1379"/>
      <c r="D76" s="859">
        <f>+D77-50</f>
        <v>450</v>
      </c>
      <c r="E76" s="858">
        <v>9.5041665868768499E-2</v>
      </c>
      <c r="F76" s="858">
        <v>9.9063143584229296E-2</v>
      </c>
      <c r="G76" s="858">
        <v>0.1030475088179772</v>
      </c>
      <c r="H76" s="858">
        <v>0.10695824255105202</v>
      </c>
      <c r="I76" s="858">
        <v>0.11081829132184229</v>
      </c>
      <c r="K76" s="1379"/>
      <c r="L76" s="863" t="s">
        <v>587</v>
      </c>
      <c r="M76" s="858">
        <v>0.10673576424356979</v>
      </c>
      <c r="N76" s="858">
        <v>0.10310004337767897</v>
      </c>
      <c r="O76" s="865">
        <v>9.9634165389209883E-2</v>
      </c>
      <c r="P76" s="858">
        <v>9.6361931081736296E-2</v>
      </c>
      <c r="Q76" s="858">
        <v>9.3252788083172167E-2</v>
      </c>
      <c r="R76" s="849"/>
    </row>
    <row r="77" spans="2:26" s="843" customFormat="1" ht="12" customHeight="1">
      <c r="B77" s="848"/>
      <c r="C77" s="1379"/>
      <c r="D77" s="866">
        <v>500</v>
      </c>
      <c r="E77" s="858">
        <v>9.181415838793705E-2</v>
      </c>
      <c r="F77" s="858">
        <v>9.5749843907616317E-2</v>
      </c>
      <c r="G77" s="865">
        <v>9.9634165389209883E-2</v>
      </c>
      <c r="H77" s="858">
        <v>0.10348483194812941</v>
      </c>
      <c r="I77" s="858">
        <v>0.10726663890042443</v>
      </c>
      <c r="K77" s="1379"/>
      <c r="L77" s="850">
        <v>0.05</v>
      </c>
      <c r="M77" s="858">
        <v>0.10605470127690353</v>
      </c>
      <c r="N77" s="858">
        <v>0.10242993284949597</v>
      </c>
      <c r="O77" s="858">
        <v>9.8973224308255725E-2</v>
      </c>
      <c r="P77" s="858">
        <v>9.5710373407785543E-2</v>
      </c>
      <c r="Q77" s="858">
        <v>9.2610919437840167E-2</v>
      </c>
      <c r="R77" s="849"/>
    </row>
    <row r="78" spans="2:26" s="843" customFormat="1" ht="12" customHeight="1">
      <c r="B78" s="848"/>
      <c r="C78" s="1379"/>
      <c r="D78" s="859">
        <f>+D77+50</f>
        <v>550</v>
      </c>
      <c r="E78" s="858">
        <v>8.8744971137741713E-2</v>
      </c>
      <c r="F78" s="858">
        <v>9.2608150795406186E-2</v>
      </c>
      <c r="G78" s="858">
        <v>9.6412608828288393E-2</v>
      </c>
      <c r="H78" s="858">
        <v>0.10016930229062271</v>
      </c>
      <c r="I78" s="858">
        <v>0.10389452226050433</v>
      </c>
      <c r="K78" s="1380"/>
      <c r="L78" s="850">
        <v>0.1</v>
      </c>
      <c r="M78" s="858">
        <v>0.1053705287963751</v>
      </c>
      <c r="N78" s="858">
        <v>0.10175670745516707</v>
      </c>
      <c r="O78" s="858">
        <v>9.8309927955567034E-2</v>
      </c>
      <c r="P78" s="858">
        <v>9.5055701133842874E-2</v>
      </c>
      <c r="Q78" s="858">
        <v>9.1965936773910517E-2</v>
      </c>
      <c r="R78" s="849"/>
    </row>
    <row r="79" spans="2:26" s="843" customFormat="1" ht="12" customHeight="1">
      <c r="B79" s="848"/>
      <c r="C79" s="1379"/>
      <c r="D79" s="859">
        <f>+D78+50</f>
        <v>600</v>
      </c>
      <c r="E79" s="858">
        <v>8.5841086221903007E-2</v>
      </c>
      <c r="F79" s="858">
        <v>8.9615277956911488E-2</v>
      </c>
      <c r="G79" s="858">
        <v>9.3352215805992733E-2</v>
      </c>
      <c r="H79" s="858">
        <v>9.7034035990215761E-2</v>
      </c>
      <c r="I79" s="858">
        <v>0.10067138528089559</v>
      </c>
      <c r="R79" s="849"/>
    </row>
    <row r="80" spans="2:26" s="843" customFormat="1" ht="12" customHeight="1">
      <c r="B80" s="848"/>
      <c r="C80" s="1380"/>
      <c r="D80" s="859">
        <f>+D79+50</f>
        <v>650</v>
      </c>
      <c r="E80" s="858">
        <v>8.3077761464166899E-2</v>
      </c>
      <c r="F80" s="858">
        <v>8.6777124557889884E-2</v>
      </c>
      <c r="G80" s="858">
        <v>9.0442484967089509E-2</v>
      </c>
      <c r="H80" s="858">
        <v>9.4050840165575522E-2</v>
      </c>
      <c r="I80" s="858">
        <v>9.7617895323420578E-2</v>
      </c>
      <c r="L80" s="852"/>
      <c r="M80" s="851"/>
      <c r="R80" s="849"/>
    </row>
    <row r="81" spans="2:26" s="843" customFormat="1" thickBot="1">
      <c r="B81" s="853"/>
      <c r="C81" s="854"/>
      <c r="D81" s="854"/>
      <c r="E81" s="855"/>
      <c r="F81" s="855"/>
      <c r="G81" s="855"/>
      <c r="H81" s="855"/>
      <c r="I81" s="855"/>
      <c r="J81" s="854"/>
      <c r="K81" s="854"/>
      <c r="L81" s="854"/>
      <c r="M81" s="855"/>
      <c r="N81" s="855"/>
      <c r="O81" s="855"/>
      <c r="P81" s="855"/>
      <c r="Q81" s="855"/>
      <c r="R81" s="856"/>
    </row>
    <row r="82" spans="2:26" ht="13.5" thickBot="1"/>
    <row r="83" spans="2:26" s="843" customFormat="1" ht="12">
      <c r="B83" s="845"/>
      <c r="C83" s="846"/>
      <c r="D83" s="846"/>
      <c r="E83" s="846"/>
      <c r="F83" s="846"/>
      <c r="G83" s="846"/>
      <c r="H83" s="846"/>
      <c r="I83" s="846"/>
      <c r="J83" s="846"/>
      <c r="K83" s="846"/>
      <c r="L83" s="846"/>
      <c r="M83" s="846"/>
      <c r="N83" s="846"/>
      <c r="O83" s="846"/>
      <c r="P83" s="846"/>
      <c r="Q83" s="846"/>
      <c r="R83" s="847"/>
    </row>
    <row r="84" spans="2:26" s="843" customFormat="1" ht="12">
      <c r="B84" s="848"/>
      <c r="C84" s="1376" t="s">
        <v>593</v>
      </c>
      <c r="D84" s="1376"/>
      <c r="E84" s="1376"/>
      <c r="F84" s="1376"/>
      <c r="R84" s="849"/>
    </row>
    <row r="85" spans="2:26" s="843" customFormat="1" ht="12">
      <c r="B85" s="848"/>
      <c r="E85" s="1377" t="s">
        <v>583</v>
      </c>
      <c r="F85" s="1377"/>
      <c r="G85" s="1377"/>
      <c r="H85" s="1377"/>
      <c r="I85" s="1377"/>
      <c r="M85" s="1377" t="s">
        <v>584</v>
      </c>
      <c r="N85" s="1377"/>
      <c r="O85" s="1377"/>
      <c r="P85" s="1377"/>
      <c r="Q85" s="1377"/>
      <c r="R85" s="849"/>
    </row>
    <row r="86" spans="2:26" s="843" customFormat="1" ht="12">
      <c r="B86" s="848"/>
      <c r="E86" s="859">
        <f>+F86-5</f>
        <v>179</v>
      </c>
      <c r="F86" s="859">
        <f>+G86-5</f>
        <v>184</v>
      </c>
      <c r="G86" s="863">
        <v>189</v>
      </c>
      <c r="H86" s="859">
        <f>+G86+5</f>
        <v>194</v>
      </c>
      <c r="I86" s="859">
        <f>+H86+5</f>
        <v>199</v>
      </c>
      <c r="M86" s="859">
        <f>+N86-50</f>
        <v>1000</v>
      </c>
      <c r="N86" s="859">
        <f>+O86-50</f>
        <v>1050</v>
      </c>
      <c r="O86" s="864">
        <v>1100</v>
      </c>
      <c r="P86" s="859">
        <f>+O86+50</f>
        <v>1150</v>
      </c>
      <c r="Q86" s="859">
        <f>+P86+50</f>
        <v>1200</v>
      </c>
      <c r="R86" s="849"/>
    </row>
    <row r="87" spans="2:26" s="843" customFormat="1" ht="12" customHeight="1">
      <c r="B87" s="848"/>
      <c r="C87" s="1378" t="s">
        <v>585</v>
      </c>
      <c r="D87" s="859">
        <f>+D88-50</f>
        <v>350</v>
      </c>
      <c r="E87" s="858">
        <v>8.8578811224648168E-2</v>
      </c>
      <c r="F87" s="858">
        <v>9.2606056022958461E-2</v>
      </c>
      <c r="G87" s="858">
        <v>9.656903375945558E-2</v>
      </c>
      <c r="H87" s="858">
        <v>0.10047881695226324</v>
      </c>
      <c r="I87" s="858">
        <v>0.10434748342196509</v>
      </c>
      <c r="K87" s="1378" t="s">
        <v>586</v>
      </c>
      <c r="L87" s="850">
        <v>-0.1</v>
      </c>
      <c r="M87" s="858">
        <v>9.4895807806747889E-2</v>
      </c>
      <c r="N87" s="858">
        <v>9.1504724719589481E-2</v>
      </c>
      <c r="O87" s="858">
        <v>8.8285210012222892E-2</v>
      </c>
      <c r="P87" s="858">
        <v>8.5243290636874969E-2</v>
      </c>
      <c r="Q87" s="858">
        <v>8.2352629070095107E-2</v>
      </c>
      <c r="R87" s="849"/>
      <c r="Z87" s="851"/>
    </row>
    <row r="88" spans="2:26" s="843" customFormat="1" ht="12" customHeight="1">
      <c r="B88" s="848"/>
      <c r="C88" s="1379"/>
      <c r="D88" s="859">
        <f>+D89-50</f>
        <v>400</v>
      </c>
      <c r="E88" s="858">
        <v>8.5261441557675788E-2</v>
      </c>
      <c r="F88" s="858">
        <v>8.9196893074284356E-2</v>
      </c>
      <c r="G88" s="858">
        <v>9.3068526236403493E-2</v>
      </c>
      <c r="H88" s="858">
        <v>9.689050464256832E-2</v>
      </c>
      <c r="I88" s="858">
        <v>0.10066325594922421</v>
      </c>
      <c r="K88" s="1379"/>
      <c r="L88" s="850">
        <v>-0.05</v>
      </c>
      <c r="M88" s="858">
        <v>9.404166755724841E-2</v>
      </c>
      <c r="N88" s="858">
        <v>9.0664391021738178E-2</v>
      </c>
      <c r="O88" s="858">
        <v>8.7457087801272371E-2</v>
      </c>
      <c r="P88" s="858">
        <v>8.4428097619652753E-2</v>
      </c>
      <c r="Q88" s="858">
        <v>8.1551637442852432E-2</v>
      </c>
      <c r="R88" s="849"/>
    </row>
    <row r="89" spans="2:26" s="843" customFormat="1" ht="12" customHeight="1">
      <c r="B89" s="848"/>
      <c r="C89" s="1379"/>
      <c r="D89" s="859">
        <f>+D90-50</f>
        <v>450</v>
      </c>
      <c r="E89" s="858">
        <v>8.2128194986855751E-2</v>
      </c>
      <c r="F89" s="858">
        <v>8.5965324101911378E-2</v>
      </c>
      <c r="G89" s="858">
        <v>8.9762963723305278E-2</v>
      </c>
      <c r="H89" s="858">
        <v>9.3499559954388189E-2</v>
      </c>
      <c r="I89" s="858">
        <v>9.719034056842446E-2</v>
      </c>
      <c r="K89" s="1379"/>
      <c r="L89" s="863" t="s">
        <v>587</v>
      </c>
      <c r="M89" s="858">
        <v>9.3182076943225445E-2</v>
      </c>
      <c r="N89" s="858">
        <v>8.981857219443623E-2</v>
      </c>
      <c r="O89" s="865">
        <v>8.662351446148997E-2</v>
      </c>
      <c r="P89" s="858">
        <v>8.3609606042998497E-2</v>
      </c>
      <c r="Q89" s="858">
        <v>8.0745305066978634E-2</v>
      </c>
      <c r="R89" s="849"/>
    </row>
    <row r="90" spans="2:26" s="843" customFormat="1" ht="12" customHeight="1">
      <c r="B90" s="848"/>
      <c r="C90" s="1379"/>
      <c r="D90" s="866">
        <v>500</v>
      </c>
      <c r="E90" s="858">
        <v>7.9177792208480646E-2</v>
      </c>
      <c r="F90" s="858">
        <v>8.2925193118881246E-2</v>
      </c>
      <c r="G90" s="865">
        <v>8.662351446148997E-2</v>
      </c>
      <c r="H90" s="858">
        <v>9.0291442699048874E-2</v>
      </c>
      <c r="I90" s="858">
        <v>9.3902266895706799E-2</v>
      </c>
      <c r="K90" s="1379"/>
      <c r="L90" s="850">
        <v>0.05</v>
      </c>
      <c r="M90" s="858">
        <v>9.2316868698506971E-2</v>
      </c>
      <c r="N90" s="858">
        <v>8.8957400889854377E-2</v>
      </c>
      <c r="O90" s="858">
        <v>8.5785433032353087E-2</v>
      </c>
      <c r="P90" s="858">
        <v>8.2786220830161961E-2</v>
      </c>
      <c r="Q90" s="858">
        <v>7.993540480000294E-2</v>
      </c>
      <c r="R90" s="849"/>
    </row>
    <row r="91" spans="2:26" s="843" customFormat="1" ht="12" customHeight="1">
      <c r="B91" s="848"/>
      <c r="C91" s="1379"/>
      <c r="D91" s="859">
        <f>+D90+50</f>
        <v>550</v>
      </c>
      <c r="E91" s="858">
        <v>7.6386508150756871E-2</v>
      </c>
      <c r="F91" s="858">
        <v>8.0040740456376769E-2</v>
      </c>
      <c r="G91" s="858">
        <v>8.3662883528014653E-2</v>
      </c>
      <c r="H91" s="858">
        <v>8.7239528073965733E-2</v>
      </c>
      <c r="I91" s="858">
        <v>9.0785970590481213E-2</v>
      </c>
      <c r="K91" s="1380"/>
      <c r="L91" s="850">
        <v>0.1</v>
      </c>
      <c r="M91" s="858">
        <v>9.1445909193438313E-2</v>
      </c>
      <c r="N91" s="858">
        <v>8.8099609346695695E-2</v>
      </c>
      <c r="O91" s="858">
        <v>8.4943229812784349E-2</v>
      </c>
      <c r="P91" s="858">
        <v>8.1949644458143789E-2</v>
      </c>
      <c r="Q91" s="858">
        <v>7.91211591162988E-2</v>
      </c>
      <c r="R91" s="849"/>
    </row>
    <row r="92" spans="2:26" s="843" customFormat="1" ht="12" customHeight="1">
      <c r="B92" s="848"/>
      <c r="C92" s="1379"/>
      <c r="D92" s="859">
        <f>+D91+50</f>
        <v>600</v>
      </c>
      <c r="E92" s="858">
        <v>7.3737611286761373E-2</v>
      </c>
      <c r="F92" s="858">
        <v>7.7313800178739234E-2</v>
      </c>
      <c r="G92" s="858">
        <v>8.084993537023788E-2</v>
      </c>
      <c r="H92" s="858">
        <v>8.4354266865925176E-2</v>
      </c>
      <c r="I92" s="858">
        <v>8.7816833723036503E-2</v>
      </c>
      <c r="R92" s="849"/>
    </row>
    <row r="93" spans="2:26" s="843" customFormat="1" ht="12" customHeight="1">
      <c r="B93" s="848"/>
      <c r="C93" s="1380"/>
      <c r="D93" s="859">
        <f>+D92+50</f>
        <v>650</v>
      </c>
      <c r="E93" s="858">
        <v>7.1218224872547475E-2</v>
      </c>
      <c r="F93" s="858">
        <v>7.4727591059078113E-2</v>
      </c>
      <c r="G93" s="858">
        <v>7.8186155670542323E-2</v>
      </c>
      <c r="H93" s="858">
        <v>8.1610381286661093E-2</v>
      </c>
      <c r="I93" s="858">
        <v>8.5004917529175605E-2</v>
      </c>
      <c r="L93" s="852"/>
      <c r="M93" s="851"/>
      <c r="R93" s="849"/>
    </row>
    <row r="94" spans="2:26" s="843" customFormat="1" thickBot="1">
      <c r="B94" s="853"/>
      <c r="C94" s="854"/>
      <c r="D94" s="854"/>
      <c r="E94" s="855"/>
      <c r="F94" s="855"/>
      <c r="G94" s="855"/>
      <c r="H94" s="855"/>
      <c r="I94" s="855"/>
      <c r="J94" s="854"/>
      <c r="K94" s="854"/>
      <c r="L94" s="854"/>
      <c r="M94" s="855"/>
      <c r="N94" s="855"/>
      <c r="O94" s="855"/>
      <c r="P94" s="855"/>
      <c r="Q94" s="855"/>
      <c r="R94" s="856"/>
    </row>
    <row r="95" spans="2:26" ht="13.5" thickBot="1"/>
    <row r="96" spans="2:26" s="843" customFormat="1" ht="12">
      <c r="B96" s="845"/>
      <c r="C96" s="846"/>
      <c r="D96" s="846"/>
      <c r="E96" s="846"/>
      <c r="F96" s="846"/>
      <c r="G96" s="846"/>
      <c r="H96" s="846"/>
      <c r="I96" s="846"/>
      <c r="J96" s="846"/>
      <c r="K96" s="846"/>
      <c r="L96" s="846"/>
      <c r="M96" s="846"/>
      <c r="N96" s="846"/>
      <c r="O96" s="846"/>
      <c r="P96" s="846"/>
      <c r="Q96" s="846"/>
      <c r="R96" s="847"/>
    </row>
    <row r="97" spans="2:26" s="843" customFormat="1" ht="12">
      <c r="B97" s="848"/>
      <c r="C97" s="1376" t="s">
        <v>594</v>
      </c>
      <c r="D97" s="1376"/>
      <c r="E97" s="1376"/>
      <c r="F97" s="1376"/>
      <c r="R97" s="849"/>
    </row>
    <row r="98" spans="2:26" s="843" customFormat="1" ht="12">
      <c r="B98" s="848"/>
      <c r="E98" s="1377" t="s">
        <v>583</v>
      </c>
      <c r="F98" s="1377"/>
      <c r="G98" s="1377"/>
      <c r="H98" s="1377"/>
      <c r="I98" s="1377"/>
      <c r="M98" s="1377" t="s">
        <v>584</v>
      </c>
      <c r="N98" s="1377"/>
      <c r="O98" s="1377"/>
      <c r="P98" s="1377"/>
      <c r="Q98" s="1377"/>
      <c r="R98" s="849"/>
    </row>
    <row r="99" spans="2:26" s="843" customFormat="1" ht="12">
      <c r="B99" s="848"/>
      <c r="E99" s="859">
        <f>+F99-5</f>
        <v>179</v>
      </c>
      <c r="F99" s="859">
        <f>+G99-5</f>
        <v>184</v>
      </c>
      <c r="G99" s="863">
        <v>189</v>
      </c>
      <c r="H99" s="859">
        <f>+G99+5</f>
        <v>194</v>
      </c>
      <c r="I99" s="859">
        <f>+H99+5</f>
        <v>199</v>
      </c>
      <c r="M99" s="859">
        <f>+N99-50</f>
        <v>1000</v>
      </c>
      <c r="N99" s="859">
        <f>+O99-50</f>
        <v>1050</v>
      </c>
      <c r="O99" s="864">
        <v>1100</v>
      </c>
      <c r="P99" s="859">
        <f>+O99+50</f>
        <v>1150</v>
      </c>
      <c r="Q99" s="859">
        <f>+P99+50</f>
        <v>1200</v>
      </c>
      <c r="R99" s="849"/>
    </row>
    <row r="100" spans="2:26" s="843" customFormat="1" ht="12" customHeight="1">
      <c r="B100" s="848"/>
      <c r="C100" s="1378" t="s">
        <v>585</v>
      </c>
      <c r="D100" s="859">
        <f>+D101-50</f>
        <v>350</v>
      </c>
      <c r="E100" s="858">
        <v>8.9759499019164357E-2</v>
      </c>
      <c r="F100" s="858">
        <v>9.3789306478695433E-2</v>
      </c>
      <c r="G100" s="858">
        <v>9.7765376123108538E-2</v>
      </c>
      <c r="H100" s="858">
        <v>0.10170434946695983</v>
      </c>
      <c r="I100" s="858">
        <v>0.1055687075517564</v>
      </c>
      <c r="K100" s="1378" t="s">
        <v>586</v>
      </c>
      <c r="L100" s="850">
        <v>-0.1</v>
      </c>
      <c r="M100" s="858">
        <v>9.6060002244599652E-2</v>
      </c>
      <c r="N100" s="858">
        <v>9.2642730747808599E-2</v>
      </c>
      <c r="O100" s="858">
        <v>8.9398725010993996E-2</v>
      </c>
      <c r="P100" s="858">
        <v>8.6331061367562079E-2</v>
      </c>
      <c r="Q100" s="858">
        <v>8.3425296366261836E-2</v>
      </c>
      <c r="R100" s="849"/>
      <c r="Z100" s="851"/>
    </row>
    <row r="101" spans="2:26" s="843" customFormat="1" ht="12" customHeight="1">
      <c r="B101" s="848"/>
      <c r="C101" s="1379"/>
      <c r="D101" s="859">
        <f>+D102-50</f>
        <v>400</v>
      </c>
      <c r="E101" s="858">
        <v>8.6403711890189028E-2</v>
      </c>
      <c r="F101" s="858">
        <v>9.0352793154233835E-2</v>
      </c>
      <c r="G101" s="858">
        <v>9.4237258075641206E-2</v>
      </c>
      <c r="H101" s="858">
        <v>9.8072299708071187E-2</v>
      </c>
      <c r="I101" s="858">
        <v>0.10187413829307412</v>
      </c>
      <c r="K101" s="1379"/>
      <c r="L101" s="850">
        <v>-0.05</v>
      </c>
      <c r="M101" s="858">
        <v>9.5207492798153215E-2</v>
      </c>
      <c r="N101" s="858">
        <v>9.1803816144818029E-2</v>
      </c>
      <c r="O101" s="858">
        <v>8.8572502747365167E-2</v>
      </c>
      <c r="P101" s="858">
        <v>8.5519456874174171E-2</v>
      </c>
      <c r="Q101" s="858">
        <v>8.2618526291391436E-2</v>
      </c>
      <c r="R101" s="849"/>
    </row>
    <row r="102" spans="2:26" s="843" customFormat="1" ht="12" customHeight="1">
      <c r="B102" s="848"/>
      <c r="C102" s="1379"/>
      <c r="D102" s="859">
        <f>+D103-50</f>
        <v>450</v>
      </c>
      <c r="E102" s="858">
        <v>8.3250121367607566E-2</v>
      </c>
      <c r="F102" s="858">
        <v>8.7096386339765131E-2</v>
      </c>
      <c r="G102" s="858">
        <v>9.0905378328669295E-2</v>
      </c>
      <c r="H102" s="858">
        <v>9.4654822744430378E-2</v>
      </c>
      <c r="I102" s="858">
        <v>9.8358594518809461E-2</v>
      </c>
      <c r="K102" s="1379"/>
      <c r="L102" s="863" t="s">
        <v>587</v>
      </c>
      <c r="M102" s="858">
        <v>9.4350194869700088E-2</v>
      </c>
      <c r="N102" s="858">
        <v>9.0960682938932225E-2</v>
      </c>
      <c r="O102" s="865">
        <v>8.774263150751338E-2</v>
      </c>
      <c r="P102" s="858">
        <v>8.4702521534530728E-2</v>
      </c>
      <c r="Q102" s="858">
        <v>8.1814773464909507E-2</v>
      </c>
      <c r="R102" s="849"/>
    </row>
    <row r="103" spans="2:26" s="843" customFormat="1" ht="12" customHeight="1">
      <c r="B103" s="848"/>
      <c r="C103" s="1379"/>
      <c r="D103" s="866">
        <v>500</v>
      </c>
      <c r="E103" s="858">
        <v>8.026414735959353E-2</v>
      </c>
      <c r="F103" s="858">
        <v>8.4027135905289985E-2</v>
      </c>
      <c r="G103" s="865">
        <v>8.774263150751338E-2</v>
      </c>
      <c r="H103" s="858">
        <v>9.1421352524564847E-2</v>
      </c>
      <c r="I103" s="858">
        <v>9.5045850524549946E-2</v>
      </c>
      <c r="K103" s="1379"/>
      <c r="L103" s="850">
        <v>0.05</v>
      </c>
      <c r="M103" s="858">
        <v>9.348883682589948E-2</v>
      </c>
      <c r="N103" s="858">
        <v>9.011310532400385E-2</v>
      </c>
      <c r="O103" s="858">
        <v>8.6907288260127835E-2</v>
      </c>
      <c r="P103" s="858">
        <v>8.3880604670127701E-2</v>
      </c>
      <c r="Q103" s="858">
        <v>8.1006655560582397E-2</v>
      </c>
      <c r="R103" s="849"/>
    </row>
    <row r="104" spans="2:26" s="843" customFormat="1" ht="12" customHeight="1">
      <c r="B104" s="848"/>
      <c r="C104" s="1379"/>
      <c r="D104" s="859">
        <f>+D103+50</f>
        <v>550</v>
      </c>
      <c r="E104" s="858">
        <v>7.7447006952959807E-2</v>
      </c>
      <c r="F104" s="858">
        <v>8.111875746077768E-2</v>
      </c>
      <c r="G104" s="858">
        <v>8.4755710949812046E-2</v>
      </c>
      <c r="H104" s="858">
        <v>8.8346992539746205E-2</v>
      </c>
      <c r="I104" s="858">
        <v>9.1905491774730619E-2</v>
      </c>
      <c r="K104" s="1380"/>
      <c r="L104" s="850">
        <v>0.1</v>
      </c>
      <c r="M104" s="858">
        <v>9.2621840485696882E-2</v>
      </c>
      <c r="N104" s="858">
        <v>8.9259892243756189E-2</v>
      </c>
      <c r="O104" s="858">
        <v>8.6066343322009242E-2</v>
      </c>
      <c r="P104" s="858">
        <v>8.305542873046412E-2</v>
      </c>
      <c r="Q104" s="858">
        <v>8.0193212513357981E-2</v>
      </c>
      <c r="R104" s="849"/>
    </row>
    <row r="105" spans="2:26" s="843" customFormat="1" ht="12" customHeight="1">
      <c r="B105" s="848"/>
      <c r="C105" s="1379"/>
      <c r="D105" s="859">
        <f>+D104+50</f>
        <v>600</v>
      </c>
      <c r="E105" s="858">
        <v>7.4779082915953143E-2</v>
      </c>
      <c r="F105" s="858">
        <v>7.8367168423268296E-2</v>
      </c>
      <c r="G105" s="858">
        <v>8.1918838017450923E-2</v>
      </c>
      <c r="H105" s="858">
        <v>8.5438166754547185E-2</v>
      </c>
      <c r="I105" s="858">
        <v>8.8913868517392247E-2</v>
      </c>
      <c r="R105" s="849"/>
    </row>
    <row r="106" spans="2:26" s="843" customFormat="1" ht="12" customHeight="1">
      <c r="B106" s="848"/>
      <c r="C106" s="1380"/>
      <c r="D106" s="859">
        <f>+D105+50</f>
        <v>650</v>
      </c>
      <c r="E106" s="858">
        <v>7.2239917967182654E-2</v>
      </c>
      <c r="F106" s="858">
        <v>7.5763438686607509E-2</v>
      </c>
      <c r="G106" s="858">
        <v>7.9234804179884932E-2</v>
      </c>
      <c r="H106" s="858">
        <v>8.2670694361670183E-2</v>
      </c>
      <c r="I106" s="858">
        <v>8.6078695947650719E-2</v>
      </c>
      <c r="L106" s="852"/>
      <c r="M106" s="851"/>
      <c r="R106" s="849"/>
    </row>
    <row r="107" spans="2:26" s="843" customFormat="1" thickBot="1">
      <c r="B107" s="853"/>
      <c r="C107" s="854"/>
      <c r="D107" s="854"/>
      <c r="E107" s="855"/>
      <c r="F107" s="855"/>
      <c r="G107" s="855"/>
      <c r="H107" s="855"/>
      <c r="I107" s="855"/>
      <c r="J107" s="854"/>
      <c r="K107" s="854"/>
      <c r="L107" s="854"/>
      <c r="M107" s="855"/>
      <c r="N107" s="855"/>
      <c r="O107" s="855"/>
      <c r="P107" s="855"/>
      <c r="Q107" s="855"/>
      <c r="R107" s="856"/>
    </row>
    <row r="108" spans="2:26" ht="13.5" thickBot="1"/>
    <row r="109" spans="2:26" s="843" customFormat="1" ht="12">
      <c r="B109" s="845"/>
      <c r="C109" s="846"/>
      <c r="D109" s="846"/>
      <c r="E109" s="846"/>
      <c r="F109" s="846"/>
      <c r="G109" s="846"/>
      <c r="H109" s="846"/>
      <c r="I109" s="846"/>
      <c r="J109" s="846"/>
      <c r="K109" s="846"/>
      <c r="L109" s="846"/>
      <c r="M109" s="846"/>
      <c r="N109" s="846"/>
      <c r="O109" s="846"/>
      <c r="P109" s="846"/>
      <c r="Q109" s="846"/>
      <c r="R109" s="847"/>
    </row>
    <row r="110" spans="2:26" s="843" customFormat="1" ht="12">
      <c r="B110" s="848"/>
      <c r="C110" s="1376" t="s">
        <v>595</v>
      </c>
      <c r="D110" s="1376"/>
      <c r="E110" s="1376"/>
      <c r="F110" s="1376"/>
      <c r="R110" s="849"/>
    </row>
    <row r="111" spans="2:26" s="843" customFormat="1" ht="12">
      <c r="B111" s="848"/>
      <c r="E111" s="1377" t="s">
        <v>583</v>
      </c>
      <c r="F111" s="1377"/>
      <c r="G111" s="1377"/>
      <c r="H111" s="1377"/>
      <c r="I111" s="1377"/>
      <c r="M111" s="1377" t="s">
        <v>584</v>
      </c>
      <c r="N111" s="1377"/>
      <c r="O111" s="1377"/>
      <c r="P111" s="1377"/>
      <c r="Q111" s="1377"/>
      <c r="R111" s="849"/>
    </row>
    <row r="112" spans="2:26" s="843" customFormat="1" ht="12">
      <c r="B112" s="848"/>
      <c r="E112" s="859">
        <f>+F112-5</f>
        <v>179</v>
      </c>
      <c r="F112" s="859">
        <f>+G112-5</f>
        <v>184</v>
      </c>
      <c r="G112" s="863">
        <v>189</v>
      </c>
      <c r="H112" s="859">
        <f>+G112+5</f>
        <v>194</v>
      </c>
      <c r="I112" s="859">
        <f>+H112+5</f>
        <v>199</v>
      </c>
      <c r="M112" s="859">
        <f>+N112-50</f>
        <v>1000</v>
      </c>
      <c r="N112" s="859">
        <f>+O112-50</f>
        <v>1050</v>
      </c>
      <c r="O112" s="864">
        <v>1100</v>
      </c>
      <c r="P112" s="859">
        <f>+O112+50</f>
        <v>1150</v>
      </c>
      <c r="Q112" s="859">
        <f>+P112+50</f>
        <v>1200</v>
      </c>
      <c r="R112" s="849"/>
    </row>
    <row r="113" spans="2:26" s="843" customFormat="1" ht="12" customHeight="1">
      <c r="B113" s="848"/>
      <c r="C113" s="1378" t="s">
        <v>585</v>
      </c>
      <c r="D113" s="859">
        <f>+D114-50</f>
        <v>350</v>
      </c>
      <c r="E113" s="858">
        <v>8.7100492002854413E-2</v>
      </c>
      <c r="F113" s="858">
        <v>9.1099509456671779E-2</v>
      </c>
      <c r="G113" s="858">
        <v>9.5034757691848437E-2</v>
      </c>
      <c r="H113" s="858">
        <v>9.8918587365149024E-2</v>
      </c>
      <c r="I113" s="858">
        <v>0.10276857465304157</v>
      </c>
      <c r="K113" s="1378" t="s">
        <v>586</v>
      </c>
      <c r="L113" s="850">
        <v>-0.1</v>
      </c>
      <c r="M113" s="858">
        <v>9.3243842425978718E-2</v>
      </c>
      <c r="N113" s="858">
        <v>8.9888841347713022E-2</v>
      </c>
      <c r="O113" s="858">
        <v>8.6719816598802346E-2</v>
      </c>
      <c r="P113" s="858">
        <v>8.3723625979844396E-2</v>
      </c>
      <c r="Q113" s="858">
        <v>8.0873374165559619E-2</v>
      </c>
      <c r="R113" s="849"/>
      <c r="Z113" s="851"/>
    </row>
    <row r="114" spans="2:26" s="843" customFormat="1" ht="12" customHeight="1">
      <c r="B114" s="848"/>
      <c r="C114" s="1379"/>
      <c r="D114" s="859">
        <f>+D115-50</f>
        <v>400</v>
      </c>
      <c r="E114" s="858">
        <v>8.3831246836429729E-2</v>
      </c>
      <c r="F114" s="858">
        <v>8.7725639330902272E-2</v>
      </c>
      <c r="G114" s="858">
        <v>9.1580052784678401E-2</v>
      </c>
      <c r="H114" s="858">
        <v>9.5376230531798889E-2</v>
      </c>
      <c r="I114" s="858">
        <v>9.9123733592783703E-2</v>
      </c>
      <c r="K114" s="1379"/>
      <c r="L114" s="850">
        <v>-0.05</v>
      </c>
      <c r="M114" s="858">
        <v>9.2471228826991103E-2</v>
      </c>
      <c r="N114" s="858">
        <v>8.9127649950598631E-2</v>
      </c>
      <c r="O114" s="858">
        <v>8.5973081627007453E-2</v>
      </c>
      <c r="P114" s="858">
        <v>8.2981283298787289E-2</v>
      </c>
      <c r="Q114" s="858">
        <v>8.0151712305059908E-2</v>
      </c>
      <c r="R114" s="849"/>
    </row>
    <row r="115" spans="2:26" s="843" customFormat="1" ht="12" customHeight="1">
      <c r="B115" s="848"/>
      <c r="C115" s="1379"/>
      <c r="D115" s="859">
        <f>+D116-50</f>
        <v>450</v>
      </c>
      <c r="E115" s="858">
        <v>8.0743243071586424E-2</v>
      </c>
      <c r="F115" s="858">
        <v>8.4550031564494255E-2</v>
      </c>
      <c r="G115" s="858">
        <v>8.8307882315285413E-2</v>
      </c>
      <c r="H115" s="858">
        <v>9.2029021009136569E-2</v>
      </c>
      <c r="I115" s="858">
        <v>9.5694742804090183E-2</v>
      </c>
      <c r="K115" s="1379"/>
      <c r="L115" s="863" t="s">
        <v>587</v>
      </c>
      <c r="M115" s="858">
        <v>9.1694079819523822E-2</v>
      </c>
      <c r="N115" s="858">
        <v>8.8363627343021056E-2</v>
      </c>
      <c r="O115" s="865">
        <v>8.5221869251512095E-2</v>
      </c>
      <c r="P115" s="858">
        <v>8.2241620319647657E-2</v>
      </c>
      <c r="Q115" s="858">
        <v>7.9425681684989202E-2</v>
      </c>
      <c r="R115" s="849"/>
    </row>
    <row r="116" spans="2:26" s="843" customFormat="1" ht="12" customHeight="1">
      <c r="B116" s="848"/>
      <c r="C116" s="1379"/>
      <c r="D116" s="866">
        <v>500</v>
      </c>
      <c r="E116" s="858">
        <v>7.7833562014163249E-2</v>
      </c>
      <c r="F116" s="858">
        <v>8.1545406824657718E-2</v>
      </c>
      <c r="G116" s="865">
        <v>8.5221869251512095E-2</v>
      </c>
      <c r="H116" s="858">
        <v>8.8851512223893536E-2</v>
      </c>
      <c r="I116" s="858">
        <v>9.2448509796016376E-2</v>
      </c>
      <c r="K116" s="1379"/>
      <c r="L116" s="850">
        <v>0.05</v>
      </c>
      <c r="M116" s="858">
        <v>9.0913902394461843E-2</v>
      </c>
      <c r="N116" s="858">
        <v>8.7595563346638095E-2</v>
      </c>
      <c r="O116" s="858">
        <v>8.4466083500627454E-2</v>
      </c>
      <c r="P116" s="858">
        <v>8.1499261358539465E-2</v>
      </c>
      <c r="Q116" s="858">
        <v>7.8696347632315256E-2</v>
      </c>
      <c r="R116" s="849"/>
    </row>
    <row r="117" spans="2:26" s="843" customFormat="1" ht="12" customHeight="1">
      <c r="B117" s="848"/>
      <c r="C117" s="1379"/>
      <c r="D117" s="859">
        <f>+D116+50</f>
        <v>550</v>
      </c>
      <c r="E117" s="858">
        <v>7.5082932365557298E-2</v>
      </c>
      <c r="F117" s="858">
        <v>7.8712232345936606E-2</v>
      </c>
      <c r="G117" s="858">
        <v>8.2295002643044679E-2</v>
      </c>
      <c r="H117" s="858">
        <v>8.5850140951700515E-2</v>
      </c>
      <c r="I117" s="858">
        <v>8.9361559759964182E-2</v>
      </c>
      <c r="K117" s="1380"/>
      <c r="L117" s="850">
        <v>0.1</v>
      </c>
      <c r="M117" s="858">
        <v>9.0129484308352437E-2</v>
      </c>
      <c r="N117" s="858">
        <v>8.6822813076723904E-2</v>
      </c>
      <c r="O117" s="858">
        <v>8.370713379914263E-2</v>
      </c>
      <c r="P117" s="858">
        <v>8.0752309866984007E-2</v>
      </c>
      <c r="Q117" s="858">
        <v>7.7957883570326958E-2</v>
      </c>
      <c r="R117" s="849"/>
    </row>
    <row r="118" spans="2:26" s="843" customFormat="1" ht="12" customHeight="1">
      <c r="B118" s="848"/>
      <c r="C118" s="1379"/>
      <c r="D118" s="859">
        <f>+D117+50</f>
        <v>600</v>
      </c>
      <c r="E118" s="858">
        <v>7.2468908105208563E-2</v>
      </c>
      <c r="F118" s="858">
        <v>7.6025650181049231E-2</v>
      </c>
      <c r="G118" s="858">
        <v>7.9530267348854489E-2</v>
      </c>
      <c r="H118" s="858">
        <v>8.2999144022283255E-2</v>
      </c>
      <c r="I118" s="858">
        <v>8.6438976321203675E-2</v>
      </c>
      <c r="R118" s="849"/>
    </row>
    <row r="119" spans="2:26" s="843" customFormat="1" ht="12" customHeight="1">
      <c r="B119" s="848"/>
      <c r="C119" s="1380"/>
      <c r="D119" s="859">
        <f>+D118+50</f>
        <v>650</v>
      </c>
      <c r="E119" s="858">
        <v>6.997919398524366E-2</v>
      </c>
      <c r="F119" s="858">
        <v>7.346989048623076E-2</v>
      </c>
      <c r="G119" s="858">
        <v>7.6904178318951466E-2</v>
      </c>
      <c r="H119" s="858">
        <v>8.029873890604966E-2</v>
      </c>
      <c r="I119" s="858">
        <v>8.3666695984395467E-2</v>
      </c>
      <c r="L119" s="852"/>
      <c r="M119" s="851"/>
      <c r="R119" s="849"/>
    </row>
    <row r="120" spans="2:26" s="843" customFormat="1" thickBot="1">
      <c r="B120" s="853"/>
      <c r="C120" s="854"/>
      <c r="D120" s="854"/>
      <c r="E120" s="855"/>
      <c r="F120" s="855"/>
      <c r="G120" s="855"/>
      <c r="H120" s="855"/>
      <c r="I120" s="855"/>
      <c r="J120" s="854"/>
      <c r="K120" s="854"/>
      <c r="L120" s="854"/>
      <c r="M120" s="855"/>
      <c r="N120" s="855"/>
      <c r="O120" s="855"/>
      <c r="P120" s="855"/>
      <c r="Q120" s="855"/>
      <c r="R120" s="856"/>
    </row>
    <row r="121" spans="2:26" ht="13.5" thickBot="1"/>
    <row r="122" spans="2:26" s="843" customFormat="1" ht="12">
      <c r="B122" s="845"/>
      <c r="C122" s="846"/>
      <c r="D122" s="846"/>
      <c r="E122" s="846"/>
      <c r="F122" s="846"/>
      <c r="G122" s="846"/>
      <c r="H122" s="846"/>
      <c r="I122" s="846"/>
      <c r="J122" s="846"/>
      <c r="K122" s="846"/>
      <c r="L122" s="846"/>
      <c r="M122" s="846"/>
      <c r="N122" s="846"/>
      <c r="O122" s="846"/>
      <c r="P122" s="846"/>
      <c r="Q122" s="846"/>
      <c r="R122" s="847"/>
    </row>
    <row r="123" spans="2:26" s="843" customFormat="1" ht="12">
      <c r="B123" s="848"/>
      <c r="C123" s="1376" t="s">
        <v>596</v>
      </c>
      <c r="D123" s="1376"/>
      <c r="E123" s="1376"/>
      <c r="F123" s="1376"/>
      <c r="R123" s="849"/>
    </row>
    <row r="124" spans="2:26" s="843" customFormat="1" ht="12">
      <c r="B124" s="848"/>
      <c r="E124" s="1377" t="s">
        <v>583</v>
      </c>
      <c r="F124" s="1377"/>
      <c r="G124" s="1377"/>
      <c r="H124" s="1377"/>
      <c r="I124" s="1377"/>
      <c r="M124" s="1377" t="s">
        <v>584</v>
      </c>
      <c r="N124" s="1377"/>
      <c r="O124" s="1377"/>
      <c r="P124" s="1377"/>
      <c r="Q124" s="1377"/>
      <c r="R124" s="849"/>
    </row>
    <row r="125" spans="2:26" s="843" customFormat="1" ht="12">
      <c r="B125" s="848"/>
      <c r="E125" s="859">
        <f>+F125-5</f>
        <v>179</v>
      </c>
      <c r="F125" s="859">
        <f>+G125-5</f>
        <v>184</v>
      </c>
      <c r="G125" s="863">
        <v>189</v>
      </c>
      <c r="H125" s="859">
        <f>+G125+5</f>
        <v>194</v>
      </c>
      <c r="I125" s="859">
        <f>+H125+5</f>
        <v>199</v>
      </c>
      <c r="M125" s="859">
        <f>+N125-50</f>
        <v>1000</v>
      </c>
      <c r="N125" s="859">
        <f>+O125-50</f>
        <v>1050</v>
      </c>
      <c r="O125" s="864">
        <v>1100</v>
      </c>
      <c r="P125" s="859">
        <f>+O125+50</f>
        <v>1150</v>
      </c>
      <c r="Q125" s="859">
        <f>+P125+50</f>
        <v>1200</v>
      </c>
      <c r="R125" s="849"/>
    </row>
    <row r="126" spans="2:26" s="843" customFormat="1" ht="12" customHeight="1">
      <c r="B126" s="848"/>
      <c r="C126" s="1378" t="s">
        <v>585</v>
      </c>
      <c r="D126" s="859">
        <f>+D127-50</f>
        <v>350</v>
      </c>
      <c r="E126" s="858">
        <v>9.3476806292764669E-2</v>
      </c>
      <c r="F126" s="858">
        <v>9.7557102280197538E-2</v>
      </c>
      <c r="G126" s="858">
        <v>0.10159792119758615</v>
      </c>
      <c r="H126" s="858">
        <v>0.10556126243358754</v>
      </c>
      <c r="I126" s="858">
        <v>0.10947274976462484</v>
      </c>
      <c r="K126" s="1378" t="s">
        <v>586</v>
      </c>
      <c r="L126" s="850">
        <v>-0.1</v>
      </c>
      <c r="M126" s="858">
        <v>9.9708658921144222E-2</v>
      </c>
      <c r="N126" s="858">
        <v>9.621514768236139E-2</v>
      </c>
      <c r="O126" s="858">
        <v>9.2906989885625402E-2</v>
      </c>
      <c r="P126" s="858">
        <v>8.9761034889751734E-2</v>
      </c>
      <c r="Q126" s="858">
        <v>8.6780341182968623E-2</v>
      </c>
      <c r="R126" s="849"/>
      <c r="Z126" s="851"/>
    </row>
    <row r="127" spans="2:26" s="843" customFormat="1" ht="12" customHeight="1">
      <c r="B127" s="848"/>
      <c r="C127" s="1379"/>
      <c r="D127" s="859">
        <f>+D128-50</f>
        <v>400</v>
      </c>
      <c r="E127" s="858">
        <v>9.00506300934103E-2</v>
      </c>
      <c r="F127" s="858">
        <v>9.4036840721033021E-2</v>
      </c>
      <c r="G127" s="858">
        <v>9.7971005836286817E-2</v>
      </c>
      <c r="H127" s="858">
        <v>0.10186975234087203</v>
      </c>
      <c r="I127" s="858">
        <v>0.10569520249859998</v>
      </c>
      <c r="K127" s="1379"/>
      <c r="L127" s="850">
        <v>-0.05</v>
      </c>
      <c r="M127" s="858">
        <v>9.8897028563762035E-2</v>
      </c>
      <c r="N127" s="858">
        <v>9.5416311245319463E-2</v>
      </c>
      <c r="O127" s="858">
        <v>9.2120597823525996E-2</v>
      </c>
      <c r="P127" s="858">
        <v>8.8985609067579796E-2</v>
      </c>
      <c r="Q127" s="858">
        <v>8.6018714691652454E-2</v>
      </c>
      <c r="R127" s="849"/>
    </row>
    <row r="128" spans="2:26" s="843" customFormat="1" ht="12" customHeight="1">
      <c r="B128" s="848"/>
      <c r="C128" s="1379"/>
      <c r="D128" s="859">
        <f>+D129-50</f>
        <v>450</v>
      </c>
      <c r="E128" s="858">
        <v>8.6803341505844678E-2</v>
      </c>
      <c r="F128" s="858">
        <v>9.0712398274988004E-2</v>
      </c>
      <c r="G128" s="858">
        <v>9.4558651175446817E-2</v>
      </c>
      <c r="H128" s="858">
        <v>9.8356950204159688E-2</v>
      </c>
      <c r="I128" s="858">
        <v>0.10212339126424785</v>
      </c>
      <c r="K128" s="1379"/>
      <c r="L128" s="863" t="s">
        <v>587</v>
      </c>
      <c r="M128" s="858">
        <v>9.808226083880589E-2</v>
      </c>
      <c r="N128" s="858">
        <v>9.4613135506595336E-2</v>
      </c>
      <c r="O128" s="865">
        <v>9.1330033633903573E-2</v>
      </c>
      <c r="P128" s="858">
        <v>8.8207547018663623E-2</v>
      </c>
      <c r="Q128" s="858">
        <v>8.5252754557903376E-2</v>
      </c>
      <c r="R128" s="849"/>
    </row>
    <row r="129" spans="2:26" s="843" customFormat="1" ht="12" customHeight="1">
      <c r="B129" s="848"/>
      <c r="C129" s="1379"/>
      <c r="D129" s="866">
        <v>500</v>
      </c>
      <c r="E129" s="858">
        <v>8.3744943086667911E-2</v>
      </c>
      <c r="F129" s="858">
        <v>8.7556195565458239E-2</v>
      </c>
      <c r="G129" s="865">
        <v>9.1330033633903573E-2</v>
      </c>
      <c r="H129" s="858">
        <v>9.5046686304010919E-2</v>
      </c>
      <c r="I129" s="858">
        <v>9.8717682609006818E-2</v>
      </c>
      <c r="K129" s="1379"/>
      <c r="L129" s="850">
        <v>0.05</v>
      </c>
      <c r="M129" s="858">
        <v>9.7262689060879648E-2</v>
      </c>
      <c r="N129" s="858">
        <v>9.3806705307790672E-2</v>
      </c>
      <c r="O129" s="858">
        <v>9.0536222524734589E-2</v>
      </c>
      <c r="P129" s="858">
        <v>8.7424926454243712E-2</v>
      </c>
      <c r="Q129" s="858">
        <v>8.4482037133322363E-2</v>
      </c>
      <c r="R129" s="849"/>
    </row>
    <row r="130" spans="2:26" s="843" customFormat="1" ht="12" customHeight="1">
      <c r="B130" s="848"/>
      <c r="C130" s="1379"/>
      <c r="D130" s="859">
        <f>+D129+50</f>
        <v>550</v>
      </c>
      <c r="E130" s="858">
        <v>8.0844769682596684E-2</v>
      </c>
      <c r="F130" s="858">
        <v>8.4576034469469707E-2</v>
      </c>
      <c r="G130" s="858">
        <v>8.8259966874608908E-2</v>
      </c>
      <c r="H130" s="858">
        <v>9.1908895930740142E-2</v>
      </c>
      <c r="I130" s="858">
        <v>9.5504061726810807E-2</v>
      </c>
      <c r="K130" s="1380"/>
      <c r="L130" s="850">
        <v>0.1</v>
      </c>
      <c r="M130" s="858">
        <v>9.6438208058316155E-2</v>
      </c>
      <c r="N130" s="858">
        <v>9.2995363798289654E-2</v>
      </c>
      <c r="O130" s="858">
        <v>8.9737503484390801E-2</v>
      </c>
      <c r="P130" s="858">
        <v>8.6637428391824978E-2</v>
      </c>
      <c r="Q130" s="858">
        <v>8.3707751199881164E-2</v>
      </c>
      <c r="R130" s="849"/>
    </row>
    <row r="131" spans="2:26" s="843" customFormat="1" ht="12" customHeight="1">
      <c r="B131" s="848"/>
      <c r="C131" s="1379"/>
      <c r="D131" s="859">
        <f>+D130+50</f>
        <v>600</v>
      </c>
      <c r="E131" s="858">
        <v>7.8102508979481566E-2</v>
      </c>
      <c r="F131" s="858">
        <v>8.1746051146216692E-2</v>
      </c>
      <c r="G131" s="858">
        <v>8.5355543296086189E-2</v>
      </c>
      <c r="H131" s="858">
        <v>8.8919516201236615E-2</v>
      </c>
      <c r="I131" s="858">
        <v>9.245211634450512E-2</v>
      </c>
      <c r="R131" s="849"/>
    </row>
    <row r="132" spans="2:26" s="843" customFormat="1" ht="12" customHeight="1">
      <c r="B132" s="848"/>
      <c r="C132" s="1380"/>
      <c r="D132" s="859">
        <f>+D131+50</f>
        <v>650</v>
      </c>
      <c r="E132" s="858">
        <v>7.5507205528389187E-2</v>
      </c>
      <c r="F132" s="858">
        <v>7.9068230234082604E-2</v>
      </c>
      <c r="G132" s="858">
        <v>8.2591858007573293E-2</v>
      </c>
      <c r="H132" s="858">
        <v>8.6086886322176426E-2</v>
      </c>
      <c r="I132" s="858">
        <v>8.9540513057143167E-2</v>
      </c>
      <c r="L132" s="852"/>
      <c r="M132" s="851"/>
      <c r="R132" s="849"/>
    </row>
    <row r="133" spans="2:26" s="843" customFormat="1" thickBot="1">
      <c r="B133" s="853"/>
      <c r="C133" s="854"/>
      <c r="D133" s="854"/>
      <c r="E133" s="855"/>
      <c r="F133" s="855"/>
      <c r="G133" s="855"/>
      <c r="H133" s="855"/>
      <c r="I133" s="855"/>
      <c r="J133" s="854"/>
      <c r="K133" s="854"/>
      <c r="L133" s="854"/>
      <c r="M133" s="855"/>
      <c r="N133" s="855"/>
      <c r="O133" s="855"/>
      <c r="P133" s="855"/>
      <c r="Q133" s="855"/>
      <c r="R133" s="856"/>
    </row>
    <row r="134" spans="2:26" ht="13.5" thickBot="1"/>
    <row r="135" spans="2:26" s="843" customFormat="1" ht="12">
      <c r="B135" s="845"/>
      <c r="C135" s="846"/>
      <c r="D135" s="846"/>
      <c r="E135" s="846"/>
      <c r="F135" s="846"/>
      <c r="G135" s="846"/>
      <c r="H135" s="846"/>
      <c r="I135" s="846"/>
      <c r="J135" s="846"/>
      <c r="K135" s="846"/>
      <c r="L135" s="846"/>
      <c r="M135" s="846"/>
      <c r="N135" s="846"/>
      <c r="O135" s="846"/>
      <c r="P135" s="846"/>
      <c r="Q135" s="846"/>
      <c r="R135" s="847"/>
    </row>
    <row r="136" spans="2:26" s="843" customFormat="1" ht="12">
      <c r="B136" s="848"/>
      <c r="C136" s="1376" t="s">
        <v>597</v>
      </c>
      <c r="D136" s="1376"/>
      <c r="E136" s="1376"/>
      <c r="F136" s="1376"/>
      <c r="R136" s="849"/>
    </row>
    <row r="137" spans="2:26" s="843" customFormat="1" ht="12">
      <c r="B137" s="848"/>
      <c r="E137" s="1377" t="s">
        <v>583</v>
      </c>
      <c r="F137" s="1377"/>
      <c r="G137" s="1377"/>
      <c r="H137" s="1377"/>
      <c r="I137" s="1377"/>
      <c r="M137" s="1377" t="s">
        <v>584</v>
      </c>
      <c r="N137" s="1377"/>
      <c r="O137" s="1377"/>
      <c r="P137" s="1377"/>
      <c r="Q137" s="1377"/>
      <c r="R137" s="849"/>
    </row>
    <row r="138" spans="2:26" s="843" customFormat="1" ht="12">
      <c r="B138" s="848"/>
      <c r="E138" s="859">
        <f>+F138-5</f>
        <v>179</v>
      </c>
      <c r="F138" s="859">
        <f>+G138-5</f>
        <v>184</v>
      </c>
      <c r="G138" s="863">
        <v>189</v>
      </c>
      <c r="H138" s="859">
        <f>+G138+5</f>
        <v>194</v>
      </c>
      <c r="I138" s="859">
        <f>+H138+5</f>
        <v>199</v>
      </c>
      <c r="M138" s="859">
        <f>+N138-50</f>
        <v>1000</v>
      </c>
      <c r="N138" s="859">
        <f>+O138-50</f>
        <v>1050</v>
      </c>
      <c r="O138" s="864">
        <v>1100</v>
      </c>
      <c r="P138" s="859">
        <f>+O138+50</f>
        <v>1150</v>
      </c>
      <c r="Q138" s="859">
        <f>+P138+50</f>
        <v>1200</v>
      </c>
      <c r="R138" s="849"/>
    </row>
    <row r="139" spans="2:26" s="843" customFormat="1" ht="12" customHeight="1">
      <c r="B139" s="848"/>
      <c r="C139" s="1378" t="s">
        <v>585</v>
      </c>
      <c r="D139" s="859">
        <f>+D140-50</f>
        <v>350</v>
      </c>
      <c r="E139" s="858">
        <v>9.7998287785527438E-2</v>
      </c>
      <c r="F139" s="858">
        <v>0.10214965648423702</v>
      </c>
      <c r="G139" s="858">
        <v>0.10622148416974286</v>
      </c>
      <c r="H139" s="858">
        <v>0.11023859264060532</v>
      </c>
      <c r="I139" s="858">
        <v>0.1142030388000228</v>
      </c>
      <c r="K139" s="1378" t="s">
        <v>586</v>
      </c>
      <c r="L139" s="850">
        <v>-0.1</v>
      </c>
      <c r="M139" s="858">
        <v>0.10406693669159184</v>
      </c>
      <c r="N139" s="858">
        <v>0.10047398137207497</v>
      </c>
      <c r="O139" s="858">
        <v>9.7083883793707804E-2</v>
      </c>
      <c r="P139" s="858">
        <v>9.386786904185862E-2</v>
      </c>
      <c r="Q139" s="858">
        <v>9.0814127170850911E-2</v>
      </c>
      <c r="R139" s="849"/>
      <c r="Z139" s="851"/>
    </row>
    <row r="140" spans="2:26" s="843" customFormat="1" ht="12" customHeight="1">
      <c r="B140" s="848"/>
      <c r="C140" s="1379"/>
      <c r="D140" s="859">
        <f>+D141-50</f>
        <v>400</v>
      </c>
      <c r="E140" s="858">
        <v>9.4477548213917739E-2</v>
      </c>
      <c r="F140" s="858">
        <v>9.8519711137958099E-2</v>
      </c>
      <c r="G140" s="858">
        <v>0.10252404276452443</v>
      </c>
      <c r="H140" s="858">
        <v>0.10645337932064458</v>
      </c>
      <c r="I140" s="858">
        <v>0.11033172696752347</v>
      </c>
      <c r="K140" s="1379"/>
      <c r="L140" s="850">
        <v>-0.05</v>
      </c>
      <c r="M140" s="858">
        <v>0.10335172547495364</v>
      </c>
      <c r="N140" s="858">
        <v>9.9768208152504201E-2</v>
      </c>
      <c r="O140" s="858">
        <v>9.6389170368401222E-2</v>
      </c>
      <c r="P140" s="858">
        <v>9.3183795963406757E-2</v>
      </c>
      <c r="Q140" s="858">
        <v>9.0130505406480488E-2</v>
      </c>
      <c r="R140" s="849"/>
    </row>
    <row r="141" spans="2:26" s="843" customFormat="1" ht="12" customHeight="1">
      <c r="B141" s="848"/>
      <c r="C141" s="1379"/>
      <c r="D141" s="859">
        <f>+D142-50</f>
        <v>450</v>
      </c>
      <c r="E141" s="858">
        <v>9.1152490991747603E-2</v>
      </c>
      <c r="F141" s="858">
        <v>9.5104354707371552E-2</v>
      </c>
      <c r="G141" s="858">
        <v>9.9005808378045401E-2</v>
      </c>
      <c r="H141" s="858">
        <v>0.1028733050927404</v>
      </c>
      <c r="I141" s="858">
        <v>0.1066698494232281</v>
      </c>
      <c r="K141" s="1379"/>
      <c r="L141" s="863" t="s">
        <v>587</v>
      </c>
      <c r="M141" s="858">
        <v>0.10263299899033118</v>
      </c>
      <c r="N141" s="858">
        <v>9.9059235680654334E-2</v>
      </c>
      <c r="O141" s="865">
        <v>9.569094168540726E-2</v>
      </c>
      <c r="P141" s="858">
        <v>9.249620808257597E-2</v>
      </c>
      <c r="Q141" s="858">
        <v>8.9452284134055038E-2</v>
      </c>
      <c r="R141" s="849"/>
    </row>
    <row r="142" spans="2:26" s="843" customFormat="1" ht="12" customHeight="1">
      <c r="B142" s="848"/>
      <c r="C142" s="1379"/>
      <c r="D142" s="866">
        <v>500</v>
      </c>
      <c r="E142" s="858">
        <v>8.7995645792120269E-2</v>
      </c>
      <c r="F142" s="858">
        <v>9.187257839146179E-2</v>
      </c>
      <c r="G142" s="865">
        <v>9.569094168540726E-2</v>
      </c>
      <c r="H142" s="858">
        <v>9.9460611143861177E-2</v>
      </c>
      <c r="I142" s="858">
        <v>0.10319989505760718</v>
      </c>
      <c r="K142" s="1379"/>
      <c r="L142" s="850">
        <v>0.05</v>
      </c>
      <c r="M142" s="858">
        <v>0.10191069213474901</v>
      </c>
      <c r="N142" s="858">
        <v>9.8347893444254986E-2</v>
      </c>
      <c r="O142" s="858">
        <v>9.4989132122158315E-2</v>
      </c>
      <c r="P142" s="858">
        <v>9.1805039644901498E-2</v>
      </c>
      <c r="Q142" s="858">
        <v>8.8771269742933923E-2</v>
      </c>
      <c r="R142" s="849"/>
    </row>
    <row r="143" spans="2:26" s="843" customFormat="1" ht="12" customHeight="1">
      <c r="B143" s="848"/>
      <c r="C143" s="1379"/>
      <c r="D143" s="859">
        <f>+D142+50</f>
        <v>550</v>
      </c>
      <c r="E143" s="858">
        <v>8.5014526128369683E-2</v>
      </c>
      <c r="F143" s="858">
        <v>8.8799199471644386E-2</v>
      </c>
      <c r="G143" s="858">
        <v>9.2547686976794497E-2</v>
      </c>
      <c r="H143" s="858">
        <v>9.6239972065456758E-2</v>
      </c>
      <c r="I143" s="858">
        <v>9.9886994357692771E-2</v>
      </c>
      <c r="K143" s="1380"/>
      <c r="L143" s="850">
        <v>0.1</v>
      </c>
      <c r="M143" s="858">
        <v>0.10116781419061582</v>
      </c>
      <c r="N143" s="858">
        <v>9.7632913447787129E-2</v>
      </c>
      <c r="O143" s="858">
        <v>9.428530330396967E-2</v>
      </c>
      <c r="P143" s="858">
        <v>9.1111763999170314E-2</v>
      </c>
      <c r="Q143" s="858">
        <v>8.8087856475713266E-2</v>
      </c>
      <c r="R143" s="849"/>
    </row>
    <row r="144" spans="2:26" s="843" customFormat="1" ht="12" customHeight="1">
      <c r="B144" s="848"/>
      <c r="C144" s="1379"/>
      <c r="D144" s="859">
        <f>+D143+50</f>
        <v>600</v>
      </c>
      <c r="E144" s="858">
        <v>8.2182674805663991E-2</v>
      </c>
      <c r="F144" s="858">
        <v>8.5891389073819768E-2</v>
      </c>
      <c r="G144" s="858">
        <v>8.9553445021602229E-2</v>
      </c>
      <c r="H144" s="858">
        <v>9.3180504838168421E-2</v>
      </c>
      <c r="I144" s="858">
        <v>9.6754955740698811E-2</v>
      </c>
      <c r="R144" s="849"/>
    </row>
    <row r="145" spans="2:18" s="843" customFormat="1" ht="12" customHeight="1">
      <c r="B145" s="848"/>
      <c r="C145" s="1380"/>
      <c r="D145" s="859">
        <f>+D144+50</f>
        <v>650</v>
      </c>
      <c r="E145" s="858">
        <v>7.9503371137670253E-2</v>
      </c>
      <c r="F145" s="858">
        <v>8.3124681007015644E-2</v>
      </c>
      <c r="G145" s="858">
        <v>8.6713890621602729E-2</v>
      </c>
      <c r="H145" s="858">
        <v>9.0271712581987629E-2</v>
      </c>
      <c r="I145" s="858">
        <v>9.3774907096467741E-2</v>
      </c>
      <c r="L145" s="852"/>
      <c r="M145" s="851"/>
      <c r="R145" s="849"/>
    </row>
    <row r="146" spans="2:18" s="843" customFormat="1" thickBot="1">
      <c r="B146" s="853"/>
      <c r="C146" s="854"/>
      <c r="D146" s="854"/>
      <c r="E146" s="855"/>
      <c r="F146" s="855"/>
      <c r="G146" s="855"/>
      <c r="H146" s="855"/>
      <c r="I146" s="855"/>
      <c r="J146" s="854"/>
      <c r="K146" s="854"/>
      <c r="L146" s="854"/>
      <c r="M146" s="855"/>
      <c r="N146" s="855"/>
      <c r="O146" s="855"/>
      <c r="P146" s="855"/>
      <c r="Q146" s="855"/>
      <c r="R146" s="856"/>
    </row>
  </sheetData>
  <mergeCells count="55">
    <mergeCell ref="M98:Q98"/>
    <mergeCell ref="C139:C145"/>
    <mergeCell ref="K139:K143"/>
    <mergeCell ref="C110:F110"/>
    <mergeCell ref="E111:I111"/>
    <mergeCell ref="M111:Q111"/>
    <mergeCell ref="C113:C119"/>
    <mergeCell ref="K113:K117"/>
    <mergeCell ref="C123:F123"/>
    <mergeCell ref="E124:I124"/>
    <mergeCell ref="M124:Q124"/>
    <mergeCell ref="C126:C132"/>
    <mergeCell ref="K126:K130"/>
    <mergeCell ref="C136:F136"/>
    <mergeCell ref="E137:I137"/>
    <mergeCell ref="M137:Q137"/>
    <mergeCell ref="M59:Q59"/>
    <mergeCell ref="C61:C67"/>
    <mergeCell ref="K61:K65"/>
    <mergeCell ref="C100:C106"/>
    <mergeCell ref="K100:K104"/>
    <mergeCell ref="E72:I72"/>
    <mergeCell ref="M72:Q72"/>
    <mergeCell ref="C74:C80"/>
    <mergeCell ref="K74:K78"/>
    <mergeCell ref="C84:F84"/>
    <mergeCell ref="E85:I85"/>
    <mergeCell ref="M85:Q85"/>
    <mergeCell ref="C87:C93"/>
    <mergeCell ref="K87:K91"/>
    <mergeCell ref="C97:F97"/>
    <mergeCell ref="E98:I98"/>
    <mergeCell ref="C71:F71"/>
    <mergeCell ref="C35:C41"/>
    <mergeCell ref="K35:K39"/>
    <mergeCell ref="C45:F45"/>
    <mergeCell ref="E46:I46"/>
    <mergeCell ref="C58:F58"/>
    <mergeCell ref="E59:I59"/>
    <mergeCell ref="M46:Q46"/>
    <mergeCell ref="C48:C54"/>
    <mergeCell ref="K48:K52"/>
    <mergeCell ref="E20:I20"/>
    <mergeCell ref="M20:Q20"/>
    <mergeCell ref="C22:C28"/>
    <mergeCell ref="K22:K26"/>
    <mergeCell ref="C32:F32"/>
    <mergeCell ref="E33:I33"/>
    <mergeCell ref="M33:Q33"/>
    <mergeCell ref="C19:F19"/>
    <mergeCell ref="C6:F6"/>
    <mergeCell ref="E7:I7"/>
    <mergeCell ref="M7:Q7"/>
    <mergeCell ref="C9:C15"/>
    <mergeCell ref="K9:K13"/>
  </mergeCells>
  <phoneticPr fontId="9"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BA15C-08AB-4A75-ADA0-EF1E99A53069}">
  <dimension ref="B2:L36"/>
  <sheetViews>
    <sheetView showGridLines="0" workbookViewId="0">
      <selection activeCell="C36" sqref="B22:C54"/>
    </sheetView>
  </sheetViews>
  <sheetFormatPr defaultRowHeight="12.75"/>
  <cols>
    <col min="1" max="1" width="1.7109375" customWidth="1"/>
    <col min="2" max="3" width="30.85546875" customWidth="1"/>
    <col min="4" max="4" width="23.85546875" customWidth="1"/>
    <col min="5" max="5" width="21.28515625" customWidth="1"/>
    <col min="6" max="6" width="30.85546875" customWidth="1"/>
    <col min="7" max="7" width="15.42578125" customWidth="1"/>
    <col min="8" max="9" width="17.85546875" customWidth="1"/>
    <col min="12" max="12" width="17.85546875" customWidth="1"/>
  </cols>
  <sheetData>
    <row r="2" spans="2:12" ht="36">
      <c r="B2" s="613" t="s">
        <v>598</v>
      </c>
      <c r="C2" s="613" t="s">
        <v>599</v>
      </c>
      <c r="D2" s="613" t="s">
        <v>600</v>
      </c>
      <c r="E2" s="613" t="s">
        <v>601</v>
      </c>
      <c r="F2" s="613" t="s">
        <v>602</v>
      </c>
      <c r="G2" s="613" t="s">
        <v>603</v>
      </c>
      <c r="H2" s="613" t="s">
        <v>604</v>
      </c>
      <c r="I2" s="613" t="s">
        <v>605</v>
      </c>
      <c r="L2" s="613" t="s">
        <v>606</v>
      </c>
    </row>
    <row r="3" spans="2:12" ht="18">
      <c r="B3" s="1381" t="s">
        <v>192</v>
      </c>
      <c r="C3" s="1116" t="str">
        <f>+'BT 3HO'!C36</f>
        <v>Changseong High Tech</v>
      </c>
      <c r="D3" s="871" t="s">
        <v>472</v>
      </c>
      <c r="E3" s="1116">
        <f>+'BT 3HO'!D36</f>
        <v>166.37</v>
      </c>
      <c r="F3" s="1117">
        <f t="shared" ref="F3:F10" si="0">+E3*L3*98%</f>
        <v>225977.0436</v>
      </c>
      <c r="G3" s="1384" t="s">
        <v>607</v>
      </c>
      <c r="H3" s="1118"/>
      <c r="I3" s="1118"/>
      <c r="L3" s="619">
        <v>1386</v>
      </c>
    </row>
    <row r="4" spans="2:12" ht="18">
      <c r="B4" s="1381"/>
      <c r="C4" s="1119" t="str">
        <f>+'BT 3HO'!C21</f>
        <v>LSG</v>
      </c>
      <c r="D4" s="874" t="s">
        <v>579</v>
      </c>
      <c r="E4" s="1119">
        <f>+'BT 3HO'!D21</f>
        <v>499.11</v>
      </c>
      <c r="F4" s="1120">
        <f t="shared" si="0"/>
        <v>702387.52079999994</v>
      </c>
      <c r="G4" s="1385"/>
      <c r="H4" s="1118"/>
      <c r="I4" s="1118"/>
      <c r="L4" s="619">
        <v>1436</v>
      </c>
    </row>
    <row r="5" spans="2:12" ht="18">
      <c r="B5" s="1381"/>
      <c r="C5" s="1119" t="str">
        <f>+'BT 3HO'!C26</f>
        <v>Hanseo Motors</v>
      </c>
      <c r="D5" s="874" t="s">
        <v>579</v>
      </c>
      <c r="E5" s="1119">
        <f>+'BT 3HO'!D26</f>
        <v>142.875</v>
      </c>
      <c r="F5" s="1120">
        <f t="shared" si="0"/>
        <v>188183.52</v>
      </c>
      <c r="G5" s="1385"/>
      <c r="H5" s="1118"/>
      <c r="I5" s="1118"/>
      <c r="L5" s="619">
        <v>1344</v>
      </c>
    </row>
    <row r="6" spans="2:12" ht="18">
      <c r="B6" s="1381"/>
      <c r="C6" s="1119" t="str">
        <f>+'BT 3HO'!C11</f>
        <v>Seun Steel Gyeongju</v>
      </c>
      <c r="D6" s="874" t="s">
        <v>580</v>
      </c>
      <c r="E6" s="1119">
        <f>+'BT 3HO'!D11</f>
        <v>709.29499999999996</v>
      </c>
      <c r="F6" s="1120">
        <f t="shared" si="0"/>
        <v>965506.53989999986</v>
      </c>
      <c r="G6" s="1385"/>
      <c r="H6" s="1118"/>
      <c r="I6" s="1118"/>
      <c r="L6" s="619">
        <v>1389</v>
      </c>
    </row>
    <row r="7" spans="2:12" ht="18">
      <c r="B7" s="1381"/>
      <c r="C7" s="1119" t="str">
        <f>+'BT 3HO'!C16</f>
        <v>Oneel</v>
      </c>
      <c r="D7" s="874" t="s">
        <v>474</v>
      </c>
      <c r="E7" s="1119">
        <f>+'BT 3HO'!D16</f>
        <v>522.60500000000002</v>
      </c>
      <c r="F7" s="1120">
        <f t="shared" si="0"/>
        <v>703185.93170000007</v>
      </c>
      <c r="G7" s="1385"/>
      <c r="H7" s="1118"/>
      <c r="I7" s="1118"/>
      <c r="L7" s="619">
        <v>1373</v>
      </c>
    </row>
    <row r="8" spans="2:12" ht="18">
      <c r="B8" s="1381"/>
      <c r="C8" s="1119" t="str">
        <f>+'BT 3HO'!C46</f>
        <v>E-Tech</v>
      </c>
      <c r="D8" s="874" t="s">
        <v>474</v>
      </c>
      <c r="E8" s="1119">
        <f>+'BT 3HO'!D46</f>
        <v>148.47999999999999</v>
      </c>
      <c r="F8" s="1120">
        <f t="shared" si="0"/>
        <v>218120.08959999998</v>
      </c>
      <c r="G8" s="1385"/>
      <c r="H8" s="1118"/>
      <c r="I8" s="1118"/>
      <c r="L8" s="619">
        <v>1499</v>
      </c>
    </row>
    <row r="9" spans="2:12" ht="18">
      <c r="B9" s="1381"/>
      <c r="C9" s="1119" t="str">
        <f>+'BT 3HO'!C31</f>
        <v>Daechon Headquarters</v>
      </c>
      <c r="D9" s="874" t="s">
        <v>474</v>
      </c>
      <c r="E9" s="1119">
        <f>+'BT 3HO'!D31</f>
        <v>897.89</v>
      </c>
      <c r="F9" s="1120">
        <f t="shared" si="0"/>
        <v>1198467.6564</v>
      </c>
      <c r="G9" s="1385"/>
      <c r="H9" s="1118"/>
      <c r="I9" s="1118"/>
      <c r="L9" s="619">
        <v>1362</v>
      </c>
    </row>
    <row r="10" spans="2:12" ht="18">
      <c r="B10" s="1381"/>
      <c r="C10" s="1119" t="str">
        <f>+'BT 3HO'!C41</f>
        <v>Daechon Busan</v>
      </c>
      <c r="D10" s="874" t="s">
        <v>470</v>
      </c>
      <c r="E10" s="1119">
        <f>+'BT 3HO'!D41</f>
        <v>1155.7</v>
      </c>
      <c r="F10" s="1120">
        <f t="shared" si="0"/>
        <v>1553907.9920000001</v>
      </c>
      <c r="G10" s="1386"/>
      <c r="H10" s="1118"/>
      <c r="I10" s="1118"/>
      <c r="L10" s="619">
        <v>1372</v>
      </c>
    </row>
    <row r="11" spans="2:12" ht="27" customHeight="1">
      <c r="B11" s="1381"/>
      <c r="C11" s="1382" t="s">
        <v>608</v>
      </c>
      <c r="D11" s="1383"/>
      <c r="E11" s="699">
        <f>+SUM(E3:E10)</f>
        <v>4242.3249999999998</v>
      </c>
      <c r="F11" s="700">
        <f>+SUM(F3:F10)</f>
        <v>5755736.2939999998</v>
      </c>
      <c r="G11" s="1121"/>
      <c r="H11" s="1121"/>
      <c r="I11" s="1121"/>
      <c r="L11" s="619"/>
    </row>
    <row r="13" spans="2:12" ht="36">
      <c r="B13" s="613" t="s">
        <v>598</v>
      </c>
      <c r="C13" s="613" t="s">
        <v>599</v>
      </c>
      <c r="D13" s="613" t="s">
        <v>600</v>
      </c>
      <c r="E13" s="613" t="s">
        <v>601</v>
      </c>
      <c r="F13" s="613" t="s">
        <v>602</v>
      </c>
      <c r="G13" s="613" t="s">
        <v>603</v>
      </c>
      <c r="H13" s="613" t="s">
        <v>604</v>
      </c>
      <c r="I13" s="613" t="s">
        <v>605</v>
      </c>
      <c r="L13" s="613" t="s">
        <v>606</v>
      </c>
    </row>
    <row r="14" spans="2:12" ht="18">
      <c r="B14" s="1387" t="s">
        <v>194</v>
      </c>
      <c r="C14" s="1116" t="str">
        <f>+'BT 7HO'!C11</f>
        <v>Eco Inshutech</v>
      </c>
      <c r="D14" s="871" t="s">
        <v>474</v>
      </c>
      <c r="E14" s="1116">
        <f>+'BT 7HO'!D11</f>
        <v>225.78</v>
      </c>
      <c r="F14" s="1117">
        <f>+E14*L14*98%</f>
        <v>298706.94</v>
      </c>
      <c r="G14" s="1390" t="s">
        <v>607</v>
      </c>
      <c r="H14" s="1385"/>
      <c r="I14" s="1385"/>
      <c r="L14" s="619">
        <v>1350</v>
      </c>
    </row>
    <row r="15" spans="2:12" ht="18">
      <c r="B15" s="1388"/>
      <c r="C15" s="1122" t="str">
        <f>+'BT 7HO'!C16</f>
        <v>Younggwang Industry</v>
      </c>
      <c r="D15" s="872" t="s">
        <v>472</v>
      </c>
      <c r="E15" s="1122">
        <v>545.46500000000003</v>
      </c>
      <c r="F15" s="1123">
        <f t="shared" ref="F15:F16" si="1">+E15*L15*98%</f>
        <v>752654.42560000008</v>
      </c>
      <c r="G15" s="1391"/>
      <c r="H15" s="1385"/>
      <c r="I15" s="1385"/>
      <c r="L15" s="619">
        <v>1408</v>
      </c>
    </row>
    <row r="16" spans="2:12" ht="18">
      <c r="B16" s="1388"/>
      <c r="C16" s="1124" t="str">
        <f>+'BT 7HO'!C26</f>
        <v>MPM Trade</v>
      </c>
      <c r="D16" s="873" t="s">
        <v>472</v>
      </c>
      <c r="E16" s="1124">
        <f>+'BT 7HO'!D26</f>
        <v>210.82</v>
      </c>
      <c r="F16" s="1125">
        <f t="shared" si="1"/>
        <v>300195.03079999995</v>
      </c>
      <c r="G16" s="1391"/>
      <c r="H16" s="1385"/>
      <c r="I16" s="1385"/>
      <c r="L16" s="619">
        <v>1453</v>
      </c>
    </row>
    <row r="17" spans="2:12" ht="27" customHeight="1">
      <c r="B17" s="1389"/>
      <c r="C17" s="1382" t="s">
        <v>608</v>
      </c>
      <c r="D17" s="1383"/>
      <c r="E17" s="699">
        <f>+SUM(E14:E16)</f>
        <v>982.06500000000005</v>
      </c>
      <c r="F17" s="700">
        <f>+SUM(F14:F16)</f>
        <v>1351556.3964</v>
      </c>
      <c r="G17" s="1126"/>
      <c r="H17" s="1126"/>
      <c r="I17" s="1126"/>
      <c r="L17" s="619"/>
    </row>
    <row r="19" spans="2:12" ht="36">
      <c r="B19" s="613" t="s">
        <v>598</v>
      </c>
      <c r="C19" s="613" t="s">
        <v>599</v>
      </c>
      <c r="D19" s="613" t="s">
        <v>600</v>
      </c>
      <c r="E19" s="613" t="s">
        <v>601</v>
      </c>
      <c r="F19" s="613" t="s">
        <v>609</v>
      </c>
      <c r="G19" s="613" t="s">
        <v>603</v>
      </c>
      <c r="H19" s="613" t="s">
        <v>604</v>
      </c>
      <c r="I19" s="613" t="s">
        <v>605</v>
      </c>
      <c r="L19" s="613" t="s">
        <v>606</v>
      </c>
    </row>
    <row r="20" spans="2:12" ht="18">
      <c r="B20" s="1387" t="s">
        <v>172</v>
      </c>
      <c r="C20" s="1116" t="str">
        <f>+'EPC Liquidity Plan'!C31</f>
        <v>Jinyoung Metal Factory_2</v>
      </c>
      <c r="D20" s="871" t="s">
        <v>610</v>
      </c>
      <c r="E20" s="1116">
        <f>+'EPC Liquidity Plan'!D31</f>
        <v>240.69</v>
      </c>
      <c r="F20" s="1117">
        <f>+E20*L20*98%</f>
        <v>330934.30859999999</v>
      </c>
      <c r="G20" s="1390"/>
      <c r="H20" s="1385"/>
      <c r="I20" s="1385"/>
      <c r="L20" s="619">
        <v>1403</v>
      </c>
    </row>
    <row r="21" spans="2:12" ht="18">
      <c r="B21" s="1388"/>
      <c r="C21" s="1122" t="str">
        <f>+'EPC Liquidity Plan'!C32</f>
        <v>Kairos</v>
      </c>
      <c r="D21" s="872" t="s">
        <v>471</v>
      </c>
      <c r="E21" s="1122">
        <f>+'EPC Liquidity Plan'!D32</f>
        <v>386.24</v>
      </c>
      <c r="F21" s="1123">
        <f t="shared" ref="F21:F33" si="2">+E21*L21*98%</f>
        <v>511374.03519999998</v>
      </c>
      <c r="G21" s="1391"/>
      <c r="H21" s="1385"/>
      <c r="I21" s="1385"/>
      <c r="L21" s="619">
        <v>1351</v>
      </c>
    </row>
    <row r="22" spans="2:12" ht="18">
      <c r="B22" s="1388"/>
      <c r="C22" s="1122" t="str">
        <f>+'EPC Liquidity Plan'!C33</f>
        <v>Doori Industry</v>
      </c>
      <c r="D22" s="872" t="s">
        <v>472</v>
      </c>
      <c r="E22" s="1122">
        <f>+'EPC Liquidity Plan'!D33</f>
        <v>210</v>
      </c>
      <c r="F22" s="1123">
        <f t="shared" si="2"/>
        <v>287708.40000000002</v>
      </c>
      <c r="G22" s="1391"/>
      <c r="H22" s="1385"/>
      <c r="I22" s="1385"/>
      <c r="L22" s="619">
        <v>1398</v>
      </c>
    </row>
    <row r="23" spans="2:12" ht="18">
      <c r="B23" s="1388"/>
      <c r="C23" s="1122" t="str">
        <f>+'EPC Liquidity Plan'!C34</f>
        <v>Geumjeong Techno</v>
      </c>
      <c r="D23" s="872" t="s">
        <v>472</v>
      </c>
      <c r="E23" s="1122">
        <f>+'EPC Liquidity Plan'!D34</f>
        <v>122</v>
      </c>
      <c r="F23" s="1123">
        <f t="shared" si="2"/>
        <v>165351.48000000001</v>
      </c>
      <c r="G23" s="1391"/>
      <c r="H23" s="1385"/>
      <c r="I23" s="1385"/>
      <c r="L23" s="619">
        <v>1383</v>
      </c>
    </row>
    <row r="24" spans="2:12" ht="18">
      <c r="B24" s="1388"/>
      <c r="C24" s="1122" t="str">
        <f>+'EPC Liquidity Plan'!C35</f>
        <v>Sambo Green Filter</v>
      </c>
      <c r="D24" s="872" t="s">
        <v>473</v>
      </c>
      <c r="E24" s="1122">
        <f>+'EPC Liquidity Plan'!D35</f>
        <v>171</v>
      </c>
      <c r="F24" s="1123">
        <f t="shared" si="2"/>
        <v>236790.54</v>
      </c>
      <c r="G24" s="1391"/>
      <c r="H24" s="1385"/>
      <c r="I24" s="1385"/>
      <c r="L24" s="619">
        <v>1413</v>
      </c>
    </row>
    <row r="25" spans="2:12" ht="18">
      <c r="B25" s="1388"/>
      <c r="C25" s="1122" t="str">
        <f>+'EPC Liquidity Plan'!C36</f>
        <v>Shincheon Food</v>
      </c>
      <c r="D25" s="872" t="s">
        <v>472</v>
      </c>
      <c r="E25" s="1122">
        <f>+'EPC Liquidity Plan'!D36</f>
        <v>234</v>
      </c>
      <c r="F25" s="1123">
        <f t="shared" si="2"/>
        <v>321506.64</v>
      </c>
      <c r="G25" s="1391"/>
      <c r="H25" s="1385"/>
      <c r="I25" s="1385"/>
      <c r="L25" s="619">
        <v>1402</v>
      </c>
    </row>
    <row r="26" spans="2:12" ht="18">
      <c r="B26" s="1388"/>
      <c r="C26" s="1124" t="str">
        <f>+'EPC Liquidity Plan'!C37</f>
        <v>Giga steel</v>
      </c>
      <c r="D26" s="873" t="s">
        <v>474</v>
      </c>
      <c r="E26" s="1124">
        <f>+'EPC Liquidity Plan'!D37</f>
        <v>500</v>
      </c>
      <c r="F26" s="1125">
        <f t="shared" si="2"/>
        <v>686000</v>
      </c>
      <c r="G26" s="1391"/>
      <c r="H26" s="1385"/>
      <c r="I26" s="1385"/>
      <c r="L26" s="619">
        <f>+'CAPEX_Input_3,7HO(수정용)'!G39</f>
        <v>1400</v>
      </c>
    </row>
    <row r="27" spans="2:12" ht="18">
      <c r="B27" s="1388"/>
      <c r="C27" s="1392" t="s">
        <v>611</v>
      </c>
      <c r="D27" s="1393"/>
      <c r="E27" s="699">
        <f>SUM(E20:E26)</f>
        <v>1863.93</v>
      </c>
      <c r="F27" s="699">
        <f>SUM(F20:F26)</f>
        <v>2539665.4038</v>
      </c>
      <c r="G27" s="1391"/>
      <c r="H27" s="1385"/>
      <c r="I27" s="1385"/>
      <c r="L27" s="619"/>
    </row>
    <row r="28" spans="2:12" ht="18">
      <c r="B28" s="1388"/>
      <c r="C28" s="1119" t="str">
        <f>+'EPC Liquidity Plan'!C38</f>
        <v>Jinyoung Metal Factory_1</v>
      </c>
      <c r="D28" s="874" t="s">
        <v>470</v>
      </c>
      <c r="E28" s="1119">
        <f>+'EPC Liquidity Plan'!D38</f>
        <v>817.21</v>
      </c>
      <c r="F28" s="1120">
        <f t="shared" si="2"/>
        <v>1142835.4966000002</v>
      </c>
      <c r="G28" s="1391"/>
      <c r="H28" s="1385"/>
      <c r="I28" s="1385"/>
      <c r="L28" s="619">
        <f>+'CAPEX_Input_3,7HO(수정용)'!G40</f>
        <v>1427</v>
      </c>
    </row>
    <row r="29" spans="2:12" ht="18">
      <c r="B29" s="1388"/>
      <c r="C29" s="1122" t="str">
        <f>+'EPC Liquidity Plan'!C39</f>
        <v>Joongang Special Paper</v>
      </c>
      <c r="D29" s="872" t="s">
        <v>472</v>
      </c>
      <c r="E29" s="1122">
        <f>+'EPC Liquidity Plan'!D39</f>
        <v>438</v>
      </c>
      <c r="F29" s="1123">
        <f t="shared" si="2"/>
        <v>613813.19999999995</v>
      </c>
      <c r="G29" s="1391"/>
      <c r="H29" s="1385"/>
      <c r="I29" s="1385"/>
      <c r="L29" s="619">
        <f>+'CAPEX_Input_3,7HO(수정용)'!G41</f>
        <v>1430</v>
      </c>
    </row>
    <row r="30" spans="2:12" ht="18">
      <c r="B30" s="1388"/>
      <c r="C30" s="1122" t="str">
        <f>+'EPC Liquidity Plan'!C40</f>
        <v>Fusei Menix 1 &amp; 2</v>
      </c>
      <c r="D30" s="872" t="s">
        <v>612</v>
      </c>
      <c r="E30" s="1122">
        <f>+'EPC Liquidity Plan'!D40</f>
        <v>527</v>
      </c>
      <c r="F30" s="1123">
        <f t="shared" si="2"/>
        <v>719945.24</v>
      </c>
      <c r="G30" s="1391"/>
      <c r="H30" s="1385"/>
      <c r="I30" s="1385"/>
      <c r="L30" s="619">
        <v>1394</v>
      </c>
    </row>
    <row r="31" spans="2:12" ht="18">
      <c r="B31" s="1388"/>
      <c r="C31" s="1122" t="str">
        <f>+'EPC Liquidity Plan'!C41</f>
        <v>Mijin Precision</v>
      </c>
      <c r="D31" s="872" t="s">
        <v>612</v>
      </c>
      <c r="E31" s="1122">
        <f>+'EPC Liquidity Plan'!D41</f>
        <v>127</v>
      </c>
      <c r="F31" s="1123">
        <f t="shared" si="2"/>
        <v>171754.8</v>
      </c>
      <c r="G31" s="1391"/>
      <c r="H31" s="1385"/>
      <c r="I31" s="1385"/>
      <c r="L31" s="619">
        <v>1380</v>
      </c>
    </row>
    <row r="32" spans="2:12" ht="18">
      <c r="B32" s="1388"/>
      <c r="C32" s="1122" t="str">
        <f>+'EPC Liquidity Plan'!C43</f>
        <v>Wolchool Metal</v>
      </c>
      <c r="D32" s="872" t="s">
        <v>612</v>
      </c>
      <c r="E32" s="1122">
        <f>+'EPC Liquidity Plan'!D43</f>
        <v>161</v>
      </c>
      <c r="F32" s="1123">
        <f t="shared" si="2"/>
        <v>226256.52</v>
      </c>
      <c r="G32" s="1391"/>
      <c r="H32" s="1385"/>
      <c r="I32" s="1385"/>
      <c r="L32" s="619">
        <v>1434</v>
      </c>
    </row>
    <row r="33" spans="2:12" ht="18">
      <c r="B33" s="1388"/>
      <c r="C33" s="1124" t="str">
        <f>+'EPC Liquidity Plan'!C42</f>
        <v>Unitech Korea</v>
      </c>
      <c r="D33" s="873" t="s">
        <v>470</v>
      </c>
      <c r="E33" s="1124">
        <f>+'EPC Liquidity Plan'!D42</f>
        <v>269</v>
      </c>
      <c r="F33" s="1125">
        <f t="shared" si="2"/>
        <v>370386.1</v>
      </c>
      <c r="G33" s="1394"/>
      <c r="H33" s="1386"/>
      <c r="I33" s="1386"/>
      <c r="L33" s="619">
        <v>1405</v>
      </c>
    </row>
    <row r="34" spans="2:12" ht="18" customHeight="1">
      <c r="B34" s="1388"/>
      <c r="C34" s="617" t="s">
        <v>608</v>
      </c>
      <c r="D34" s="617"/>
      <c r="E34" s="699">
        <f>+E20+E21+E22+E23+E29+E24+E25+E26</f>
        <v>2301.9300000000003</v>
      </c>
      <c r="F34" s="700">
        <f>+F20+F21+F22+F23+F29+F24+F25+F26</f>
        <v>3153478.6037999997</v>
      </c>
      <c r="G34" s="1126"/>
      <c r="H34" s="1126"/>
      <c r="I34" s="1126"/>
      <c r="L34" s="619"/>
    </row>
    <row r="35" spans="2:12" ht="18" customHeight="1">
      <c r="B35" s="1388"/>
      <c r="C35" s="1382" t="s">
        <v>611</v>
      </c>
      <c r="D35" s="1383"/>
      <c r="E35" s="699">
        <f>SUM(E28:E33)</f>
        <v>2339.21</v>
      </c>
      <c r="F35" s="700">
        <f>SUM(F28:F33)</f>
        <v>3244991.3566000001</v>
      </c>
      <c r="G35" s="1126"/>
      <c r="H35" s="1126"/>
      <c r="I35" s="1126"/>
      <c r="L35" s="619"/>
    </row>
    <row r="36" spans="2:12" ht="27" customHeight="1">
      <c r="B36" s="1389"/>
      <c r="C36" s="1382" t="s">
        <v>608</v>
      </c>
      <c r="D36" s="1383"/>
      <c r="E36" s="699">
        <f>+E27+E35</f>
        <v>4203.1400000000003</v>
      </c>
      <c r="F36" s="700">
        <f>+F27+F35</f>
        <v>5784656.7604</v>
      </c>
      <c r="G36" s="1126"/>
      <c r="H36" s="1126"/>
      <c r="I36" s="1126"/>
      <c r="L36" s="619"/>
    </row>
  </sheetData>
  <mergeCells count="15">
    <mergeCell ref="H14:H16"/>
    <mergeCell ref="I14:I16"/>
    <mergeCell ref="C17:D17"/>
    <mergeCell ref="I20:I33"/>
    <mergeCell ref="B20:B36"/>
    <mergeCell ref="C27:D27"/>
    <mergeCell ref="C35:D35"/>
    <mergeCell ref="C36:D36"/>
    <mergeCell ref="G20:G33"/>
    <mergeCell ref="H20:H33"/>
    <mergeCell ref="B3:B11"/>
    <mergeCell ref="C11:D11"/>
    <mergeCell ref="G3:G10"/>
    <mergeCell ref="B14:B17"/>
    <mergeCell ref="G14:G16"/>
  </mergeCells>
  <phoneticPr fontId="9"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4335C-6DF6-4E1D-A6B3-AB65B4654002}">
  <dimension ref="B1:L59"/>
  <sheetViews>
    <sheetView showGridLines="0" zoomScale="70" zoomScaleNormal="70" workbookViewId="0">
      <selection activeCell="C36" sqref="B22:C54"/>
    </sheetView>
  </sheetViews>
  <sheetFormatPr defaultRowHeight="12.75"/>
  <cols>
    <col min="1" max="1" width="1.7109375" customWidth="1"/>
    <col min="2" max="2" width="12.28515625" customWidth="1"/>
    <col min="3" max="3" width="30.85546875" customWidth="1"/>
    <col min="4" max="4" width="25.42578125" customWidth="1"/>
    <col min="5" max="5" width="21.42578125" customWidth="1"/>
    <col min="6" max="10" width="25.42578125" customWidth="1"/>
    <col min="12" max="12" width="15.42578125" bestFit="1" customWidth="1"/>
  </cols>
  <sheetData>
    <row r="1" spans="2:12">
      <c r="B1" t="s">
        <v>192</v>
      </c>
      <c r="L1" s="5">
        <v>1100000</v>
      </c>
    </row>
    <row r="2" spans="2:12" ht="39.6" customHeight="1">
      <c r="B2" s="1399" t="s">
        <v>165</v>
      </c>
      <c r="C2" s="1399" t="s">
        <v>613</v>
      </c>
      <c r="D2" s="1399" t="s">
        <v>614</v>
      </c>
      <c r="E2" s="1399" t="s">
        <v>615</v>
      </c>
      <c r="F2" s="614" t="s">
        <v>616</v>
      </c>
      <c r="G2" s="614" t="s">
        <v>617</v>
      </c>
      <c r="H2" s="613" t="s">
        <v>618</v>
      </c>
      <c r="I2" s="613" t="s">
        <v>619</v>
      </c>
      <c r="J2" s="613" t="s">
        <v>620</v>
      </c>
    </row>
    <row r="3" spans="2:12" ht="31.5" customHeight="1">
      <c r="B3" s="1399"/>
      <c r="C3" s="1399"/>
      <c r="D3" s="1399"/>
      <c r="E3" s="1399"/>
      <c r="F3" s="614" t="s">
        <v>621</v>
      </c>
      <c r="G3" s="614" t="s">
        <v>622</v>
      </c>
      <c r="H3" s="615">
        <v>0.5</v>
      </c>
      <c r="I3" s="615">
        <v>0.4</v>
      </c>
      <c r="J3" s="615">
        <v>0.1</v>
      </c>
    </row>
    <row r="4" spans="2:12" ht="31.15" customHeight="1">
      <c r="B4" s="1395" t="s">
        <v>444</v>
      </c>
      <c r="C4" s="616" t="str">
        <f>+PPAN!C3</f>
        <v>Changseong High Tech</v>
      </c>
      <c r="D4" s="616">
        <f>+PPAN!E3</f>
        <v>166.37</v>
      </c>
      <c r="E4" s="618">
        <v>45962</v>
      </c>
      <c r="F4" s="619">
        <f>+D4*$L$1/1000000</f>
        <v>183.00700000000001</v>
      </c>
      <c r="G4" s="619">
        <f t="shared" ref="G4:G11" si="0">+F4*1.1</f>
        <v>201.30770000000001</v>
      </c>
      <c r="H4" s="619">
        <f>+$G4*H$3</f>
        <v>100.65385000000001</v>
      </c>
      <c r="I4" s="619">
        <f t="shared" ref="I4:J11" si="1">+$G4*I$3</f>
        <v>80.523080000000007</v>
      </c>
      <c r="J4" s="619">
        <f t="shared" si="1"/>
        <v>20.130770000000002</v>
      </c>
      <c r="L4" t="b">
        <f t="shared" ref="L4:L12" si="2">+$L$28*D4/1000000*1.1=H4+I4+J4</f>
        <v>1</v>
      </c>
    </row>
    <row r="5" spans="2:12" ht="31.5" customHeight="1">
      <c r="B5" s="1396"/>
      <c r="C5" s="616" t="str">
        <f>+PPAN!C4</f>
        <v>LSG</v>
      </c>
      <c r="D5" s="616">
        <f>+PPAN!E4</f>
        <v>499.11</v>
      </c>
      <c r="E5" s="618">
        <v>45962</v>
      </c>
      <c r="F5" s="682">
        <f t="shared" ref="F5:F11" si="3">+D5*$L$1/1000000</f>
        <v>549.02099999999996</v>
      </c>
      <c r="G5" s="619">
        <f t="shared" si="0"/>
        <v>603.92309999999998</v>
      </c>
      <c r="H5" s="619">
        <f t="shared" ref="H5:H11" si="4">+$G5*H$3</f>
        <v>301.96154999999999</v>
      </c>
      <c r="I5" s="619">
        <f t="shared" si="1"/>
        <v>241.56924000000001</v>
      </c>
      <c r="J5" s="619">
        <f t="shared" si="1"/>
        <v>60.392310000000002</v>
      </c>
      <c r="L5" t="b">
        <f t="shared" si="2"/>
        <v>1</v>
      </c>
    </row>
    <row r="6" spans="2:12" ht="31.5" customHeight="1">
      <c r="B6" s="1396"/>
      <c r="C6" s="616" t="str">
        <f>+PPAN!C5</f>
        <v>Hanseo Motors</v>
      </c>
      <c r="D6" s="616">
        <f>+PPAN!E5</f>
        <v>142.875</v>
      </c>
      <c r="E6" s="618">
        <v>45962</v>
      </c>
      <c r="F6" s="682">
        <f t="shared" si="3"/>
        <v>157.16249999999999</v>
      </c>
      <c r="G6" s="619">
        <f t="shared" si="0"/>
        <v>172.87875</v>
      </c>
      <c r="H6" s="619">
        <f t="shared" si="4"/>
        <v>86.439374999999998</v>
      </c>
      <c r="I6" s="619">
        <f t="shared" si="1"/>
        <v>69.151499999999999</v>
      </c>
      <c r="J6" s="619">
        <f t="shared" si="1"/>
        <v>17.287875</v>
      </c>
      <c r="L6" t="b">
        <f t="shared" si="2"/>
        <v>1</v>
      </c>
    </row>
    <row r="7" spans="2:12" ht="31.5" customHeight="1">
      <c r="B7" s="1396"/>
      <c r="C7" s="616" t="str">
        <f>+PPAN!C6</f>
        <v>Seun Steel Gyeongju</v>
      </c>
      <c r="D7" s="616">
        <f>+PPAN!E6</f>
        <v>709.29499999999996</v>
      </c>
      <c r="E7" s="618">
        <v>45992</v>
      </c>
      <c r="F7" s="682">
        <f t="shared" si="3"/>
        <v>780.22450000000003</v>
      </c>
      <c r="G7" s="619">
        <f t="shared" si="0"/>
        <v>858.24695000000008</v>
      </c>
      <c r="H7" s="619">
        <f t="shared" si="4"/>
        <v>429.12347500000004</v>
      </c>
      <c r="I7" s="619">
        <f t="shared" si="1"/>
        <v>343.29878000000008</v>
      </c>
      <c r="J7" s="619">
        <f t="shared" si="1"/>
        <v>85.82469500000002</v>
      </c>
      <c r="L7" t="b">
        <f t="shared" si="2"/>
        <v>1</v>
      </c>
    </row>
    <row r="8" spans="2:12" ht="31.5" customHeight="1">
      <c r="B8" s="1396"/>
      <c r="C8" s="616" t="str">
        <f>+PPAN!C7</f>
        <v>Oneel</v>
      </c>
      <c r="D8" s="616">
        <f>+PPAN!E7</f>
        <v>522.60500000000002</v>
      </c>
      <c r="E8" s="618">
        <v>45962</v>
      </c>
      <c r="F8" s="682">
        <f t="shared" si="3"/>
        <v>574.8655</v>
      </c>
      <c r="G8" s="619">
        <f t="shared" si="0"/>
        <v>632.35205000000008</v>
      </c>
      <c r="H8" s="619">
        <f t="shared" si="4"/>
        <v>316.17602500000004</v>
      </c>
      <c r="I8" s="619">
        <f t="shared" si="1"/>
        <v>252.94082000000003</v>
      </c>
      <c r="J8" s="619">
        <f t="shared" si="1"/>
        <v>63.235205000000008</v>
      </c>
      <c r="L8" t="b">
        <f t="shared" si="2"/>
        <v>1</v>
      </c>
    </row>
    <row r="9" spans="2:12" ht="31.5" customHeight="1">
      <c r="B9" s="1396"/>
      <c r="C9" s="616" t="str">
        <f>+PPAN!C8</f>
        <v>E-Tech</v>
      </c>
      <c r="D9" s="616">
        <f>+PPAN!E8</f>
        <v>148.47999999999999</v>
      </c>
      <c r="E9" s="618">
        <v>45992</v>
      </c>
      <c r="F9" s="682">
        <f t="shared" si="3"/>
        <v>163.328</v>
      </c>
      <c r="G9" s="619">
        <f t="shared" si="0"/>
        <v>179.66080000000002</v>
      </c>
      <c r="H9" s="619">
        <f t="shared" si="4"/>
        <v>89.830400000000012</v>
      </c>
      <c r="I9" s="619">
        <f t="shared" si="1"/>
        <v>71.864320000000006</v>
      </c>
      <c r="J9" s="619">
        <f t="shared" si="1"/>
        <v>17.966080000000002</v>
      </c>
      <c r="L9" t="b">
        <f t="shared" si="2"/>
        <v>1</v>
      </c>
    </row>
    <row r="10" spans="2:12" ht="31.5" customHeight="1">
      <c r="B10" s="1396"/>
      <c r="C10" s="616" t="str">
        <f>+PPAN!C9</f>
        <v>Daechon Headquarters</v>
      </c>
      <c r="D10" s="616">
        <f>+PPAN!E9</f>
        <v>897.89</v>
      </c>
      <c r="E10" s="618">
        <v>45962</v>
      </c>
      <c r="F10" s="682">
        <f t="shared" si="3"/>
        <v>987.67899999999997</v>
      </c>
      <c r="G10" s="619">
        <f t="shared" si="0"/>
        <v>1086.4469000000001</v>
      </c>
      <c r="H10" s="619">
        <f t="shared" si="4"/>
        <v>543.22345000000007</v>
      </c>
      <c r="I10" s="619">
        <f t="shared" si="1"/>
        <v>434.5787600000001</v>
      </c>
      <c r="J10" s="619">
        <f t="shared" si="1"/>
        <v>108.64469000000003</v>
      </c>
      <c r="L10" t="b">
        <f t="shared" si="2"/>
        <v>1</v>
      </c>
    </row>
    <row r="11" spans="2:12" ht="31.5" customHeight="1">
      <c r="B11" s="1400"/>
      <c r="C11" s="616" t="str">
        <f>+PPAN!C10</f>
        <v>Daechon Busan</v>
      </c>
      <c r="D11" s="616">
        <f>+PPAN!E10</f>
        <v>1155.7</v>
      </c>
      <c r="E11" s="618">
        <v>45962</v>
      </c>
      <c r="F11" s="682">
        <f t="shared" si="3"/>
        <v>1271.27</v>
      </c>
      <c r="G11" s="619">
        <f t="shared" si="0"/>
        <v>1398.3970000000002</v>
      </c>
      <c r="H11" s="619">
        <f t="shared" si="4"/>
        <v>699.19850000000008</v>
      </c>
      <c r="I11" s="619">
        <f t="shared" si="1"/>
        <v>559.35880000000009</v>
      </c>
      <c r="J11" s="619">
        <f t="shared" si="1"/>
        <v>139.83970000000002</v>
      </c>
      <c r="L11" t="b">
        <f t="shared" si="2"/>
        <v>1</v>
      </c>
    </row>
    <row r="12" spans="2:12" ht="31.5" customHeight="1">
      <c r="B12" s="1382" t="s">
        <v>608</v>
      </c>
      <c r="C12" s="1383"/>
      <c r="D12" s="1397">
        <f>+SUM(D4:D11)</f>
        <v>4242.3249999999998</v>
      </c>
      <c r="E12" s="1398"/>
      <c r="F12" s="1126">
        <f>SUM(F4:F11)</f>
        <v>4666.5574999999999</v>
      </c>
      <c r="G12" s="1126">
        <f>SUM(G4:G11)</f>
        <v>5133.2132500000007</v>
      </c>
      <c r="H12" s="1126">
        <f>SUM(H4:H11)</f>
        <v>2566.6066250000003</v>
      </c>
      <c r="I12" s="1126">
        <f>SUM(I4:I11)</f>
        <v>2053.2853000000005</v>
      </c>
      <c r="J12" s="1126">
        <f>SUM(J4:J11)</f>
        <v>513.32132500000012</v>
      </c>
      <c r="L12" t="b">
        <f t="shared" si="2"/>
        <v>1</v>
      </c>
    </row>
    <row r="14" spans="2:12" ht="33" customHeight="1">
      <c r="D14" s="705">
        <f>+SUM(D4:D11)</f>
        <v>4242.3249999999998</v>
      </c>
      <c r="E14" s="620"/>
      <c r="F14" s="619">
        <f>+SUM(F4:F11)</f>
        <v>4666.5574999999999</v>
      </c>
      <c r="G14" s="682">
        <f>+SUM(G4:G11)*1000000</f>
        <v>5133213250.000001</v>
      </c>
      <c r="H14" s="619">
        <f>+SUM(H4:H11)</f>
        <v>2566.6066250000003</v>
      </c>
      <c r="I14" s="619">
        <f>+SUM(I4:I11)</f>
        <v>2053.2853000000005</v>
      </c>
      <c r="J14" s="619">
        <f>+SUM(J4:J11)</f>
        <v>513.32132500000012</v>
      </c>
      <c r="L14" s="683">
        <f>+G14/1470</f>
        <v>3491981.8027210892</v>
      </c>
    </row>
    <row r="15" spans="2:12" ht="33" customHeight="1">
      <c r="D15" s="657"/>
      <c r="L15" s="657">
        <f>L14+577187.07</f>
        <v>4069168.8727210891</v>
      </c>
    </row>
    <row r="16" spans="2:12">
      <c r="D16" s="657"/>
    </row>
    <row r="17" spans="2:12">
      <c r="B17" t="s">
        <v>194</v>
      </c>
      <c r="L17" s="5">
        <v>1100000</v>
      </c>
    </row>
    <row r="18" spans="2:12" ht="39.6" customHeight="1">
      <c r="B18" s="1399" t="s">
        <v>165</v>
      </c>
      <c r="C18" s="1399" t="s">
        <v>613</v>
      </c>
      <c r="D18" s="1399" t="s">
        <v>614</v>
      </c>
      <c r="E18" s="1399" t="s">
        <v>615</v>
      </c>
      <c r="F18" s="614" t="s">
        <v>616</v>
      </c>
      <c r="G18" s="614" t="s">
        <v>617</v>
      </c>
      <c r="H18" s="613" t="s">
        <v>618</v>
      </c>
      <c r="I18" s="613" t="s">
        <v>619</v>
      </c>
      <c r="J18" s="613" t="s">
        <v>620</v>
      </c>
    </row>
    <row r="19" spans="2:12" ht="31.5" customHeight="1">
      <c r="B19" s="1399"/>
      <c r="C19" s="1399"/>
      <c r="D19" s="1399"/>
      <c r="E19" s="1399"/>
      <c r="F19" s="614" t="s">
        <v>621</v>
      </c>
      <c r="G19" s="614" t="s">
        <v>622</v>
      </c>
      <c r="H19" s="615">
        <v>0.5</v>
      </c>
      <c r="I19" s="615">
        <v>0.4</v>
      </c>
      <c r="J19" s="615">
        <v>0.1</v>
      </c>
    </row>
    <row r="20" spans="2:12" ht="31.5" customHeight="1">
      <c r="B20" s="1395" t="s">
        <v>433</v>
      </c>
      <c r="C20" s="616" t="str">
        <f>+PPAN!C14</f>
        <v>Eco Inshutech</v>
      </c>
      <c r="D20" s="616">
        <f>+PPAN!E14</f>
        <v>225.78</v>
      </c>
      <c r="E20" s="618">
        <v>45992</v>
      </c>
      <c r="F20" s="619">
        <f>+D20*$L$17/1000000</f>
        <v>248.358</v>
      </c>
      <c r="G20" s="619">
        <f t="shared" ref="G20:G22" si="5">+F20*1.1</f>
        <v>273.19380000000001</v>
      </c>
      <c r="H20" s="619">
        <f>+$G20*H$19</f>
        <v>136.59690000000001</v>
      </c>
      <c r="I20" s="619">
        <f>+$G20*I$19</f>
        <v>109.27752000000001</v>
      </c>
      <c r="J20" s="619">
        <f>+$G20*J$19</f>
        <v>27.319380000000002</v>
      </c>
      <c r="L20" t="b">
        <f>+$L$28*D20/1000000*1.1=H20+I20+J20</f>
        <v>1</v>
      </c>
    </row>
    <row r="21" spans="2:12" ht="31.5" customHeight="1">
      <c r="B21" s="1396"/>
      <c r="C21" s="616" t="str">
        <f>+PPAN!C15</f>
        <v>Younggwang Industry</v>
      </c>
      <c r="D21" s="616">
        <f>+PPAN!E15</f>
        <v>545.46500000000003</v>
      </c>
      <c r="E21" s="618">
        <v>45962</v>
      </c>
      <c r="F21" s="619">
        <f t="shared" ref="F21:F22" si="6">+D21*$L$17/1000000</f>
        <v>600.01149999999996</v>
      </c>
      <c r="G21" s="619">
        <f t="shared" si="5"/>
        <v>660.01265000000001</v>
      </c>
      <c r="H21" s="619">
        <f t="shared" ref="H21:J22" si="7">+$G21*H$19</f>
        <v>330.006325</v>
      </c>
      <c r="I21" s="619">
        <f t="shared" si="7"/>
        <v>264.00506000000001</v>
      </c>
      <c r="J21" s="619">
        <f t="shared" si="7"/>
        <v>66.001265000000004</v>
      </c>
      <c r="L21" t="b">
        <f>+$L$28*D21/1000000*1.1=H21+I21+J21</f>
        <v>1</v>
      </c>
    </row>
    <row r="22" spans="2:12" ht="31.5" customHeight="1">
      <c r="B22" s="1396"/>
      <c r="C22" s="616" t="str">
        <f>+PPAN!C16</f>
        <v>MPM Trade</v>
      </c>
      <c r="D22" s="616">
        <f>+PPAN!E16</f>
        <v>210.82</v>
      </c>
      <c r="E22" s="618">
        <v>45962</v>
      </c>
      <c r="F22" s="619">
        <f t="shared" si="6"/>
        <v>231.90199999999999</v>
      </c>
      <c r="G22" s="619">
        <f t="shared" si="5"/>
        <v>255.09220000000002</v>
      </c>
      <c r="H22" s="619">
        <f t="shared" si="7"/>
        <v>127.54610000000001</v>
      </c>
      <c r="I22" s="619">
        <f t="shared" si="7"/>
        <v>102.03688000000001</v>
      </c>
      <c r="J22" s="619">
        <f t="shared" si="7"/>
        <v>25.509220000000003</v>
      </c>
      <c r="L22" t="b">
        <f>+$L$28*D22/1000000*1.1=H22+I22+J22</f>
        <v>1</v>
      </c>
    </row>
    <row r="23" spans="2:12" ht="31.5" hidden="1" customHeight="1">
      <c r="B23" s="617" t="s">
        <v>608</v>
      </c>
      <c r="C23" s="617" t="s">
        <v>608</v>
      </c>
      <c r="D23" s="1397" t="e">
        <f>+D20+D21+D22+#REF!+#REF!+#REF!+#REF!+#REF!</f>
        <v>#REF!</v>
      </c>
      <c r="E23" s="1398"/>
      <c r="F23" s="1126" t="e">
        <f>+#REF!+#REF!+#REF!+#REF!+#REF!+F22+F21+F20</f>
        <v>#REF!</v>
      </c>
      <c r="G23" s="1126" t="e">
        <f>+#REF!+#REF!+#REF!+#REF!+#REF!+G22+G21+G20</f>
        <v>#REF!</v>
      </c>
      <c r="H23" s="1126" t="e">
        <f>+#REF!+#REF!+#REF!+#REF!+#REF!+H22+H21+H20</f>
        <v>#REF!</v>
      </c>
      <c r="I23" s="1126" t="e">
        <f>+#REF!+#REF!+#REF!+#REF!+#REF!+I22+I21+I20</f>
        <v>#REF!</v>
      </c>
      <c r="J23" s="1126" t="e">
        <f>+#REF!+#REF!+#REF!+#REF!+#REF!+J22+J21+J20</f>
        <v>#REF!</v>
      </c>
    </row>
    <row r="24" spans="2:12" ht="31.5" customHeight="1">
      <c r="B24" s="1382" t="s">
        <v>608</v>
      </c>
      <c r="C24" s="1383"/>
      <c r="D24" s="1397">
        <f>+SUM(D20:D22)</f>
        <v>982.06500000000005</v>
      </c>
      <c r="E24" s="1398"/>
      <c r="F24" s="1126">
        <f>SUM(F20:F22)</f>
        <v>1080.2715000000001</v>
      </c>
      <c r="G24" s="1126">
        <f>SUM(G20:G22)</f>
        <v>1188.29865</v>
      </c>
      <c r="H24" s="1126">
        <f>SUM(H20:H22)</f>
        <v>594.14932499999998</v>
      </c>
      <c r="I24" s="1126">
        <f>SUM(I20:I22)</f>
        <v>475.31946000000005</v>
      </c>
      <c r="J24" s="1126">
        <f>SUM(J20:J22)</f>
        <v>118.82986500000001</v>
      </c>
      <c r="L24" t="b">
        <f>+$L$28*D24/1000000*1.1=H24+I24+J24</f>
        <v>1</v>
      </c>
    </row>
    <row r="26" spans="2:12" ht="33" customHeight="1">
      <c r="D26" s="705">
        <f>+SUM(D20:D22)</f>
        <v>982.06500000000005</v>
      </c>
      <c r="E26" s="620"/>
      <c r="F26" s="619">
        <f>+SUM(F20:F22)</f>
        <v>1080.2715000000001</v>
      </c>
      <c r="G26" s="682">
        <f>+SUM(G20:G22)*1000000</f>
        <v>1188298650</v>
      </c>
      <c r="H26" s="619">
        <f>+SUM(H20:H22)</f>
        <v>594.14932499999998</v>
      </c>
      <c r="I26" s="619">
        <f>+SUM(I20:I22)</f>
        <v>475.31946000000005</v>
      </c>
      <c r="J26" s="619">
        <f>+SUM(J20:J22)</f>
        <v>118.82986500000001</v>
      </c>
      <c r="L26" s="683">
        <f>+G26/1470</f>
        <v>808366.42857142852</v>
      </c>
    </row>
    <row r="28" spans="2:12">
      <c r="B28" t="s">
        <v>172</v>
      </c>
      <c r="L28" s="5">
        <v>1100000</v>
      </c>
    </row>
    <row r="29" spans="2:12" ht="39.6" customHeight="1">
      <c r="B29" s="1399" t="s">
        <v>623</v>
      </c>
      <c r="C29" s="1399" t="s">
        <v>613</v>
      </c>
      <c r="D29" s="1399" t="s">
        <v>614</v>
      </c>
      <c r="E29" s="1399" t="s">
        <v>615</v>
      </c>
      <c r="F29" s="614" t="s">
        <v>616</v>
      </c>
      <c r="G29" s="614" t="s">
        <v>617</v>
      </c>
      <c r="H29" s="613" t="s">
        <v>618</v>
      </c>
      <c r="I29" s="613" t="s">
        <v>619</v>
      </c>
      <c r="J29" s="613" t="s">
        <v>620</v>
      </c>
    </row>
    <row r="30" spans="2:12" ht="31.5" customHeight="1">
      <c r="B30" s="1399"/>
      <c r="C30" s="1399"/>
      <c r="D30" s="1399"/>
      <c r="E30" s="1399"/>
      <c r="F30" s="614" t="s">
        <v>621</v>
      </c>
      <c r="G30" s="614" t="s">
        <v>622</v>
      </c>
      <c r="H30" s="615">
        <v>0.5</v>
      </c>
      <c r="I30" s="615">
        <v>0.4</v>
      </c>
      <c r="J30" s="615">
        <v>0.1</v>
      </c>
    </row>
    <row r="31" spans="2:12" ht="31.5" customHeight="1">
      <c r="B31" s="1401">
        <v>1</v>
      </c>
      <c r="C31" s="616" t="str">
        <f>+'CAPEX_Amount to be paid in 2025'!C5</f>
        <v>Jinyoung Metal Factory_2</v>
      </c>
      <c r="D31" s="616">
        <f>+'CAPEX_Amount to be paid in 2025'!E5</f>
        <v>240.69</v>
      </c>
      <c r="E31" s="618">
        <v>45992</v>
      </c>
      <c r="F31" s="619">
        <f t="shared" ref="F31:F43" si="8">+D31*$L$28/1000000</f>
        <v>264.75900000000001</v>
      </c>
      <c r="G31" s="619">
        <f t="shared" ref="G31:G43" si="9">+F31*1.1</f>
        <v>291.23490000000004</v>
      </c>
      <c r="H31" s="619">
        <f t="shared" ref="H31:J43" si="10">+$G31*H$30</f>
        <v>145.61745000000002</v>
      </c>
      <c r="I31" s="619">
        <f t="shared" si="10"/>
        <v>116.49396000000002</v>
      </c>
      <c r="J31" s="619">
        <f t="shared" si="10"/>
        <v>29.123490000000004</v>
      </c>
      <c r="L31" t="b">
        <f t="shared" ref="L31:L45" si="11">+$L$28*D31/1000000*1.1=H31+I31+J31</f>
        <v>1</v>
      </c>
    </row>
    <row r="32" spans="2:12" ht="31.5" customHeight="1">
      <c r="B32" s="1402"/>
      <c r="C32" s="616" t="str">
        <f>+'CAPEX_Amount to be paid in 2025'!C6</f>
        <v>Kairos</v>
      </c>
      <c r="D32" s="616">
        <f>+'CAPEX_Amount to be paid in 2025'!E6</f>
        <v>386.24</v>
      </c>
      <c r="E32" s="618">
        <v>45992</v>
      </c>
      <c r="F32" s="619">
        <f t="shared" si="8"/>
        <v>424.86399999999998</v>
      </c>
      <c r="G32" s="619">
        <f t="shared" si="9"/>
        <v>467.35040000000004</v>
      </c>
      <c r="H32" s="619">
        <f t="shared" si="10"/>
        <v>233.67520000000002</v>
      </c>
      <c r="I32" s="619">
        <f t="shared" si="10"/>
        <v>186.94016000000002</v>
      </c>
      <c r="J32" s="619">
        <f t="shared" si="10"/>
        <v>46.735040000000005</v>
      </c>
      <c r="L32" t="b">
        <f t="shared" si="11"/>
        <v>1</v>
      </c>
    </row>
    <row r="33" spans="2:12" ht="31.5" customHeight="1">
      <c r="B33" s="1402"/>
      <c r="C33" s="616" t="str">
        <f>+'CAPEX_Amount to be paid in 2025'!C7</f>
        <v>Doori Industry</v>
      </c>
      <c r="D33" s="616">
        <f>+'CAPEX_Amount to be paid in 2025'!E7</f>
        <v>210</v>
      </c>
      <c r="E33" s="618">
        <v>45992</v>
      </c>
      <c r="F33" s="619">
        <f t="shared" si="8"/>
        <v>231</v>
      </c>
      <c r="G33" s="619">
        <f t="shared" si="9"/>
        <v>254.10000000000002</v>
      </c>
      <c r="H33" s="619">
        <f t="shared" si="10"/>
        <v>127.05000000000001</v>
      </c>
      <c r="I33" s="619">
        <f t="shared" si="10"/>
        <v>101.64000000000001</v>
      </c>
      <c r="J33" s="619">
        <f t="shared" si="10"/>
        <v>25.410000000000004</v>
      </c>
      <c r="L33" t="b">
        <f t="shared" si="11"/>
        <v>1</v>
      </c>
    </row>
    <row r="34" spans="2:12" ht="31.5" customHeight="1">
      <c r="B34" s="1402"/>
      <c r="C34" s="616" t="str">
        <f>+'CAPEX_Amount to be paid in 2025'!C8</f>
        <v>Geumjeong Techno</v>
      </c>
      <c r="D34" s="616">
        <f>+'CAPEX_Amount to be paid in 2025'!E8</f>
        <v>122</v>
      </c>
      <c r="E34" s="618">
        <v>45992</v>
      </c>
      <c r="F34" s="619">
        <f t="shared" si="8"/>
        <v>134.19999999999999</v>
      </c>
      <c r="G34" s="619">
        <f t="shared" si="9"/>
        <v>147.62</v>
      </c>
      <c r="H34" s="619">
        <f t="shared" si="10"/>
        <v>73.81</v>
      </c>
      <c r="I34" s="619">
        <f t="shared" si="10"/>
        <v>59.048000000000002</v>
      </c>
      <c r="J34" s="619">
        <f t="shared" si="10"/>
        <v>14.762</v>
      </c>
      <c r="L34" t="b">
        <f t="shared" si="11"/>
        <v>1</v>
      </c>
    </row>
    <row r="35" spans="2:12" ht="31.5" customHeight="1">
      <c r="B35" s="1402"/>
      <c r="C35" s="616" t="str">
        <f>+'CAPEX_Amount to be paid in 2025'!C11</f>
        <v>Sambo Green Filter</v>
      </c>
      <c r="D35" s="616">
        <f>+'CAPEX_Amount to be paid in 2025'!E11</f>
        <v>171</v>
      </c>
      <c r="E35" s="618">
        <v>45992</v>
      </c>
      <c r="F35" s="619">
        <f t="shared" si="8"/>
        <v>188.1</v>
      </c>
      <c r="G35" s="619">
        <f t="shared" si="9"/>
        <v>206.91</v>
      </c>
      <c r="H35" s="619">
        <f t="shared" si="10"/>
        <v>103.455</v>
      </c>
      <c r="I35" s="619">
        <f t="shared" si="10"/>
        <v>82.76400000000001</v>
      </c>
      <c r="J35" s="619">
        <f t="shared" si="10"/>
        <v>20.691000000000003</v>
      </c>
      <c r="L35" t="b">
        <f t="shared" si="11"/>
        <v>1</v>
      </c>
    </row>
    <row r="36" spans="2:12" ht="31.5" customHeight="1">
      <c r="B36" s="1402"/>
      <c r="C36" s="616" t="str">
        <f>+'CAPEX_Amount to be paid in 2025'!C13</f>
        <v>Shincheon Food</v>
      </c>
      <c r="D36" s="616">
        <f>+'CAPEX_Amount to be paid in 2025'!E13</f>
        <v>234</v>
      </c>
      <c r="E36" s="618">
        <v>45992</v>
      </c>
      <c r="F36" s="619">
        <f>+D36*$L$28/1000000</f>
        <v>257.39999999999998</v>
      </c>
      <c r="G36" s="619">
        <f>+F36*1.1</f>
        <v>283.14</v>
      </c>
      <c r="H36" s="619">
        <f t="shared" ref="H36:J38" si="12">+$G36*H$30</f>
        <v>141.57</v>
      </c>
      <c r="I36" s="619">
        <f t="shared" si="12"/>
        <v>113.256</v>
      </c>
      <c r="J36" s="619">
        <f t="shared" si="12"/>
        <v>28.314</v>
      </c>
      <c r="L36" t="b">
        <f>+$L$28*D36/1000000*1.1=H36+I36+J36</f>
        <v>1</v>
      </c>
    </row>
    <row r="37" spans="2:12" ht="31.5" customHeight="1">
      <c r="B37" s="1403"/>
      <c r="C37" s="616" t="str">
        <f>+'CAPEX_Amount to be paid in 2025'!C14</f>
        <v>Giga steel</v>
      </c>
      <c r="D37" s="616">
        <f>+'CAPEX_Amount to be paid in 2025'!E14</f>
        <v>500</v>
      </c>
      <c r="E37" s="618">
        <v>45992</v>
      </c>
      <c r="F37" s="619">
        <f>+D37*$L$28/1000000</f>
        <v>550</v>
      </c>
      <c r="G37" s="619">
        <f>+F37*1.1</f>
        <v>605</v>
      </c>
      <c r="H37" s="619">
        <f t="shared" si="12"/>
        <v>302.5</v>
      </c>
      <c r="I37" s="619">
        <f t="shared" si="12"/>
        <v>242</v>
      </c>
      <c r="J37" s="619">
        <f t="shared" si="12"/>
        <v>60.5</v>
      </c>
      <c r="L37" t="b">
        <f>+$L$28*D37/1000000*1.1=H37+I37+J37</f>
        <v>1</v>
      </c>
    </row>
    <row r="38" spans="2:12" ht="31.5" customHeight="1">
      <c r="B38" s="1401">
        <v>2</v>
      </c>
      <c r="C38" s="616" t="str">
        <f>+'CAPEX_Amount to be paid in 2025'!C4</f>
        <v>Jinyoung Metal Factory_1</v>
      </c>
      <c r="D38" s="616">
        <f>+'CAPEX_Amount to be paid in 2025'!E4</f>
        <v>817.21</v>
      </c>
      <c r="E38" s="618">
        <v>46081</v>
      </c>
      <c r="F38" s="619">
        <f>+D38*$L$28/1000000</f>
        <v>898.93100000000004</v>
      </c>
      <c r="G38" s="619">
        <f>+F38*1.1</f>
        <v>988.82410000000016</v>
      </c>
      <c r="H38" s="619">
        <f t="shared" si="12"/>
        <v>494.41205000000008</v>
      </c>
      <c r="I38" s="619">
        <f t="shared" si="12"/>
        <v>395.52964000000009</v>
      </c>
      <c r="J38" s="619">
        <f t="shared" si="12"/>
        <v>98.882410000000021</v>
      </c>
      <c r="L38" t="b">
        <f>+$L$28*D38/1000000*1.1=H38+I38+J38</f>
        <v>1</v>
      </c>
    </row>
    <row r="39" spans="2:12" ht="31.5" customHeight="1">
      <c r="B39" s="1402"/>
      <c r="C39" s="616" t="str">
        <f>+'CAPEX_Amount to be paid in 2025'!C10</f>
        <v>Joongang Special Paper</v>
      </c>
      <c r="D39" s="616">
        <f>+'CAPEX_Amount to be paid in 2025'!E10</f>
        <v>438</v>
      </c>
      <c r="E39" s="618">
        <v>46081</v>
      </c>
      <c r="F39" s="619">
        <f>+D39*$L$28/1000000</f>
        <v>481.8</v>
      </c>
      <c r="G39" s="619">
        <f>+F39*1.1</f>
        <v>529.98</v>
      </c>
      <c r="H39" s="619">
        <f>+$G39*H$30</f>
        <v>264.99</v>
      </c>
      <c r="I39" s="619">
        <f>+$G39*I$30</f>
        <v>211.99200000000002</v>
      </c>
      <c r="J39" s="619">
        <f>+$G39*J$30</f>
        <v>52.998000000000005</v>
      </c>
    </row>
    <row r="40" spans="2:12" ht="31.5" customHeight="1">
      <c r="B40" s="1402"/>
      <c r="C40" s="616" t="str">
        <f>+'CAPEX_Amount to be paid in 2025'!C12</f>
        <v>Fusei Menix 1 &amp; 2</v>
      </c>
      <c r="D40" s="616">
        <f>+'CAPEX_Amount to be paid in 2025'!E12</f>
        <v>527</v>
      </c>
      <c r="E40" s="618">
        <v>46053</v>
      </c>
      <c r="F40" s="619">
        <f t="shared" si="8"/>
        <v>579.70000000000005</v>
      </c>
      <c r="G40" s="619">
        <f t="shared" si="9"/>
        <v>637.67000000000007</v>
      </c>
      <c r="H40" s="619">
        <f t="shared" si="10"/>
        <v>318.83500000000004</v>
      </c>
      <c r="I40" s="619">
        <f t="shared" si="10"/>
        <v>255.06800000000004</v>
      </c>
      <c r="J40" s="619">
        <f t="shared" si="10"/>
        <v>63.76700000000001</v>
      </c>
      <c r="L40" t="b">
        <f t="shared" si="11"/>
        <v>1</v>
      </c>
    </row>
    <row r="41" spans="2:12" ht="31.5" customHeight="1">
      <c r="B41" s="1402"/>
      <c r="C41" s="616" t="str">
        <f>+'CAPEX_Amount to be paid in 2025'!C15</f>
        <v>Mijin Precision</v>
      </c>
      <c r="D41" s="616">
        <f>+'CAPEX_Amount to be paid in 2025'!E15</f>
        <v>127</v>
      </c>
      <c r="E41" s="618">
        <v>46081</v>
      </c>
      <c r="F41" s="619">
        <f t="shared" si="8"/>
        <v>139.69999999999999</v>
      </c>
      <c r="G41" s="619">
        <f t="shared" si="9"/>
        <v>153.66999999999999</v>
      </c>
      <c r="H41" s="619">
        <f t="shared" si="10"/>
        <v>76.834999999999994</v>
      </c>
      <c r="I41" s="619">
        <f t="shared" si="10"/>
        <v>61.467999999999996</v>
      </c>
      <c r="J41" s="619">
        <f t="shared" si="10"/>
        <v>15.366999999999999</v>
      </c>
      <c r="L41" t="b">
        <f t="shared" si="11"/>
        <v>1</v>
      </c>
    </row>
    <row r="42" spans="2:12" ht="31.5" customHeight="1">
      <c r="B42" s="1402"/>
      <c r="C42" s="616" t="str">
        <f>+'CAPEX_Amount to be paid in 2025'!C17</f>
        <v>Unitech Korea</v>
      </c>
      <c r="D42" s="616">
        <f>+'CAPEX_Amount to be paid in 2025'!E17</f>
        <v>269</v>
      </c>
      <c r="E42" s="618">
        <v>46081</v>
      </c>
      <c r="F42" s="619">
        <f>+D42*$L$28/1000000</f>
        <v>295.89999999999998</v>
      </c>
      <c r="G42" s="619">
        <f>+F42*1.1</f>
        <v>325.49</v>
      </c>
      <c r="H42" s="619">
        <f>+$G42*H$30</f>
        <v>162.745</v>
      </c>
      <c r="I42" s="619">
        <f>+$G42*I$30</f>
        <v>130.196</v>
      </c>
      <c r="J42" s="619">
        <f>+$G42*J$30</f>
        <v>32.548999999999999</v>
      </c>
      <c r="L42" t="b">
        <f>+$L$28*D42/1000000*1.1=H42+I42+J42</f>
        <v>1</v>
      </c>
    </row>
    <row r="43" spans="2:12" ht="31.5" customHeight="1">
      <c r="B43" s="1403"/>
      <c r="C43" s="616" t="str">
        <f>+'CAPEX_Amount to be paid in 2025'!C16</f>
        <v>Wolchool Metal</v>
      </c>
      <c r="D43" s="616">
        <f>+'CAPEX_Amount to be paid in 2025'!E16</f>
        <v>161</v>
      </c>
      <c r="E43" s="618">
        <v>46053</v>
      </c>
      <c r="F43" s="619">
        <f t="shared" si="8"/>
        <v>177.1</v>
      </c>
      <c r="G43" s="619">
        <f t="shared" si="9"/>
        <v>194.81</v>
      </c>
      <c r="H43" s="619">
        <f t="shared" si="10"/>
        <v>97.405000000000001</v>
      </c>
      <c r="I43" s="619">
        <f t="shared" si="10"/>
        <v>77.924000000000007</v>
      </c>
      <c r="J43" s="619">
        <f t="shared" si="10"/>
        <v>19.481000000000002</v>
      </c>
      <c r="L43" t="b">
        <f t="shared" si="11"/>
        <v>1</v>
      </c>
    </row>
    <row r="44" spans="2:12" ht="31.5" hidden="1" customHeight="1">
      <c r="B44" s="617" t="s">
        <v>608</v>
      </c>
      <c r="C44" s="617" t="s">
        <v>608</v>
      </c>
      <c r="D44" s="1397">
        <f>+D31+D32+D33+D34+D39+D35+D36+D37</f>
        <v>2301.9300000000003</v>
      </c>
      <c r="E44" s="1398"/>
      <c r="F44" s="1126">
        <f>+F37+F36+F35+F39+F34+F33+F32+F31</f>
        <v>2532.123</v>
      </c>
      <c r="G44" s="1126">
        <f>+G37+G36+G35+G39+G34+G33+G32+G31</f>
        <v>2785.3353000000002</v>
      </c>
      <c r="H44" s="1126">
        <f>+H37+H36+H35+H39+H34+H33+H32+H31</f>
        <v>1392.6676500000001</v>
      </c>
      <c r="I44" s="1126">
        <f>+I37+I36+I35+I39+I34+I33+I32+I31</f>
        <v>1114.1341199999999</v>
      </c>
      <c r="J44" s="1126">
        <f>+J37+J36+J35+J39+J34+J33+J32+J31</f>
        <v>278.53352999999998</v>
      </c>
    </row>
    <row r="45" spans="2:12" ht="31.5" customHeight="1">
      <c r="B45" s="1382" t="s">
        <v>608</v>
      </c>
      <c r="C45" s="1383"/>
      <c r="D45" s="1397">
        <f>+SUM(D31:D43)</f>
        <v>4203.1400000000003</v>
      </c>
      <c r="E45" s="1398"/>
      <c r="F45" s="1126">
        <f>SUM(F31:F43)</f>
        <v>4623.4539999999997</v>
      </c>
      <c r="G45" s="1126">
        <f>SUM(G31:G43)</f>
        <v>5085.7994000000008</v>
      </c>
      <c r="H45" s="1126">
        <f>SUM(H31:H43)</f>
        <v>2542.8997000000004</v>
      </c>
      <c r="I45" s="1126">
        <f>SUM(I31:I43)</f>
        <v>2034.3197600000001</v>
      </c>
      <c r="J45" s="1126">
        <f>SUM(J31:J43)</f>
        <v>508.57994000000002</v>
      </c>
      <c r="L45" t="b">
        <f t="shared" si="11"/>
        <v>1</v>
      </c>
    </row>
    <row r="47" spans="2:12" ht="33" customHeight="1">
      <c r="D47" s="705">
        <f>+SUM(D31:D37)</f>
        <v>1863.93</v>
      </c>
      <c r="E47" s="620"/>
      <c r="F47" s="619">
        <f>+SUM(F31:F37)</f>
        <v>2050.3229999999999</v>
      </c>
      <c r="G47" s="682">
        <f>+SUM(G31:G37)*1000000</f>
        <v>2255355300</v>
      </c>
      <c r="H47" s="619">
        <f>+SUM(H31:H37)</f>
        <v>1127.6776500000001</v>
      </c>
      <c r="I47" s="619">
        <f>+SUM(I31:I37)</f>
        <v>902.14211999999998</v>
      </c>
      <c r="J47" s="619">
        <f>+SUM(J31:J37)</f>
        <v>225.53552999999999</v>
      </c>
      <c r="L47" s="683">
        <f>+G47/1470</f>
        <v>1534255.306122449</v>
      </c>
    </row>
    <row r="48" spans="2:12" ht="33" customHeight="1">
      <c r="D48" s="705">
        <f>+SUM(D38:D43)</f>
        <v>2339.21</v>
      </c>
      <c r="E48" s="620"/>
      <c r="F48" s="619">
        <f>+SUM(F38:F43)</f>
        <v>2573.1309999999999</v>
      </c>
      <c r="G48" s="682">
        <f>+SUM(G38:G43)*1000000</f>
        <v>2830444100</v>
      </c>
      <c r="H48" s="619">
        <f>+SUM(H38:H43)</f>
        <v>1415.2220500000001</v>
      </c>
      <c r="I48" s="619">
        <f>+SUM(I38:I43)</f>
        <v>1132.1776400000001</v>
      </c>
      <c r="J48" s="619">
        <f>+SUM(J38:J43)</f>
        <v>283.04441000000003</v>
      </c>
      <c r="L48" s="683">
        <f>+G48/1470</f>
        <v>1925472.1768707484</v>
      </c>
    </row>
    <row r="49" spans="4:12" ht="33" customHeight="1">
      <c r="F49" s="619">
        <f>+F47+F48</f>
        <v>4623.4539999999997</v>
      </c>
      <c r="G49" s="682">
        <f>+G47+G48</f>
        <v>5085799400</v>
      </c>
      <c r="H49" s="682">
        <f t="shared" ref="H49:J49" si="13">+H47+H48</f>
        <v>2542.8996999999999</v>
      </c>
      <c r="I49" s="682">
        <f t="shared" si="13"/>
        <v>2034.3197600000001</v>
      </c>
      <c r="J49" s="682">
        <f t="shared" si="13"/>
        <v>508.57994000000002</v>
      </c>
    </row>
    <row r="50" spans="4:12" ht="33" customHeight="1">
      <c r="D50" s="657">
        <f>+SUM(D31:D37)</f>
        <v>1863.93</v>
      </c>
      <c r="L50" s="683">
        <f>+G45*1000000/1470</f>
        <v>3459727.4829931981</v>
      </c>
    </row>
    <row r="51" spans="4:12">
      <c r="D51" s="657">
        <f>+SUM(D38:D43)</f>
        <v>2339.21</v>
      </c>
    </row>
    <row r="54" spans="4:12">
      <c r="F54" s="657">
        <v>172.8</v>
      </c>
    </row>
    <row r="55" spans="4:12">
      <c r="F55">
        <v>354.56</v>
      </c>
    </row>
    <row r="56" spans="4:12">
      <c r="F56">
        <v>269.08999999999997</v>
      </c>
    </row>
    <row r="57" spans="4:12">
      <c r="F57">
        <v>161</v>
      </c>
    </row>
    <row r="59" spans="4:12">
      <c r="F59" s="657">
        <f>SUM(F54:F58)</f>
        <v>957.45</v>
      </c>
      <c r="G59" s="339">
        <f>950000000*0.95745</f>
        <v>909577500</v>
      </c>
    </row>
  </sheetData>
  <mergeCells count="24">
    <mergeCell ref="D29:D30"/>
    <mergeCell ref="E29:E30"/>
    <mergeCell ref="D45:E45"/>
    <mergeCell ref="D44:E44"/>
    <mergeCell ref="B29:B30"/>
    <mergeCell ref="B31:B37"/>
    <mergeCell ref="B38:B43"/>
    <mergeCell ref="B45:C45"/>
    <mergeCell ref="C29:C30"/>
    <mergeCell ref="B2:B3"/>
    <mergeCell ref="C2:C3"/>
    <mergeCell ref="D2:D3"/>
    <mergeCell ref="E2:E3"/>
    <mergeCell ref="B4:B11"/>
    <mergeCell ref="B20:B22"/>
    <mergeCell ref="D23:E23"/>
    <mergeCell ref="B24:C24"/>
    <mergeCell ref="D24:E24"/>
    <mergeCell ref="B12:C12"/>
    <mergeCell ref="D12:E12"/>
    <mergeCell ref="B18:B19"/>
    <mergeCell ref="C18:C19"/>
    <mergeCell ref="D18:D19"/>
    <mergeCell ref="E18:E19"/>
  </mergeCells>
  <phoneticPr fontId="9"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824F-26B6-4FD5-9D59-6B161F6545F0}">
  <dimension ref="A2:L22"/>
  <sheetViews>
    <sheetView showGridLines="0" workbookViewId="0">
      <selection activeCell="C36" sqref="B22:C54"/>
    </sheetView>
  </sheetViews>
  <sheetFormatPr defaultColWidth="9.140625" defaultRowHeight="12"/>
  <cols>
    <col min="1" max="1" width="6" style="921" customWidth="1"/>
    <col min="2" max="2" width="9.28515625" style="921" bestFit="1" customWidth="1"/>
    <col min="3" max="3" width="22.7109375" style="921" customWidth="1"/>
    <col min="4" max="4" width="9.7109375" style="922" bestFit="1" customWidth="1"/>
    <col min="5" max="5" width="10.28515625" style="921" customWidth="1"/>
    <col min="6" max="6" width="10.85546875" style="921" customWidth="1"/>
    <col min="7" max="8" width="17.140625" style="921" customWidth="1"/>
    <col min="9" max="9" width="10.85546875" style="921" customWidth="1"/>
    <col min="10" max="11" width="17.140625" style="921" customWidth="1"/>
    <col min="12" max="12" width="9.7109375" style="921" bestFit="1" customWidth="1"/>
    <col min="13" max="16384" width="9.140625" style="921"/>
  </cols>
  <sheetData>
    <row r="2" spans="1:12">
      <c r="A2" s="921" t="s">
        <v>175</v>
      </c>
      <c r="L2" s="921">
        <v>1470</v>
      </c>
    </row>
    <row r="3" spans="1:12" ht="12" customHeight="1">
      <c r="A3" s="1408" t="s">
        <v>624</v>
      </c>
      <c r="B3" s="1417" t="s">
        <v>625</v>
      </c>
      <c r="C3" s="1417" t="s">
        <v>626</v>
      </c>
      <c r="D3" s="923" t="s">
        <v>627</v>
      </c>
      <c r="E3" s="1414" t="s">
        <v>628</v>
      </c>
      <c r="F3" s="1415"/>
      <c r="G3" s="1415"/>
      <c r="H3" s="1416"/>
      <c r="I3" s="1414" t="s">
        <v>629</v>
      </c>
      <c r="J3" s="1415"/>
      <c r="K3" s="1415"/>
    </row>
    <row r="4" spans="1:12" ht="13.15" customHeight="1">
      <c r="A4" s="1409"/>
      <c r="B4" s="1418"/>
      <c r="C4" s="1418"/>
      <c r="D4" s="924" t="s">
        <v>630</v>
      </c>
      <c r="E4" s="925" t="s">
        <v>631</v>
      </c>
      <c r="F4" s="924" t="s">
        <v>632</v>
      </c>
      <c r="G4" s="925" t="s">
        <v>633</v>
      </c>
      <c r="H4" s="925" t="s">
        <v>634</v>
      </c>
      <c r="I4" s="924" t="s">
        <v>632</v>
      </c>
      <c r="J4" s="925" t="s">
        <v>633</v>
      </c>
      <c r="K4" s="926" t="s">
        <v>634</v>
      </c>
    </row>
    <row r="5" spans="1:12" ht="12" customHeight="1">
      <c r="A5" s="1406" t="s">
        <v>635</v>
      </c>
      <c r="B5" s="939">
        <v>1</v>
      </c>
      <c r="C5" s="940" t="str">
        <f>+'EPC Liquidity Plan'!C4</f>
        <v>Changseong High Tech</v>
      </c>
      <c r="D5" s="940">
        <f>+'EPC Liquidity Plan'!D4</f>
        <v>166.37</v>
      </c>
      <c r="E5" s="967">
        <v>5</v>
      </c>
      <c r="F5" s="937">
        <v>40000</v>
      </c>
      <c r="G5" s="937">
        <f t="shared" ref="G5:G12" si="0">+F5*D5*E5</f>
        <v>33274000</v>
      </c>
      <c r="H5" s="938">
        <f>+G5/$L$2</f>
        <v>22635.374149659863</v>
      </c>
      <c r="I5" s="937">
        <v>40000</v>
      </c>
      <c r="J5" s="937">
        <f>+(20-E5)*I5*D5</f>
        <v>99822000</v>
      </c>
      <c r="K5" s="968">
        <f>+J5/$L$2</f>
        <v>67906.122448979586</v>
      </c>
    </row>
    <row r="6" spans="1:12" ht="12" customHeight="1">
      <c r="A6" s="1407"/>
      <c r="B6" s="927">
        <f t="shared" ref="B6:B11" si="1">+B5+1</f>
        <v>2</v>
      </c>
      <c r="C6" s="928" t="str">
        <f>+'EPC Liquidity Plan'!C5</f>
        <v>LSG</v>
      </c>
      <c r="D6" s="928">
        <f>+'EPC Liquidity Plan'!D5</f>
        <v>499.11</v>
      </c>
      <c r="E6" s="929">
        <v>5</v>
      </c>
      <c r="F6" s="930">
        <v>40000</v>
      </c>
      <c r="G6" s="930">
        <f t="shared" si="0"/>
        <v>99822000</v>
      </c>
      <c r="H6" s="931">
        <f t="shared" ref="H6:H12" si="2">+G6/$L$2</f>
        <v>67906.122448979586</v>
      </c>
      <c r="I6" s="930">
        <v>40000</v>
      </c>
      <c r="J6" s="930">
        <f t="shared" ref="J6:J12" si="3">+(20-E6)*I6*D6</f>
        <v>299466000</v>
      </c>
      <c r="K6" s="932">
        <f t="shared" ref="K6:K12" si="4">+J6/$L$2</f>
        <v>203718.36734693879</v>
      </c>
    </row>
    <row r="7" spans="1:12" ht="12" customHeight="1">
      <c r="A7" s="1407"/>
      <c r="B7" s="927">
        <f t="shared" si="1"/>
        <v>3</v>
      </c>
      <c r="C7" s="928" t="str">
        <f>+'EPC Liquidity Plan'!C6</f>
        <v>Hanseo Motors</v>
      </c>
      <c r="D7" s="928">
        <f>+'EPC Liquidity Plan'!D6</f>
        <v>142.875</v>
      </c>
      <c r="E7" s="929">
        <v>5</v>
      </c>
      <c r="F7" s="930">
        <v>40000</v>
      </c>
      <c r="G7" s="930">
        <f t="shared" si="0"/>
        <v>28575000</v>
      </c>
      <c r="H7" s="931">
        <f t="shared" si="2"/>
        <v>19438.775510204083</v>
      </c>
      <c r="I7" s="930">
        <v>40000</v>
      </c>
      <c r="J7" s="930">
        <f t="shared" si="3"/>
        <v>85725000</v>
      </c>
      <c r="K7" s="932">
        <f t="shared" si="4"/>
        <v>58316.326530612248</v>
      </c>
    </row>
    <row r="8" spans="1:12" ht="12" customHeight="1">
      <c r="A8" s="1407"/>
      <c r="B8" s="927">
        <f t="shared" si="1"/>
        <v>4</v>
      </c>
      <c r="C8" s="928" t="str">
        <f>+'EPC Liquidity Plan'!C7</f>
        <v>Seun Steel Gyeongju</v>
      </c>
      <c r="D8" s="928">
        <f>+'EPC Liquidity Plan'!D7</f>
        <v>709.29499999999996</v>
      </c>
      <c r="E8" s="929">
        <v>5</v>
      </c>
      <c r="F8" s="930">
        <v>40000</v>
      </c>
      <c r="G8" s="930">
        <f t="shared" si="0"/>
        <v>141859000</v>
      </c>
      <c r="H8" s="931">
        <f t="shared" si="2"/>
        <v>96502.72108843537</v>
      </c>
      <c r="I8" s="930">
        <v>40000</v>
      </c>
      <c r="J8" s="930">
        <f t="shared" si="3"/>
        <v>425577000</v>
      </c>
      <c r="K8" s="932">
        <f t="shared" si="4"/>
        <v>289508.1632653061</v>
      </c>
    </row>
    <row r="9" spans="1:12" ht="12" customHeight="1">
      <c r="A9" s="1407"/>
      <c r="B9" s="927">
        <f t="shared" si="1"/>
        <v>5</v>
      </c>
      <c r="C9" s="928" t="str">
        <f>+'EPC Liquidity Plan'!C8</f>
        <v>Oneel</v>
      </c>
      <c r="D9" s="928">
        <f>+'EPC Liquidity Plan'!D8</f>
        <v>522.60500000000002</v>
      </c>
      <c r="E9" s="929">
        <v>5</v>
      </c>
      <c r="F9" s="930">
        <v>40000</v>
      </c>
      <c r="G9" s="930">
        <f t="shared" si="0"/>
        <v>104521000</v>
      </c>
      <c r="H9" s="931">
        <f t="shared" si="2"/>
        <v>71102.72108843537</v>
      </c>
      <c r="I9" s="930">
        <v>40000</v>
      </c>
      <c r="J9" s="930">
        <f t="shared" si="3"/>
        <v>313563000</v>
      </c>
      <c r="K9" s="932">
        <f t="shared" si="4"/>
        <v>213308.16326530612</v>
      </c>
    </row>
    <row r="10" spans="1:12" ht="12" customHeight="1">
      <c r="A10" s="1407"/>
      <c r="B10" s="927">
        <f t="shared" si="1"/>
        <v>6</v>
      </c>
      <c r="C10" s="928" t="str">
        <f>+'EPC Liquidity Plan'!C9</f>
        <v>E-Tech</v>
      </c>
      <c r="D10" s="928">
        <f>+'EPC Liquidity Plan'!D9</f>
        <v>148.47999999999999</v>
      </c>
      <c r="E10" s="929">
        <v>5</v>
      </c>
      <c r="F10" s="930">
        <v>40000</v>
      </c>
      <c r="G10" s="930">
        <f t="shared" si="0"/>
        <v>29696000</v>
      </c>
      <c r="H10" s="931">
        <f t="shared" si="2"/>
        <v>20201.360544217689</v>
      </c>
      <c r="I10" s="930">
        <v>40000</v>
      </c>
      <c r="J10" s="930">
        <f t="shared" si="3"/>
        <v>89088000</v>
      </c>
      <c r="K10" s="932">
        <f t="shared" si="4"/>
        <v>60604.081632653062</v>
      </c>
    </row>
    <row r="11" spans="1:12" ht="12" customHeight="1">
      <c r="A11" s="1407"/>
      <c r="B11" s="927">
        <f t="shared" si="1"/>
        <v>7</v>
      </c>
      <c r="C11" s="928" t="str">
        <f>+'EPC Liquidity Plan'!C10</f>
        <v>Daechon Headquarters</v>
      </c>
      <c r="D11" s="928">
        <f>+'EPC Liquidity Plan'!D10</f>
        <v>897.89</v>
      </c>
      <c r="E11" s="929">
        <v>5</v>
      </c>
      <c r="F11" s="930">
        <v>40000</v>
      </c>
      <c r="G11" s="930">
        <f t="shared" si="0"/>
        <v>179578000</v>
      </c>
      <c r="H11" s="931">
        <f t="shared" si="2"/>
        <v>122161.90476190476</v>
      </c>
      <c r="I11" s="930">
        <v>40000</v>
      </c>
      <c r="J11" s="930">
        <f t="shared" si="3"/>
        <v>538734000</v>
      </c>
      <c r="K11" s="932">
        <f t="shared" si="4"/>
        <v>366485.71428571426</v>
      </c>
    </row>
    <row r="12" spans="1:12" ht="12" customHeight="1">
      <c r="A12" s="1413"/>
      <c r="B12" s="969">
        <f t="shared" ref="B12" si="5">+B11+1</f>
        <v>8</v>
      </c>
      <c r="C12" s="970" t="str">
        <f>+'EPC Liquidity Plan'!C11</f>
        <v>Daechon Busan</v>
      </c>
      <c r="D12" s="970">
        <f>+'EPC Liquidity Plan'!D11</f>
        <v>1155.7</v>
      </c>
      <c r="E12" s="971">
        <v>5</v>
      </c>
      <c r="F12" s="972">
        <v>40000</v>
      </c>
      <c r="G12" s="972">
        <f t="shared" si="0"/>
        <v>231140000</v>
      </c>
      <c r="H12" s="973">
        <f t="shared" si="2"/>
        <v>157238.09523809524</v>
      </c>
      <c r="I12" s="972">
        <v>40000</v>
      </c>
      <c r="J12" s="972">
        <f t="shared" si="3"/>
        <v>693420000</v>
      </c>
      <c r="K12" s="974">
        <f t="shared" si="4"/>
        <v>471714.28571428574</v>
      </c>
    </row>
    <row r="13" spans="1:12" ht="12" customHeight="1">
      <c r="A13" s="1410" t="s">
        <v>17</v>
      </c>
      <c r="B13" s="1411"/>
      <c r="C13" s="1412"/>
      <c r="D13" s="963">
        <f>+SUM(D5:D12)</f>
        <v>4242.3249999999998</v>
      </c>
      <c r="E13" s="964"/>
      <c r="F13" s="964"/>
      <c r="G13" s="965">
        <f>+SUM(G5:G12)</f>
        <v>848465000</v>
      </c>
      <c r="H13" s="966">
        <f>+SUM(H5:H12)</f>
        <v>577187.07482993195</v>
      </c>
      <c r="I13" s="966"/>
      <c r="J13" s="965">
        <f>+SUM(J5:J12)</f>
        <v>2545395000</v>
      </c>
      <c r="K13" s="966">
        <f>+SUM(K5:K12)</f>
        <v>1731561.2244897957</v>
      </c>
    </row>
    <row r="14" spans="1:12">
      <c r="D14" s="941" t="b">
        <f>+PPAN!E11=D13</f>
        <v>1</v>
      </c>
    </row>
    <row r="15" spans="1:12">
      <c r="A15" s="921" t="s">
        <v>194</v>
      </c>
      <c r="L15" s="921">
        <v>1470</v>
      </c>
    </row>
    <row r="16" spans="1:12" ht="12" customHeight="1">
      <c r="A16" s="1408" t="s">
        <v>624</v>
      </c>
      <c r="B16" s="1417" t="s">
        <v>625</v>
      </c>
      <c r="C16" s="1417" t="s">
        <v>626</v>
      </c>
      <c r="D16" s="923" t="s">
        <v>627</v>
      </c>
      <c r="E16" s="1414" t="s">
        <v>628</v>
      </c>
      <c r="F16" s="1415"/>
      <c r="G16" s="1415"/>
      <c r="H16" s="1416"/>
      <c r="I16" s="1414" t="s">
        <v>629</v>
      </c>
      <c r="J16" s="1415"/>
      <c r="K16" s="1415"/>
    </row>
    <row r="17" spans="1:11" ht="13.15" customHeight="1">
      <c r="A17" s="1409"/>
      <c r="B17" s="1418"/>
      <c r="C17" s="1418"/>
      <c r="D17" s="924" t="s">
        <v>630</v>
      </c>
      <c r="E17" s="925" t="s">
        <v>631</v>
      </c>
      <c r="F17" s="924" t="s">
        <v>632</v>
      </c>
      <c r="G17" s="925" t="s">
        <v>633</v>
      </c>
      <c r="H17" s="925" t="s">
        <v>634</v>
      </c>
      <c r="I17" s="924" t="s">
        <v>632</v>
      </c>
      <c r="J17" s="925" t="s">
        <v>633</v>
      </c>
      <c r="K17" s="926" t="s">
        <v>634</v>
      </c>
    </row>
    <row r="18" spans="1:11" ht="12" customHeight="1">
      <c r="A18" s="1406" t="s">
        <v>636</v>
      </c>
      <c r="B18" s="939">
        <v>1</v>
      </c>
      <c r="C18" s="940" t="str">
        <f>+'EPC Liquidity Plan'!C20</f>
        <v>Eco Inshutech</v>
      </c>
      <c r="D18" s="940">
        <f>+'EPC Liquidity Plan'!D20</f>
        <v>225.78</v>
      </c>
      <c r="E18" s="929">
        <v>7</v>
      </c>
      <c r="F18" s="937">
        <v>40000</v>
      </c>
      <c r="G18" s="930">
        <f>+F18*D18*E18</f>
        <v>63218400</v>
      </c>
      <c r="H18" s="938">
        <f>+G18/$L$2</f>
        <v>43005.714285714283</v>
      </c>
      <c r="I18" s="930">
        <v>40000</v>
      </c>
      <c r="J18" s="930">
        <f>+(20-E18)*I18*D18</f>
        <v>117405600</v>
      </c>
      <c r="K18" s="932">
        <f t="shared" ref="K18:K20" si="6">+J18/$L$2</f>
        <v>79867.755102040814</v>
      </c>
    </row>
    <row r="19" spans="1:11" ht="12" customHeight="1">
      <c r="A19" s="1407"/>
      <c r="B19" s="927">
        <v>2</v>
      </c>
      <c r="C19" s="928" t="str">
        <f>+'EPC Liquidity Plan'!C21</f>
        <v>Younggwang Industry</v>
      </c>
      <c r="D19" s="928">
        <f>+'EPC Liquidity Plan'!D21</f>
        <v>545.46500000000003</v>
      </c>
      <c r="E19" s="929">
        <v>5</v>
      </c>
      <c r="F19" s="930">
        <v>40000</v>
      </c>
      <c r="G19" s="930">
        <f>+F19*D19*E19</f>
        <v>109093000</v>
      </c>
      <c r="H19" s="931">
        <f t="shared" ref="H19:H20" si="7">+G19/$L$2</f>
        <v>74212.925170068032</v>
      </c>
      <c r="I19" s="930">
        <v>40000</v>
      </c>
      <c r="J19" s="930">
        <f t="shared" ref="J19" si="8">+(20-E19)*I19*D19</f>
        <v>327279000</v>
      </c>
      <c r="K19" s="932">
        <f t="shared" si="6"/>
        <v>222638.77551020408</v>
      </c>
    </row>
    <row r="20" spans="1:11" ht="12" customHeight="1">
      <c r="A20" s="1407"/>
      <c r="B20" s="927">
        <v>3</v>
      </c>
      <c r="C20" s="928" t="str">
        <f>+'EPC Liquidity Plan'!C22</f>
        <v>MPM Trade</v>
      </c>
      <c r="D20" s="928">
        <f>+'EPC Liquidity Plan'!D22</f>
        <v>210.82</v>
      </c>
      <c r="E20" s="929">
        <v>5</v>
      </c>
      <c r="F20" s="930">
        <v>40000</v>
      </c>
      <c r="G20" s="930">
        <f>+F20*D20*E20</f>
        <v>42164000</v>
      </c>
      <c r="H20" s="931">
        <f t="shared" si="7"/>
        <v>28682.993197278913</v>
      </c>
      <c r="I20" s="930">
        <v>40000</v>
      </c>
      <c r="J20" s="930">
        <f>+(20-E20)*I20*D20</f>
        <v>126492000</v>
      </c>
      <c r="K20" s="932">
        <f t="shared" si="6"/>
        <v>86048.979591836731</v>
      </c>
    </row>
    <row r="21" spans="1:11" ht="12" customHeight="1">
      <c r="A21" s="1404"/>
      <c r="B21" s="1404"/>
      <c r="C21" s="1405"/>
      <c r="D21" s="933">
        <f>+SUM(D18:D20)</f>
        <v>982.06500000000005</v>
      </c>
      <c r="E21" s="934"/>
      <c r="F21" s="934"/>
      <c r="G21" s="935">
        <f>+SUM(G18:G20)</f>
        <v>214475400</v>
      </c>
      <c r="H21" s="936">
        <f>+SUM(H18:H20)</f>
        <v>145901.63265306121</v>
      </c>
      <c r="I21" s="936"/>
      <c r="J21" s="935">
        <f>+SUM(J18:J20)</f>
        <v>571176600</v>
      </c>
      <c r="K21" s="936">
        <f>+SUM(K18:K20)</f>
        <v>388555.51020408166</v>
      </c>
    </row>
    <row r="22" spans="1:11">
      <c r="D22" s="922" t="b">
        <f>+PPAN!E17=D21</f>
        <v>1</v>
      </c>
    </row>
  </sheetData>
  <mergeCells count="14">
    <mergeCell ref="I16:K16"/>
    <mergeCell ref="E3:H3"/>
    <mergeCell ref="E16:H16"/>
    <mergeCell ref="B16:B17"/>
    <mergeCell ref="C16:C17"/>
    <mergeCell ref="B3:B4"/>
    <mergeCell ref="C3:C4"/>
    <mergeCell ref="I3:K3"/>
    <mergeCell ref="A21:C21"/>
    <mergeCell ref="A18:A20"/>
    <mergeCell ref="A3:A4"/>
    <mergeCell ref="A13:C13"/>
    <mergeCell ref="A5:A12"/>
    <mergeCell ref="A16:A17"/>
  </mergeCells>
  <phoneticPr fontId="9"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D572A-4E05-4EAF-9219-B5394DD17CEB}">
  <dimension ref="B2:N64"/>
  <sheetViews>
    <sheetView showGridLines="0" topLeftCell="A35" workbookViewId="0">
      <selection activeCell="C36" sqref="B22:C54"/>
    </sheetView>
  </sheetViews>
  <sheetFormatPr defaultColWidth="9.140625" defaultRowHeight="12"/>
  <cols>
    <col min="1" max="1" width="1.7109375" style="909" customWidth="1"/>
    <col min="2" max="2" width="9.140625" style="909"/>
    <col min="3" max="3" width="14.140625" style="909" customWidth="1"/>
    <col min="4" max="4" width="9.28515625" style="909" bestFit="1" customWidth="1"/>
    <col min="5" max="5" width="38.28515625" style="909" customWidth="1"/>
    <col min="6" max="6" width="9.7109375" style="910" bestFit="1" customWidth="1"/>
    <col min="7" max="7" width="27.42578125" style="909" customWidth="1"/>
    <col min="8" max="13" width="17.140625" style="909" customWidth="1"/>
    <col min="14" max="14" width="9.7109375" style="909" bestFit="1" customWidth="1"/>
    <col min="15" max="16384" width="9.140625" style="909"/>
  </cols>
  <sheetData>
    <row r="2" spans="2:14">
      <c r="N2" s="909">
        <v>1470</v>
      </c>
    </row>
    <row r="3" spans="2:14" ht="14.25">
      <c r="B3" s="1430" t="s">
        <v>624</v>
      </c>
      <c r="C3" s="875" t="s">
        <v>637</v>
      </c>
      <c r="D3" s="1432" t="s">
        <v>625</v>
      </c>
      <c r="E3" s="1432" t="s">
        <v>626</v>
      </c>
      <c r="F3" s="875" t="s">
        <v>627</v>
      </c>
      <c r="G3" s="1432" t="s">
        <v>638</v>
      </c>
      <c r="H3" s="875" t="s">
        <v>639</v>
      </c>
      <c r="I3" s="1434" t="s">
        <v>640</v>
      </c>
      <c r="J3" s="1435"/>
      <c r="K3" s="1434" t="s">
        <v>641</v>
      </c>
      <c r="L3" s="1436"/>
      <c r="M3" s="1437" t="s">
        <v>642</v>
      </c>
    </row>
    <row r="4" spans="2:14" ht="14.25">
      <c r="B4" s="1431"/>
      <c r="C4" s="876" t="s">
        <v>303</v>
      </c>
      <c r="D4" s="1433"/>
      <c r="E4" s="1433"/>
      <c r="F4" s="876" t="s">
        <v>630</v>
      </c>
      <c r="G4" s="1433"/>
      <c r="H4" s="876" t="s">
        <v>632</v>
      </c>
      <c r="I4" s="877" t="s">
        <v>633</v>
      </c>
      <c r="J4" s="877" t="s">
        <v>634</v>
      </c>
      <c r="K4" s="877" t="s">
        <v>633</v>
      </c>
      <c r="L4" s="878" t="s">
        <v>634</v>
      </c>
      <c r="M4" s="1438"/>
    </row>
    <row r="5" spans="2:14" ht="14.25">
      <c r="B5" s="1419" t="s">
        <v>643</v>
      </c>
      <c r="C5" s="1422">
        <v>1</v>
      </c>
      <c r="D5" s="1424">
        <v>1</v>
      </c>
      <c r="E5" s="1425" t="str">
        <f>+'EPC Liquidity Plan'!C4</f>
        <v>Changseong High Tech</v>
      </c>
      <c r="F5" s="1425">
        <f>+'EPC Liquidity Plan'!D4</f>
        <v>166.37</v>
      </c>
      <c r="G5" s="883" t="s">
        <v>644</v>
      </c>
      <c r="H5" s="884">
        <v>40000</v>
      </c>
      <c r="I5" s="884">
        <f>+H5*F5*7</f>
        <v>46583600</v>
      </c>
      <c r="J5" s="903">
        <f>+I5/$N$2</f>
        <v>31689.523809523809</v>
      </c>
      <c r="K5" s="885"/>
      <c r="L5" s="906"/>
      <c r="M5" s="887"/>
    </row>
    <row r="6" spans="2:14" ht="14.25">
      <c r="B6" s="1420"/>
      <c r="C6" s="1423"/>
      <c r="D6" s="1424"/>
      <c r="E6" s="1424"/>
      <c r="F6" s="1424"/>
      <c r="G6" s="883" t="s">
        <v>645</v>
      </c>
      <c r="H6" s="884">
        <v>40000</v>
      </c>
      <c r="I6" s="885"/>
      <c r="J6" s="902"/>
      <c r="K6" s="884">
        <f>+F5*H6*15</f>
        <v>99822000</v>
      </c>
      <c r="L6" s="905">
        <f>+K6/$N$2</f>
        <v>67906.122448979586</v>
      </c>
      <c r="M6" s="886"/>
    </row>
    <row r="7" spans="2:14" ht="14.25">
      <c r="B7" s="1420"/>
      <c r="C7" s="1423"/>
      <c r="D7" s="1424">
        <f>+D5+1</f>
        <v>2</v>
      </c>
      <c r="E7" s="1425" t="str">
        <f>+'EPC Liquidity Plan'!C5</f>
        <v>LSG</v>
      </c>
      <c r="F7" s="1425">
        <f>+'EPC Liquidity Plan'!D5</f>
        <v>499.11</v>
      </c>
      <c r="G7" s="883" t="s">
        <v>644</v>
      </c>
      <c r="H7" s="884">
        <v>40000</v>
      </c>
      <c r="I7" s="884">
        <f>+H7*F7*7</f>
        <v>139750800</v>
      </c>
      <c r="J7" s="903">
        <f>+I7/$N$2</f>
        <v>95068.571428571435</v>
      </c>
      <c r="K7" s="885"/>
      <c r="L7" s="906"/>
      <c r="M7" s="887"/>
    </row>
    <row r="8" spans="2:14" ht="14.25">
      <c r="B8" s="1420"/>
      <c r="C8" s="1423"/>
      <c r="D8" s="1424"/>
      <c r="E8" s="1424"/>
      <c r="F8" s="1424"/>
      <c r="G8" s="883" t="s">
        <v>645</v>
      </c>
      <c r="H8" s="884">
        <v>40000</v>
      </c>
      <c r="I8" s="885"/>
      <c r="J8" s="902"/>
      <c r="K8" s="884">
        <f>+F7*H8*15</f>
        <v>299466000</v>
      </c>
      <c r="L8" s="905">
        <f>+K8/$N$2</f>
        <v>203718.36734693879</v>
      </c>
      <c r="M8" s="886"/>
    </row>
    <row r="9" spans="2:14" ht="14.25">
      <c r="B9" s="1420"/>
      <c r="C9" s="1423"/>
      <c r="D9" s="1424">
        <f t="shared" ref="D9" si="0">+D7+1</f>
        <v>3</v>
      </c>
      <c r="E9" s="1425" t="str">
        <f>+'EPC Liquidity Plan'!C6</f>
        <v>Hanseo Motors</v>
      </c>
      <c r="F9" s="1425">
        <f>+'EPC Liquidity Plan'!D6</f>
        <v>142.875</v>
      </c>
      <c r="G9" s="883" t="s">
        <v>644</v>
      </c>
      <c r="H9" s="884">
        <v>40000</v>
      </c>
      <c r="I9" s="884">
        <f>+H9*F9*7</f>
        <v>40005000</v>
      </c>
      <c r="J9" s="903">
        <f>+I9/$N$2</f>
        <v>27214.285714285714</v>
      </c>
      <c r="K9" s="885"/>
      <c r="L9" s="906"/>
      <c r="M9" s="887"/>
    </row>
    <row r="10" spans="2:14" ht="14.25">
      <c r="B10" s="1420"/>
      <c r="C10" s="1423"/>
      <c r="D10" s="1424"/>
      <c r="E10" s="1424"/>
      <c r="F10" s="1424"/>
      <c r="G10" s="883" t="s">
        <v>645</v>
      </c>
      <c r="H10" s="884">
        <v>40000</v>
      </c>
      <c r="I10" s="885"/>
      <c r="J10" s="902"/>
      <c r="K10" s="884">
        <f>+F9*H10*15</f>
        <v>85725000</v>
      </c>
      <c r="L10" s="905">
        <f>+K10/$N$2</f>
        <v>58316.326530612248</v>
      </c>
      <c r="M10" s="886"/>
    </row>
    <row r="11" spans="2:14" ht="14.25">
      <c r="B11" s="1420"/>
      <c r="C11" s="1423"/>
      <c r="D11" s="1424">
        <f t="shared" ref="D11" si="1">+D9+1</f>
        <v>4</v>
      </c>
      <c r="E11" s="1425" t="str">
        <f>+'EPC Liquidity Plan'!C7</f>
        <v>Seun Steel Gyeongju</v>
      </c>
      <c r="F11" s="1425">
        <f>+'EPC Liquidity Plan'!D7</f>
        <v>709.29499999999996</v>
      </c>
      <c r="G11" s="883" t="s">
        <v>644</v>
      </c>
      <c r="H11" s="884">
        <v>40000</v>
      </c>
      <c r="I11" s="884">
        <f>+H11*F11*7</f>
        <v>198602600</v>
      </c>
      <c r="J11" s="903">
        <f>+I11/$N$2</f>
        <v>135103.80952380953</v>
      </c>
      <c r="K11" s="885"/>
      <c r="L11" s="906"/>
      <c r="M11" s="887"/>
    </row>
    <row r="12" spans="2:14" ht="14.25">
      <c r="B12" s="1420"/>
      <c r="C12" s="1423"/>
      <c r="D12" s="1424"/>
      <c r="E12" s="1424"/>
      <c r="F12" s="1424"/>
      <c r="G12" s="883" t="s">
        <v>645</v>
      </c>
      <c r="H12" s="884">
        <v>40000</v>
      </c>
      <c r="I12" s="885"/>
      <c r="J12" s="902"/>
      <c r="K12" s="884">
        <f>+F11*H12*15</f>
        <v>425577000</v>
      </c>
      <c r="L12" s="905">
        <f>+K12/$N$2</f>
        <v>289508.1632653061</v>
      </c>
      <c r="M12" s="886"/>
    </row>
    <row r="13" spans="2:14" ht="14.25">
      <c r="B13" s="1420"/>
      <c r="C13" s="1423"/>
      <c r="D13" s="1424">
        <f t="shared" ref="D13" si="2">+D11+1</f>
        <v>5</v>
      </c>
      <c r="E13" s="1425" t="str">
        <f>+'EPC Liquidity Plan'!C8</f>
        <v>Oneel</v>
      </c>
      <c r="F13" s="1425">
        <f>+'EPC Liquidity Plan'!D8</f>
        <v>522.60500000000002</v>
      </c>
      <c r="G13" s="883" t="s">
        <v>644</v>
      </c>
      <c r="H13" s="884">
        <v>40000</v>
      </c>
      <c r="I13" s="884">
        <f>+H13*F13*7</f>
        <v>146329400</v>
      </c>
      <c r="J13" s="903">
        <f>+I13/$N$2</f>
        <v>99543.809523809527</v>
      </c>
      <c r="K13" s="885"/>
      <c r="L13" s="906"/>
      <c r="M13" s="887"/>
    </row>
    <row r="14" spans="2:14" ht="14.25">
      <c r="B14" s="1420"/>
      <c r="C14" s="1423"/>
      <c r="D14" s="1424"/>
      <c r="E14" s="1424"/>
      <c r="F14" s="1424"/>
      <c r="G14" s="883" t="s">
        <v>645</v>
      </c>
      <c r="H14" s="884">
        <v>40000</v>
      </c>
      <c r="I14" s="885"/>
      <c r="J14" s="902"/>
      <c r="K14" s="884">
        <f>+F13*H14*15</f>
        <v>313563000</v>
      </c>
      <c r="L14" s="905">
        <f>+K14/$N$2</f>
        <v>213308.16326530612</v>
      </c>
      <c r="M14" s="886"/>
    </row>
    <row r="15" spans="2:14" ht="14.25">
      <c r="B15" s="1420"/>
      <c r="C15" s="1423"/>
      <c r="D15" s="1424">
        <f t="shared" ref="D15" si="3">+D13+1</f>
        <v>6</v>
      </c>
      <c r="E15" s="1425" t="str">
        <f>+'EPC Liquidity Plan'!C9</f>
        <v>E-Tech</v>
      </c>
      <c r="F15" s="1425">
        <f>+'EPC Liquidity Plan'!D9</f>
        <v>148.47999999999999</v>
      </c>
      <c r="G15" s="883" t="s">
        <v>644</v>
      </c>
      <c r="H15" s="884">
        <v>40000</v>
      </c>
      <c r="I15" s="884">
        <f>+H15*F15*7</f>
        <v>41574400</v>
      </c>
      <c r="J15" s="903">
        <f>+I15/$N$2</f>
        <v>28281.904761904763</v>
      </c>
      <c r="K15" s="885"/>
      <c r="L15" s="906"/>
      <c r="M15" s="887"/>
    </row>
    <row r="16" spans="2:14" ht="14.25">
      <c r="B16" s="1420"/>
      <c r="C16" s="1423"/>
      <c r="D16" s="1424"/>
      <c r="E16" s="1424"/>
      <c r="F16" s="1424"/>
      <c r="G16" s="883" t="s">
        <v>645</v>
      </c>
      <c r="H16" s="884">
        <v>40000</v>
      </c>
      <c r="I16" s="885"/>
      <c r="J16" s="902"/>
      <c r="K16" s="884">
        <f>+F15*H16*15</f>
        <v>89088000</v>
      </c>
      <c r="L16" s="905">
        <f>+K16/$N$2</f>
        <v>60604.081632653062</v>
      </c>
      <c r="M16" s="886"/>
    </row>
    <row r="17" spans="2:14" ht="14.25">
      <c r="B17" s="1420"/>
      <c r="C17" s="1423"/>
      <c r="D17" s="1424">
        <f t="shared" ref="D17" si="4">+D15+1</f>
        <v>7</v>
      </c>
      <c r="E17" s="1425" t="str">
        <f>+'EPC Liquidity Plan'!C10</f>
        <v>Daechon Headquarters</v>
      </c>
      <c r="F17" s="1425">
        <f>+'EPC Liquidity Plan'!D10</f>
        <v>897.89</v>
      </c>
      <c r="G17" s="883" t="s">
        <v>644</v>
      </c>
      <c r="H17" s="884">
        <v>40000</v>
      </c>
      <c r="I17" s="884">
        <f>+H17*F17*7</f>
        <v>251409200</v>
      </c>
      <c r="J17" s="903">
        <f>+I17/$N$2</f>
        <v>171026.66666666666</v>
      </c>
      <c r="K17" s="885"/>
      <c r="L17" s="906"/>
      <c r="M17" s="887"/>
    </row>
    <row r="18" spans="2:14" ht="14.25">
      <c r="B18" s="1420"/>
      <c r="C18" s="1423"/>
      <c r="D18" s="1424"/>
      <c r="E18" s="1424"/>
      <c r="F18" s="1424"/>
      <c r="G18" s="883" t="s">
        <v>645</v>
      </c>
      <c r="H18" s="884">
        <v>40000</v>
      </c>
      <c r="I18" s="885"/>
      <c r="J18" s="902"/>
      <c r="K18" s="884">
        <f>+F17*H18*15</f>
        <v>538734000</v>
      </c>
      <c r="L18" s="905">
        <f>+K18/$N$2</f>
        <v>366485.71428571426</v>
      </c>
      <c r="M18" s="886"/>
    </row>
    <row r="19" spans="2:14" ht="14.25">
      <c r="B19" s="1420"/>
      <c r="C19" s="1423"/>
      <c r="D19" s="1424">
        <f t="shared" ref="D19" si="5">+D17+1</f>
        <v>8</v>
      </c>
      <c r="E19" s="1425" t="str">
        <f>+'EPC Liquidity Plan'!C11</f>
        <v>Daechon Busan</v>
      </c>
      <c r="F19" s="1425">
        <f>+'EPC Liquidity Plan'!D11</f>
        <v>1155.7</v>
      </c>
      <c r="G19" s="883" t="s">
        <v>644</v>
      </c>
      <c r="H19" s="884">
        <v>40000</v>
      </c>
      <c r="I19" s="884">
        <f>+H19*F19*7</f>
        <v>323596000</v>
      </c>
      <c r="J19" s="903">
        <f>+I19/$N$2</f>
        <v>220133.33333333334</v>
      </c>
      <c r="K19" s="885"/>
      <c r="L19" s="906"/>
      <c r="M19" s="887"/>
    </row>
    <row r="20" spans="2:14" ht="14.25">
      <c r="B20" s="1420"/>
      <c r="C20" s="1423"/>
      <c r="D20" s="1426"/>
      <c r="E20" s="1424"/>
      <c r="F20" s="1424"/>
      <c r="G20" s="883" t="s">
        <v>645</v>
      </c>
      <c r="H20" s="884">
        <v>40000</v>
      </c>
      <c r="I20" s="885"/>
      <c r="J20" s="902"/>
      <c r="K20" s="884">
        <f>+F19*H20*15</f>
        <v>693420000</v>
      </c>
      <c r="L20" s="905">
        <f>+K20/$N$2</f>
        <v>471714.28571428574</v>
      </c>
      <c r="M20" s="886"/>
    </row>
    <row r="21" spans="2:14" ht="14.25">
      <c r="B21" s="1421"/>
      <c r="C21" s="1427" t="s">
        <v>646</v>
      </c>
      <c r="D21" s="1428"/>
      <c r="E21" s="1429"/>
      <c r="F21" s="907">
        <f>+SUM(F5:F20)</f>
        <v>4242.3249999999998</v>
      </c>
      <c r="G21" s="897"/>
      <c r="H21" s="898"/>
      <c r="I21" s="899">
        <f>+SUM(I5:I20)</f>
        <v>1187851000</v>
      </c>
      <c r="J21" s="896">
        <f>+SUM(J5:J20)</f>
        <v>808061.90476190473</v>
      </c>
      <c r="K21" s="899">
        <f>+SUM(K5:K20)</f>
        <v>2545395000</v>
      </c>
      <c r="L21" s="896">
        <f>+SUM(L5:L20)</f>
        <v>1731561.2244897957</v>
      </c>
      <c r="M21" s="899">
        <f>+SUM(M5:M20)</f>
        <v>0</v>
      </c>
    </row>
    <row r="23" spans="2:14">
      <c r="N23" s="909">
        <v>1470</v>
      </c>
    </row>
    <row r="24" spans="2:14" ht="14.25">
      <c r="B24" s="1430" t="s">
        <v>624</v>
      </c>
      <c r="C24" s="875" t="s">
        <v>637</v>
      </c>
      <c r="D24" s="1432" t="s">
        <v>625</v>
      </c>
      <c r="E24" s="1432" t="s">
        <v>626</v>
      </c>
      <c r="F24" s="875" t="s">
        <v>627</v>
      </c>
      <c r="G24" s="1432" t="s">
        <v>638</v>
      </c>
      <c r="H24" s="875" t="s">
        <v>639</v>
      </c>
      <c r="I24" s="1434" t="s">
        <v>640</v>
      </c>
      <c r="J24" s="1435"/>
      <c r="K24" s="1434" t="s">
        <v>641</v>
      </c>
      <c r="L24" s="1436"/>
      <c r="M24" s="1437" t="s">
        <v>642</v>
      </c>
    </row>
    <row r="25" spans="2:14" ht="14.25">
      <c r="B25" s="1431"/>
      <c r="C25" s="876" t="s">
        <v>303</v>
      </c>
      <c r="D25" s="1433"/>
      <c r="E25" s="1433"/>
      <c r="F25" s="876" t="s">
        <v>630</v>
      </c>
      <c r="G25" s="1433"/>
      <c r="H25" s="876" t="s">
        <v>632</v>
      </c>
      <c r="I25" s="877" t="s">
        <v>633</v>
      </c>
      <c r="J25" s="877" t="s">
        <v>634</v>
      </c>
      <c r="K25" s="877" t="s">
        <v>633</v>
      </c>
      <c r="L25" s="878" t="s">
        <v>634</v>
      </c>
      <c r="M25" s="1438"/>
    </row>
    <row r="26" spans="2:14" ht="14.25">
      <c r="B26" s="1419" t="s">
        <v>647</v>
      </c>
      <c r="C26" s="1422">
        <v>1</v>
      </c>
      <c r="D26" s="1441">
        <v>1</v>
      </c>
      <c r="E26" s="1442" t="str">
        <f>+'EPC Liquidity Plan'!C20</f>
        <v>Eco Inshutech</v>
      </c>
      <c r="F26" s="1442">
        <f>+'EPC Liquidity Plan'!D20</f>
        <v>225.78</v>
      </c>
      <c r="G26" s="879" t="s">
        <v>648</v>
      </c>
      <c r="H26" s="880">
        <v>40000</v>
      </c>
      <c r="I26" s="880">
        <f>+H26*F26*7</f>
        <v>63218400</v>
      </c>
      <c r="J26" s="901">
        <f>+I26/$N$23</f>
        <v>43005.714285714283</v>
      </c>
      <c r="K26" s="881"/>
      <c r="L26" s="904"/>
      <c r="M26" s="1439" t="s">
        <v>649</v>
      </c>
    </row>
    <row r="27" spans="2:14" ht="14.25">
      <c r="B27" s="1420"/>
      <c r="C27" s="1423"/>
      <c r="D27" s="1424"/>
      <c r="E27" s="1424"/>
      <c r="F27" s="1424"/>
      <c r="G27" s="883" t="s">
        <v>645</v>
      </c>
      <c r="H27" s="884">
        <v>40000</v>
      </c>
      <c r="I27" s="885"/>
      <c r="J27" s="902"/>
      <c r="K27" s="884">
        <f>+F26*H27*15</f>
        <v>135468000</v>
      </c>
      <c r="L27" s="905">
        <f>+K27/$N$23</f>
        <v>92155.102040816331</v>
      </c>
      <c r="M27" s="1440"/>
    </row>
    <row r="28" spans="2:14" ht="14.25">
      <c r="B28" s="1420"/>
      <c r="C28" s="1423"/>
      <c r="D28" s="1424">
        <v>2</v>
      </c>
      <c r="E28" s="1425" t="str">
        <f>+'EPC Liquidity Plan'!C21</f>
        <v>Younggwang Industry</v>
      </c>
      <c r="F28" s="1425">
        <f>+'EPC Liquidity Plan'!D21</f>
        <v>545.46500000000003</v>
      </c>
      <c r="G28" s="883" t="s">
        <v>644</v>
      </c>
      <c r="H28" s="884">
        <v>40000</v>
      </c>
      <c r="I28" s="884">
        <f>+H28*F28*7</f>
        <v>152730200</v>
      </c>
      <c r="J28" s="903">
        <f>+I28/$N$23</f>
        <v>103898.09523809524</v>
      </c>
      <c r="K28" s="885"/>
      <c r="L28" s="906"/>
      <c r="M28" s="887"/>
    </row>
    <row r="29" spans="2:14" ht="14.25">
      <c r="B29" s="1420"/>
      <c r="C29" s="1423"/>
      <c r="D29" s="1424"/>
      <c r="E29" s="1424"/>
      <c r="F29" s="1424"/>
      <c r="G29" s="883" t="s">
        <v>645</v>
      </c>
      <c r="H29" s="884">
        <v>40000</v>
      </c>
      <c r="I29" s="885"/>
      <c r="J29" s="902"/>
      <c r="K29" s="884">
        <f>+F28*H29*15</f>
        <v>327279000</v>
      </c>
      <c r="L29" s="905">
        <f>+K29/$N$23</f>
        <v>222638.77551020408</v>
      </c>
      <c r="M29" s="886"/>
    </row>
    <row r="30" spans="2:14" ht="14.25">
      <c r="B30" s="1420"/>
      <c r="C30" s="1423"/>
      <c r="D30" s="1424">
        <v>3</v>
      </c>
      <c r="E30" s="1425" t="str">
        <f>+'EPC Liquidity Plan'!C22</f>
        <v>MPM Trade</v>
      </c>
      <c r="F30" s="1425">
        <f>+'EPC Liquidity Plan'!D22</f>
        <v>210.82</v>
      </c>
      <c r="G30" s="883" t="s">
        <v>644</v>
      </c>
      <c r="H30" s="884">
        <v>40000</v>
      </c>
      <c r="I30" s="884">
        <f>+H30*F30*7</f>
        <v>59029600</v>
      </c>
      <c r="J30" s="903">
        <f>+I30/$N$23</f>
        <v>40156.190476190473</v>
      </c>
      <c r="K30" s="885"/>
      <c r="L30" s="906"/>
      <c r="M30" s="887"/>
    </row>
    <row r="31" spans="2:14" ht="14.25">
      <c r="B31" s="1420"/>
      <c r="C31" s="1423"/>
      <c r="D31" s="1424"/>
      <c r="E31" s="1424"/>
      <c r="F31" s="1424"/>
      <c r="G31" s="883" t="s">
        <v>645</v>
      </c>
      <c r="H31" s="884">
        <v>40000</v>
      </c>
      <c r="I31" s="885"/>
      <c r="J31" s="902"/>
      <c r="K31" s="884">
        <f>+F30*H31*15</f>
        <v>126492000</v>
      </c>
      <c r="L31" s="905">
        <f>+K31/$N$23</f>
        <v>86048.979591836731</v>
      </c>
      <c r="M31" s="886"/>
    </row>
    <row r="32" spans="2:14" ht="14.25">
      <c r="B32" s="1421"/>
      <c r="C32" s="1427" t="s">
        <v>646</v>
      </c>
      <c r="D32" s="1428"/>
      <c r="E32" s="1429"/>
      <c r="F32" s="907">
        <f>+SUM(F26:F31)</f>
        <v>982.06500000000005</v>
      </c>
      <c r="G32" s="897"/>
      <c r="H32" s="898"/>
      <c r="I32" s="899">
        <f>+SUM(I26:I31)</f>
        <v>274978200</v>
      </c>
      <c r="J32" s="896">
        <f>+SUM(J26:J31)</f>
        <v>187060</v>
      </c>
      <c r="K32" s="899">
        <f>+SUM(K26:K31)</f>
        <v>589239000</v>
      </c>
      <c r="L32" s="896">
        <f>+SUM(L26:L31)</f>
        <v>400842.85714285716</v>
      </c>
      <c r="M32" s="899">
        <f>+SUM(M26:M31)</f>
        <v>0</v>
      </c>
    </row>
    <row r="34" spans="2:12" ht="14.25">
      <c r="B34" s="1430" t="s">
        <v>624</v>
      </c>
      <c r="C34" s="875" t="s">
        <v>637</v>
      </c>
      <c r="D34" s="1432" t="s">
        <v>625</v>
      </c>
      <c r="E34" s="1432" t="s">
        <v>626</v>
      </c>
      <c r="F34" s="875" t="s">
        <v>627</v>
      </c>
      <c r="G34" s="1432" t="s">
        <v>638</v>
      </c>
      <c r="H34" s="875" t="s">
        <v>639</v>
      </c>
      <c r="I34" s="1434" t="s">
        <v>640</v>
      </c>
      <c r="J34" s="1435"/>
      <c r="K34" s="1434" t="s">
        <v>641</v>
      </c>
      <c r="L34" s="1436"/>
    </row>
    <row r="35" spans="2:12" ht="14.25">
      <c r="B35" s="1431"/>
      <c r="C35" s="876" t="s">
        <v>303</v>
      </c>
      <c r="D35" s="1433"/>
      <c r="E35" s="1433"/>
      <c r="F35" s="876" t="s">
        <v>630</v>
      </c>
      <c r="G35" s="1433"/>
      <c r="H35" s="876" t="s">
        <v>632</v>
      </c>
      <c r="I35" s="877" t="s">
        <v>633</v>
      </c>
      <c r="J35" s="877" t="s">
        <v>634</v>
      </c>
      <c r="K35" s="877" t="s">
        <v>633</v>
      </c>
      <c r="L35" s="878" t="s">
        <v>634</v>
      </c>
    </row>
    <row r="36" spans="2:12" ht="14.25">
      <c r="B36" s="1419" t="s">
        <v>650</v>
      </c>
      <c r="C36" s="1422">
        <v>1</v>
      </c>
      <c r="D36" s="1441">
        <v>1</v>
      </c>
      <c r="E36" s="1447" t="s">
        <v>651</v>
      </c>
      <c r="F36" s="1441">
        <v>240.69</v>
      </c>
      <c r="G36" s="879" t="s">
        <v>644</v>
      </c>
      <c r="H36" s="880">
        <v>35000</v>
      </c>
      <c r="I36" s="880">
        <v>42120750</v>
      </c>
      <c r="J36" s="880">
        <v>28654</v>
      </c>
      <c r="K36" s="881"/>
      <c r="L36" s="882"/>
    </row>
    <row r="37" spans="2:12" ht="14.25">
      <c r="B37" s="1420"/>
      <c r="C37" s="1423"/>
      <c r="D37" s="1424"/>
      <c r="E37" s="1443"/>
      <c r="F37" s="1424"/>
      <c r="G37" s="883" t="s">
        <v>645</v>
      </c>
      <c r="H37" s="884">
        <v>40000</v>
      </c>
      <c r="I37" s="885"/>
      <c r="J37" s="885"/>
      <c r="K37" s="884">
        <v>144414000</v>
      </c>
      <c r="L37" s="886">
        <v>98241</v>
      </c>
    </row>
    <row r="38" spans="2:12" ht="14.25">
      <c r="B38" s="1420"/>
      <c r="C38" s="1423"/>
      <c r="D38" s="1424">
        <v>2</v>
      </c>
      <c r="E38" s="1443" t="s">
        <v>652</v>
      </c>
      <c r="F38" s="1424">
        <v>386.24</v>
      </c>
      <c r="G38" s="883" t="s">
        <v>644</v>
      </c>
      <c r="H38" s="884">
        <v>35000</v>
      </c>
      <c r="I38" s="884">
        <v>67592000</v>
      </c>
      <c r="J38" s="884">
        <v>45981</v>
      </c>
      <c r="K38" s="885"/>
      <c r="L38" s="887"/>
    </row>
    <row r="39" spans="2:12" ht="14.25">
      <c r="B39" s="1420"/>
      <c r="C39" s="1423"/>
      <c r="D39" s="1424"/>
      <c r="E39" s="1443"/>
      <c r="F39" s="1424"/>
      <c r="G39" s="883" t="s">
        <v>645</v>
      </c>
      <c r="H39" s="884">
        <v>40000</v>
      </c>
      <c r="I39" s="885"/>
      <c r="J39" s="885"/>
      <c r="K39" s="884">
        <v>231744000</v>
      </c>
      <c r="L39" s="886">
        <v>157649</v>
      </c>
    </row>
    <row r="40" spans="2:12" ht="14.25">
      <c r="B40" s="1420"/>
      <c r="C40" s="1423"/>
      <c r="D40" s="1424">
        <v>3</v>
      </c>
      <c r="E40" s="1443" t="s">
        <v>394</v>
      </c>
      <c r="F40" s="1424">
        <v>210</v>
      </c>
      <c r="G40" s="883" t="s">
        <v>644</v>
      </c>
      <c r="H40" s="884">
        <v>40000</v>
      </c>
      <c r="I40" s="884">
        <v>42000000</v>
      </c>
      <c r="J40" s="884">
        <v>28571</v>
      </c>
      <c r="K40" s="885"/>
      <c r="L40" s="887"/>
    </row>
    <row r="41" spans="2:12" ht="14.25">
      <c r="B41" s="1420"/>
      <c r="C41" s="1423"/>
      <c r="D41" s="1424"/>
      <c r="E41" s="1443"/>
      <c r="F41" s="1424"/>
      <c r="G41" s="883" t="s">
        <v>645</v>
      </c>
      <c r="H41" s="884">
        <v>40000</v>
      </c>
      <c r="I41" s="885"/>
      <c r="J41" s="885"/>
      <c r="K41" s="884">
        <v>126000000</v>
      </c>
      <c r="L41" s="886">
        <v>85714</v>
      </c>
    </row>
    <row r="42" spans="2:12" ht="14.25">
      <c r="B42" s="1420"/>
      <c r="C42" s="1423"/>
      <c r="D42" s="1424">
        <v>4</v>
      </c>
      <c r="E42" s="1443" t="s">
        <v>653</v>
      </c>
      <c r="F42" s="1424">
        <v>171</v>
      </c>
      <c r="G42" s="883" t="s">
        <v>644</v>
      </c>
      <c r="H42" s="884">
        <v>35000</v>
      </c>
      <c r="I42" s="884">
        <v>29925000</v>
      </c>
      <c r="J42" s="884">
        <v>20357</v>
      </c>
      <c r="K42" s="885"/>
      <c r="L42" s="887"/>
    </row>
    <row r="43" spans="2:12" ht="14.25">
      <c r="B43" s="1420"/>
      <c r="C43" s="1423"/>
      <c r="D43" s="1424"/>
      <c r="E43" s="1443"/>
      <c r="F43" s="1424"/>
      <c r="G43" s="883" t="s">
        <v>645</v>
      </c>
      <c r="H43" s="884">
        <v>40000</v>
      </c>
      <c r="I43" s="885"/>
      <c r="J43" s="885"/>
      <c r="K43" s="884">
        <v>102600000</v>
      </c>
      <c r="L43" s="886">
        <v>69796</v>
      </c>
    </row>
    <row r="44" spans="2:12" ht="14.25">
      <c r="B44" s="1420"/>
      <c r="C44" s="1423"/>
      <c r="D44" s="1424">
        <v>5</v>
      </c>
      <c r="E44" s="1443" t="s">
        <v>654</v>
      </c>
      <c r="F44" s="1424">
        <v>122</v>
      </c>
      <c r="G44" s="883" t="s">
        <v>644</v>
      </c>
      <c r="H44" s="884">
        <v>35000</v>
      </c>
      <c r="I44" s="884">
        <v>21350000</v>
      </c>
      <c r="J44" s="884">
        <v>14524</v>
      </c>
      <c r="K44" s="885"/>
      <c r="L44" s="887"/>
    </row>
    <row r="45" spans="2:12" ht="14.25">
      <c r="B45" s="1420"/>
      <c r="C45" s="1423"/>
      <c r="D45" s="1424"/>
      <c r="E45" s="1443"/>
      <c r="F45" s="1424"/>
      <c r="G45" s="883" t="s">
        <v>645</v>
      </c>
      <c r="H45" s="884">
        <v>40000</v>
      </c>
      <c r="I45" s="885"/>
      <c r="J45" s="885"/>
      <c r="K45" s="884">
        <v>73200000</v>
      </c>
      <c r="L45" s="886">
        <v>49796</v>
      </c>
    </row>
    <row r="46" spans="2:12" ht="14.25">
      <c r="B46" s="1420"/>
      <c r="C46" s="1423"/>
      <c r="D46" s="1424">
        <v>6</v>
      </c>
      <c r="E46" s="1443" t="s">
        <v>655</v>
      </c>
      <c r="F46" s="1424">
        <v>234</v>
      </c>
      <c r="G46" s="883" t="s">
        <v>644</v>
      </c>
      <c r="H46" s="884">
        <v>35000</v>
      </c>
      <c r="I46" s="884">
        <v>40950000</v>
      </c>
      <c r="J46" s="884">
        <v>27857</v>
      </c>
      <c r="K46" s="885"/>
      <c r="L46" s="887"/>
    </row>
    <row r="47" spans="2:12" ht="14.25">
      <c r="B47" s="1420"/>
      <c r="C47" s="1423"/>
      <c r="D47" s="1424"/>
      <c r="E47" s="1443"/>
      <c r="F47" s="1424"/>
      <c r="G47" s="883" t="s">
        <v>645</v>
      </c>
      <c r="H47" s="884">
        <v>40000</v>
      </c>
      <c r="I47" s="885"/>
      <c r="J47" s="885"/>
      <c r="K47" s="884">
        <v>140400000</v>
      </c>
      <c r="L47" s="886">
        <v>95510</v>
      </c>
    </row>
    <row r="48" spans="2:12" ht="14.25">
      <c r="B48" s="1420"/>
      <c r="C48" s="1423"/>
      <c r="D48" s="1424">
        <v>7</v>
      </c>
      <c r="E48" s="1443" t="s">
        <v>656</v>
      </c>
      <c r="F48" s="1424">
        <v>500</v>
      </c>
      <c r="G48" s="883" t="s">
        <v>644</v>
      </c>
      <c r="H48" s="884">
        <v>35000</v>
      </c>
      <c r="I48" s="884">
        <v>87500000</v>
      </c>
      <c r="J48" s="884">
        <v>59524</v>
      </c>
      <c r="K48" s="885"/>
      <c r="L48" s="887"/>
    </row>
    <row r="49" spans="2:12" ht="14.25">
      <c r="B49" s="1420"/>
      <c r="C49" s="1423"/>
      <c r="D49" s="1426"/>
      <c r="E49" s="1448"/>
      <c r="F49" s="1426"/>
      <c r="G49" s="888" t="s">
        <v>645</v>
      </c>
      <c r="H49" s="889">
        <v>40000</v>
      </c>
      <c r="I49" s="890"/>
      <c r="J49" s="890"/>
      <c r="K49" s="889">
        <v>300000000</v>
      </c>
      <c r="L49" s="891">
        <v>204082</v>
      </c>
    </row>
    <row r="50" spans="2:12" ht="14.25">
      <c r="B50" s="1420"/>
      <c r="C50" s="1446"/>
      <c r="D50" s="1444" t="s">
        <v>657</v>
      </c>
      <c r="E50" s="1445"/>
      <c r="F50" s="908">
        <v>1863.93</v>
      </c>
      <c r="G50" s="892"/>
      <c r="H50" s="893"/>
      <c r="I50" s="894">
        <v>331437750</v>
      </c>
      <c r="J50" s="894">
        <v>225468</v>
      </c>
      <c r="K50" s="894">
        <v>1118358000</v>
      </c>
      <c r="L50" s="895">
        <v>760788</v>
      </c>
    </row>
    <row r="51" spans="2:12" ht="14.25">
      <c r="B51" s="1420"/>
      <c r="C51" s="1422">
        <v>2</v>
      </c>
      <c r="D51" s="1441">
        <v>8</v>
      </c>
      <c r="E51" s="1447" t="s">
        <v>658</v>
      </c>
      <c r="F51" s="1441">
        <v>817.21</v>
      </c>
      <c r="G51" s="879" t="s">
        <v>644</v>
      </c>
      <c r="H51" s="880">
        <v>35000</v>
      </c>
      <c r="I51" s="880">
        <v>143011750</v>
      </c>
      <c r="J51" s="880">
        <v>97287</v>
      </c>
      <c r="K51" s="881"/>
      <c r="L51" s="882"/>
    </row>
    <row r="52" spans="2:12" ht="14.25">
      <c r="B52" s="1420"/>
      <c r="C52" s="1423"/>
      <c r="D52" s="1424"/>
      <c r="E52" s="1443"/>
      <c r="F52" s="1424"/>
      <c r="G52" s="883" t="s">
        <v>645</v>
      </c>
      <c r="H52" s="884">
        <v>40000</v>
      </c>
      <c r="I52" s="885"/>
      <c r="J52" s="885"/>
      <c r="K52" s="884">
        <v>490326000</v>
      </c>
      <c r="L52" s="886">
        <v>333555</v>
      </c>
    </row>
    <row r="53" spans="2:12" ht="14.25">
      <c r="B53" s="1420"/>
      <c r="C53" s="1423"/>
      <c r="D53" s="1424">
        <v>9</v>
      </c>
      <c r="E53" s="1443" t="s">
        <v>659</v>
      </c>
      <c r="F53" s="1424">
        <v>438</v>
      </c>
      <c r="G53" s="883" t="s">
        <v>644</v>
      </c>
      <c r="H53" s="884">
        <v>35000</v>
      </c>
      <c r="I53" s="884">
        <v>76650000</v>
      </c>
      <c r="J53" s="884">
        <v>52143</v>
      </c>
      <c r="K53" s="885"/>
      <c r="L53" s="887"/>
    </row>
    <row r="54" spans="2:12" ht="14.25">
      <c r="B54" s="1420"/>
      <c r="C54" s="1423"/>
      <c r="D54" s="1424"/>
      <c r="E54" s="1443"/>
      <c r="F54" s="1424"/>
      <c r="G54" s="883" t="s">
        <v>645</v>
      </c>
      <c r="H54" s="884">
        <v>40000</v>
      </c>
      <c r="I54" s="885"/>
      <c r="J54" s="885"/>
      <c r="K54" s="884">
        <v>262800000</v>
      </c>
      <c r="L54" s="886">
        <v>178776</v>
      </c>
    </row>
    <row r="55" spans="2:12" ht="14.25">
      <c r="B55" s="1420"/>
      <c r="C55" s="1423"/>
      <c r="D55" s="1424">
        <v>10</v>
      </c>
      <c r="E55" s="1443" t="s">
        <v>660</v>
      </c>
      <c r="F55" s="1424">
        <v>527</v>
      </c>
      <c r="G55" s="883" t="s">
        <v>644</v>
      </c>
      <c r="H55" s="884">
        <v>40000</v>
      </c>
      <c r="I55" s="884">
        <v>105400000</v>
      </c>
      <c r="J55" s="884">
        <v>71701</v>
      </c>
      <c r="K55" s="885"/>
      <c r="L55" s="887"/>
    </row>
    <row r="56" spans="2:12" ht="14.25">
      <c r="B56" s="1420"/>
      <c r="C56" s="1423"/>
      <c r="D56" s="1424"/>
      <c r="E56" s="1443"/>
      <c r="F56" s="1424"/>
      <c r="G56" s="883" t="s">
        <v>645</v>
      </c>
      <c r="H56" s="884">
        <v>40000</v>
      </c>
      <c r="I56" s="885"/>
      <c r="J56" s="885"/>
      <c r="K56" s="884">
        <v>316200000</v>
      </c>
      <c r="L56" s="886">
        <v>215102</v>
      </c>
    </row>
    <row r="57" spans="2:12" ht="14.25">
      <c r="B57" s="1420"/>
      <c r="C57" s="1423"/>
      <c r="D57" s="1424">
        <v>11</v>
      </c>
      <c r="E57" s="1443" t="s">
        <v>661</v>
      </c>
      <c r="F57" s="1424">
        <v>127</v>
      </c>
      <c r="G57" s="883" t="s">
        <v>644</v>
      </c>
      <c r="H57" s="884">
        <v>35000</v>
      </c>
      <c r="I57" s="884">
        <v>22225000</v>
      </c>
      <c r="J57" s="884">
        <v>15119</v>
      </c>
      <c r="K57" s="885"/>
      <c r="L57" s="887"/>
    </row>
    <row r="58" spans="2:12" ht="14.25">
      <c r="B58" s="1420"/>
      <c r="C58" s="1423"/>
      <c r="D58" s="1424"/>
      <c r="E58" s="1443"/>
      <c r="F58" s="1424"/>
      <c r="G58" s="883" t="s">
        <v>645</v>
      </c>
      <c r="H58" s="884">
        <v>40000</v>
      </c>
      <c r="I58" s="885"/>
      <c r="J58" s="885"/>
      <c r="K58" s="884">
        <v>76200000</v>
      </c>
      <c r="L58" s="886">
        <v>51837</v>
      </c>
    </row>
    <row r="59" spans="2:12" ht="14.25">
      <c r="B59" s="1420"/>
      <c r="C59" s="1423"/>
      <c r="D59" s="1424">
        <v>12</v>
      </c>
      <c r="E59" s="1443" t="s">
        <v>662</v>
      </c>
      <c r="F59" s="1424">
        <v>269</v>
      </c>
      <c r="G59" s="883" t="s">
        <v>644</v>
      </c>
      <c r="H59" s="884">
        <v>40000</v>
      </c>
      <c r="I59" s="884">
        <v>53800000</v>
      </c>
      <c r="J59" s="884">
        <v>36599</v>
      </c>
      <c r="K59" s="885"/>
      <c r="L59" s="887"/>
    </row>
    <row r="60" spans="2:12" ht="14.25">
      <c r="B60" s="1420"/>
      <c r="C60" s="1423"/>
      <c r="D60" s="1424"/>
      <c r="E60" s="1443"/>
      <c r="F60" s="1424"/>
      <c r="G60" s="883" t="s">
        <v>645</v>
      </c>
      <c r="H60" s="884">
        <v>40000</v>
      </c>
      <c r="I60" s="885"/>
      <c r="J60" s="885"/>
      <c r="K60" s="884">
        <v>161400000</v>
      </c>
      <c r="L60" s="886">
        <v>109796</v>
      </c>
    </row>
    <row r="61" spans="2:12" ht="14.25">
      <c r="B61" s="1420"/>
      <c r="C61" s="1423"/>
      <c r="D61" s="1424">
        <v>13</v>
      </c>
      <c r="E61" s="1443" t="s">
        <v>663</v>
      </c>
      <c r="F61" s="1424">
        <v>161</v>
      </c>
      <c r="G61" s="883" t="s">
        <v>644</v>
      </c>
      <c r="H61" s="884">
        <v>40000</v>
      </c>
      <c r="I61" s="884">
        <v>32200000</v>
      </c>
      <c r="J61" s="884">
        <v>21905</v>
      </c>
      <c r="K61" s="885"/>
      <c r="L61" s="887"/>
    </row>
    <row r="62" spans="2:12" ht="14.25">
      <c r="B62" s="1420"/>
      <c r="C62" s="1423"/>
      <c r="D62" s="1426"/>
      <c r="E62" s="1448"/>
      <c r="F62" s="1426"/>
      <c r="G62" s="888" t="s">
        <v>645</v>
      </c>
      <c r="H62" s="889">
        <v>40000</v>
      </c>
      <c r="I62" s="890"/>
      <c r="J62" s="890"/>
      <c r="K62" s="889">
        <v>96600000</v>
      </c>
      <c r="L62" s="891">
        <v>65714</v>
      </c>
    </row>
    <row r="63" spans="2:12" ht="14.25">
      <c r="B63" s="1420"/>
      <c r="C63" s="1446"/>
      <c r="D63" s="1444" t="s">
        <v>657</v>
      </c>
      <c r="E63" s="1445"/>
      <c r="F63" s="908">
        <v>2339.21</v>
      </c>
      <c r="G63" s="892"/>
      <c r="H63" s="893"/>
      <c r="I63" s="894">
        <v>433286750</v>
      </c>
      <c r="J63" s="894">
        <v>294754</v>
      </c>
      <c r="K63" s="894">
        <v>1403526000</v>
      </c>
      <c r="L63" s="895">
        <v>954780</v>
      </c>
    </row>
    <row r="64" spans="2:12" ht="14.25">
      <c r="B64" s="1421"/>
      <c r="C64" s="1427" t="s">
        <v>646</v>
      </c>
      <c r="D64" s="1428"/>
      <c r="E64" s="1429"/>
      <c r="F64" s="907">
        <v>4203.1400000000003</v>
      </c>
      <c r="G64" s="897"/>
      <c r="H64" s="898"/>
      <c r="I64" s="899">
        <v>764724500</v>
      </c>
      <c r="J64" s="899">
        <v>520222</v>
      </c>
      <c r="K64" s="899">
        <v>2521884000</v>
      </c>
      <c r="L64" s="900">
        <v>1715568</v>
      </c>
    </row>
  </sheetData>
  <mergeCells count="105">
    <mergeCell ref="E48:E49"/>
    <mergeCell ref="B34:B35"/>
    <mergeCell ref="D34:D35"/>
    <mergeCell ref="E34:E35"/>
    <mergeCell ref="G34:G35"/>
    <mergeCell ref="I34:J34"/>
    <mergeCell ref="K34:L34"/>
    <mergeCell ref="F40:F41"/>
    <mergeCell ref="D42:D43"/>
    <mergeCell ref="E42:E43"/>
    <mergeCell ref="F42:F43"/>
    <mergeCell ref="C64:E64"/>
    <mergeCell ref="D59:D60"/>
    <mergeCell ref="E59:E60"/>
    <mergeCell ref="F59:F60"/>
    <mergeCell ref="D44:D45"/>
    <mergeCell ref="E44:E45"/>
    <mergeCell ref="F44:F45"/>
    <mergeCell ref="B36:B64"/>
    <mergeCell ref="C36:C50"/>
    <mergeCell ref="D36:D37"/>
    <mergeCell ref="E36:E37"/>
    <mergeCell ref="F36:F37"/>
    <mergeCell ref="D38:D39"/>
    <mergeCell ref="E38:E39"/>
    <mergeCell ref="F38:F39"/>
    <mergeCell ref="D40:D41"/>
    <mergeCell ref="E40:E41"/>
    <mergeCell ref="F51:F52"/>
    <mergeCell ref="D53:D54"/>
    <mergeCell ref="E53:E54"/>
    <mergeCell ref="F53:F54"/>
    <mergeCell ref="D55:D56"/>
    <mergeCell ref="E55:E56"/>
    <mergeCell ref="D46:D47"/>
    <mergeCell ref="B24:B25"/>
    <mergeCell ref="D24:D25"/>
    <mergeCell ref="E24:E25"/>
    <mergeCell ref="F28:F29"/>
    <mergeCell ref="D30:D31"/>
    <mergeCell ref="F55:F56"/>
    <mergeCell ref="D57:D58"/>
    <mergeCell ref="E57:E58"/>
    <mergeCell ref="F57:F58"/>
    <mergeCell ref="D50:E50"/>
    <mergeCell ref="C51:C63"/>
    <mergeCell ref="D51:D52"/>
    <mergeCell ref="E51:E52"/>
    <mergeCell ref="F48:F49"/>
    <mergeCell ref="F26:F27"/>
    <mergeCell ref="D28:D29"/>
    <mergeCell ref="E28:E29"/>
    <mergeCell ref="D61:D62"/>
    <mergeCell ref="E61:E62"/>
    <mergeCell ref="F61:F62"/>
    <mergeCell ref="D63:E63"/>
    <mergeCell ref="E46:E47"/>
    <mergeCell ref="F46:F47"/>
    <mergeCell ref="D48:D49"/>
    <mergeCell ref="B3:B4"/>
    <mergeCell ref="D3:D4"/>
    <mergeCell ref="E3:E4"/>
    <mergeCell ref="G3:G4"/>
    <mergeCell ref="I3:J3"/>
    <mergeCell ref="K3:L3"/>
    <mergeCell ref="C32:E32"/>
    <mergeCell ref="M24:M25"/>
    <mergeCell ref="M26:M27"/>
    <mergeCell ref="M3:M4"/>
    <mergeCell ref="E19:E20"/>
    <mergeCell ref="F19:F20"/>
    <mergeCell ref="D15:D16"/>
    <mergeCell ref="E15:E16"/>
    <mergeCell ref="F15:F16"/>
    <mergeCell ref="E30:E31"/>
    <mergeCell ref="F30:F31"/>
    <mergeCell ref="G24:G25"/>
    <mergeCell ref="I24:J24"/>
    <mergeCell ref="K24:L24"/>
    <mergeCell ref="B26:B32"/>
    <mergeCell ref="C26:C31"/>
    <mergeCell ref="D26:D27"/>
    <mergeCell ref="E26:E27"/>
    <mergeCell ref="B5:B21"/>
    <mergeCell ref="C5:C20"/>
    <mergeCell ref="D5:D6"/>
    <mergeCell ref="E5:E6"/>
    <mergeCell ref="F5:F6"/>
    <mergeCell ref="D17:D18"/>
    <mergeCell ref="E17:E18"/>
    <mergeCell ref="F17:F18"/>
    <mergeCell ref="D19:D20"/>
    <mergeCell ref="D11:D12"/>
    <mergeCell ref="E11:E12"/>
    <mergeCell ref="F11:F12"/>
    <mergeCell ref="D13:D14"/>
    <mergeCell ref="E13:E14"/>
    <mergeCell ref="F13:F14"/>
    <mergeCell ref="C21:E21"/>
    <mergeCell ref="D7:D8"/>
    <mergeCell ref="E7:E8"/>
    <mergeCell ref="F7:F8"/>
    <mergeCell ref="D9:D10"/>
    <mergeCell ref="E9:E10"/>
    <mergeCell ref="F9:F10"/>
  </mergeCells>
  <phoneticPr fontId="9"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89CFB-5EEF-4A01-B247-D24FCFD5CE46}">
  <dimension ref="B1:AJ106"/>
  <sheetViews>
    <sheetView showGridLines="0" zoomScale="85" zoomScaleNormal="85" workbookViewId="0">
      <pane ySplit="11" topLeftCell="A73" activePane="bottomLeft" state="frozen"/>
      <selection activeCell="C36" sqref="B22:C54"/>
      <selection pane="bottomLeft" activeCell="C36" sqref="B22:C54"/>
    </sheetView>
  </sheetViews>
  <sheetFormatPr defaultColWidth="9.140625" defaultRowHeight="12.75"/>
  <cols>
    <col min="1" max="1" width="1.7109375" style="6" customWidth="1"/>
    <col min="2" max="2" width="29.28515625" style="6" customWidth="1"/>
    <col min="3" max="3" width="22.42578125" style="6" customWidth="1"/>
    <col min="4" max="25" width="15" style="6" customWidth="1"/>
    <col min="26" max="35" width="9.140625" style="6"/>
    <col min="36" max="36" width="11.85546875" style="6" bestFit="1" customWidth="1"/>
    <col min="37" max="16384" width="9.140625" style="6"/>
  </cols>
  <sheetData>
    <row r="1" spans="2:24" ht="13.5">
      <c r="N1" s="39" t="s">
        <v>664</v>
      </c>
    </row>
    <row r="2" spans="2:24" ht="13.5">
      <c r="I2" s="658" t="s">
        <v>665</v>
      </c>
      <c r="J2" s="659" t="s">
        <v>666</v>
      </c>
      <c r="K2" s="659" t="s">
        <v>667</v>
      </c>
      <c r="L2" s="659" t="s">
        <v>668</v>
      </c>
      <c r="M2" s="659" t="s">
        <v>669</v>
      </c>
      <c r="N2" s="660" t="s">
        <v>670</v>
      </c>
      <c r="P2" s="43" t="s">
        <v>671</v>
      </c>
      <c r="Q2" s="6">
        <v>1470</v>
      </c>
    </row>
    <row r="3" spans="2:24">
      <c r="I3" s="661" t="s">
        <v>672</v>
      </c>
      <c r="J3" s="662">
        <v>34240780</v>
      </c>
      <c r="K3" s="662">
        <v>31127981.818181816</v>
      </c>
      <c r="L3" s="663">
        <v>210</v>
      </c>
      <c r="M3" s="664" t="s">
        <v>673</v>
      </c>
      <c r="N3" s="665">
        <v>148228.48484848483</v>
      </c>
    </row>
    <row r="4" spans="2:24">
      <c r="I4" s="661" t="s">
        <v>674</v>
      </c>
      <c r="J4" s="662">
        <v>28639300</v>
      </c>
      <c r="K4" s="662">
        <v>26035727.27272727</v>
      </c>
      <c r="L4" s="663">
        <v>171</v>
      </c>
      <c r="M4" s="664" t="s">
        <v>673</v>
      </c>
      <c r="N4" s="665">
        <v>152255.7150451887</v>
      </c>
    </row>
    <row r="5" spans="2:24">
      <c r="I5" s="661" t="s">
        <v>675</v>
      </c>
      <c r="J5" s="662">
        <v>36744570</v>
      </c>
      <c r="K5" s="662">
        <v>33404154.545454543</v>
      </c>
      <c r="L5" s="663">
        <v>234</v>
      </c>
      <c r="M5" s="664" t="s">
        <v>673</v>
      </c>
      <c r="N5" s="665">
        <v>142752.7972027972</v>
      </c>
    </row>
    <row r="6" spans="2:24">
      <c r="I6" s="661" t="s">
        <v>676</v>
      </c>
      <c r="J6" s="662">
        <v>43091290</v>
      </c>
      <c r="K6" s="662">
        <v>39173900</v>
      </c>
      <c r="L6" s="666">
        <v>791.04</v>
      </c>
      <c r="M6" s="664" t="s">
        <v>677</v>
      </c>
      <c r="N6" s="665">
        <v>49522.021642394822</v>
      </c>
    </row>
    <row r="7" spans="2:24">
      <c r="I7" s="661" t="s">
        <v>678</v>
      </c>
      <c r="J7" s="662">
        <v>53000580</v>
      </c>
      <c r="K7" s="662">
        <v>48182345.454545453</v>
      </c>
      <c r="L7" s="666">
        <v>266.95999999999998</v>
      </c>
      <c r="M7" s="664" t="s">
        <v>673</v>
      </c>
      <c r="N7" s="665">
        <v>180485.26166671209</v>
      </c>
    </row>
    <row r="8" spans="2:24">
      <c r="I8" s="661" t="s">
        <v>679</v>
      </c>
      <c r="J8" s="662">
        <v>57028870</v>
      </c>
      <c r="K8" s="662">
        <v>51844427.272727266</v>
      </c>
      <c r="L8" s="663">
        <v>386</v>
      </c>
      <c r="M8" s="664" t="s">
        <v>673</v>
      </c>
      <c r="N8" s="665">
        <v>134311.98775317945</v>
      </c>
    </row>
    <row r="9" spans="2:24" ht="16.5">
      <c r="I9" s="1453"/>
      <c r="J9" s="1453"/>
      <c r="K9" s="1454"/>
      <c r="L9" s="667" t="s">
        <v>680</v>
      </c>
      <c r="M9" s="667" t="s">
        <v>681</v>
      </c>
      <c r="N9" s="668">
        <f>ROUND((SUM(N3:N8)-N6)/5,-4)</f>
        <v>150000</v>
      </c>
    </row>
    <row r="10" spans="2:24" ht="16.5">
      <c r="I10" s="1455"/>
      <c r="J10" s="1455"/>
      <c r="K10" s="1456"/>
      <c r="L10" s="669" t="s">
        <v>682</v>
      </c>
      <c r="M10" s="669" t="s">
        <v>681</v>
      </c>
      <c r="N10" s="670">
        <f>+ROUND(N6,-4)</f>
        <v>50000</v>
      </c>
    </row>
    <row r="15" spans="2:24">
      <c r="B15" s="6" t="s">
        <v>192</v>
      </c>
    </row>
    <row r="16" spans="2:24" ht="30" customHeight="1">
      <c r="B16" s="1451" t="s">
        <v>683</v>
      </c>
      <c r="C16" s="1452" t="s">
        <v>527</v>
      </c>
      <c r="D16" s="1449" t="s">
        <v>684</v>
      </c>
      <c r="E16" s="1449" t="s">
        <v>685</v>
      </c>
      <c r="F16" s="1449" t="s">
        <v>686</v>
      </c>
      <c r="G16" s="1449" t="s">
        <v>687</v>
      </c>
      <c r="H16" s="648"/>
      <c r="I16" s="1450" t="str">
        <f>+'EPC Liquidity Plan'!C4</f>
        <v>Changseong High Tech</v>
      </c>
      <c r="J16" s="1450" t="str">
        <f>+'EPC Liquidity Plan'!C5</f>
        <v>LSG</v>
      </c>
      <c r="K16" s="1450" t="str">
        <f>+'EPC Liquidity Plan'!C6</f>
        <v>Hanseo Motors</v>
      </c>
      <c r="L16" s="1450" t="str">
        <f>+'EPC Liquidity Plan'!C7</f>
        <v>Seun Steel Gyeongju</v>
      </c>
      <c r="M16" s="1450" t="str">
        <f>+'EPC Liquidity Plan'!C8</f>
        <v>Oneel</v>
      </c>
      <c r="N16" s="1450" t="str">
        <f>+'EPC Liquidity Plan'!C9</f>
        <v>E-Tech</v>
      </c>
      <c r="O16" s="1450" t="str">
        <f>+'EPC Liquidity Plan'!C10</f>
        <v>Daechon Headquarters</v>
      </c>
      <c r="P16" s="1450" t="str">
        <f>+'EPC Liquidity Plan'!C11</f>
        <v>Daechon Busan</v>
      </c>
      <c r="Q16" s="1450"/>
      <c r="R16" s="1450"/>
      <c r="S16" s="1450"/>
      <c r="T16" s="1450"/>
      <c r="U16" s="1450"/>
      <c r="V16" s="648" t="s">
        <v>688</v>
      </c>
      <c r="W16" s="648" t="s">
        <v>688</v>
      </c>
      <c r="X16" s="648" t="s">
        <v>689</v>
      </c>
    </row>
    <row r="17" spans="2:36" ht="15">
      <c r="B17" s="1451"/>
      <c r="C17" s="1452"/>
      <c r="D17" s="1449"/>
      <c r="E17" s="1449"/>
      <c r="F17" s="1449"/>
      <c r="G17" s="1449"/>
      <c r="H17" s="648"/>
      <c r="I17" s="1449"/>
      <c r="J17" s="1449"/>
      <c r="K17" s="1449"/>
      <c r="L17" s="1450"/>
      <c r="M17" s="1450"/>
      <c r="N17" s="1450"/>
      <c r="O17" s="1450"/>
      <c r="P17" s="1450"/>
      <c r="Q17" s="1449"/>
      <c r="R17" s="1449"/>
      <c r="S17" s="1449"/>
      <c r="T17" s="1449"/>
      <c r="U17" s="1449"/>
      <c r="V17" s="649" t="s">
        <v>690</v>
      </c>
      <c r="W17" s="649" t="s">
        <v>691</v>
      </c>
      <c r="X17" s="649" t="s">
        <v>691</v>
      </c>
    </row>
    <row r="18" spans="2:36" ht="14.25">
      <c r="B18" s="911" t="s">
        <v>425</v>
      </c>
      <c r="C18" s="650" t="s">
        <v>692</v>
      </c>
      <c r="D18" s="651">
        <v>721</v>
      </c>
      <c r="E18" s="651">
        <v>695</v>
      </c>
      <c r="F18" s="651">
        <v>835</v>
      </c>
      <c r="G18" s="651">
        <v>711</v>
      </c>
      <c r="H18" s="651">
        <f>+AVERAGE(D18:G18)</f>
        <v>740.5</v>
      </c>
      <c r="I18" s="671">
        <f>1100-I19-I20-I21</f>
        <v>869.04449999999997</v>
      </c>
      <c r="J18" s="671">
        <f t="shared" ref="J18:P18" si="0">1100-J19-J20-J21</f>
        <v>819.13350000000003</v>
      </c>
      <c r="K18" s="671">
        <f t="shared" si="0"/>
        <v>872.56875000000002</v>
      </c>
      <c r="L18" s="671">
        <f t="shared" si="0"/>
        <v>858.53525000000002</v>
      </c>
      <c r="M18" s="671">
        <f t="shared" si="0"/>
        <v>867.86974999999995</v>
      </c>
      <c r="N18" s="671">
        <f t="shared" si="0"/>
        <v>871.72799999999995</v>
      </c>
      <c r="O18" s="671">
        <f t="shared" si="0"/>
        <v>849.10550000000001</v>
      </c>
      <c r="P18" s="671">
        <f t="shared" si="0"/>
        <v>836.21500000000003</v>
      </c>
      <c r="Q18" s="671"/>
      <c r="R18" s="671"/>
      <c r="S18" s="671"/>
      <c r="T18" s="671"/>
      <c r="U18" s="671"/>
      <c r="V18" s="674">
        <f>+V33</f>
        <v>848.31971430495082</v>
      </c>
      <c r="W18" s="671">
        <f>+V18*$V$42/1000</f>
        <v>3598.8479319887501</v>
      </c>
      <c r="X18" s="671">
        <f>+W18*1.1</f>
        <v>3958.7327251876254</v>
      </c>
      <c r="Y18" s="912"/>
      <c r="Z18" s="912">
        <f>+W18*1.1</f>
        <v>3958.7327251876254</v>
      </c>
      <c r="AB18" s="6">
        <f t="shared" ref="AB18:AE21" si="1">+D18*D$91</f>
        <v>261.63648000000001</v>
      </c>
      <c r="AC18" s="6">
        <f t="shared" si="1"/>
        <v>98.078400000000002</v>
      </c>
      <c r="AD18" s="6">
        <f t="shared" si="1"/>
        <v>660.19274999999993</v>
      </c>
      <c r="AE18" s="6">
        <f t="shared" si="1"/>
        <v>176.93234999999999</v>
      </c>
      <c r="AF18" s="204">
        <f>+(AB18+AD18+AC18+AE18)/1.5435</f>
        <v>775.40653061224486</v>
      </c>
    </row>
    <row r="19" spans="2:36" ht="14.25">
      <c r="B19" s="913" t="s">
        <v>427</v>
      </c>
      <c r="C19" s="652" t="s">
        <v>692</v>
      </c>
      <c r="D19" s="653">
        <v>180</v>
      </c>
      <c r="E19" s="653">
        <v>180</v>
      </c>
      <c r="F19" s="653">
        <v>180</v>
      </c>
      <c r="G19" s="653">
        <v>180</v>
      </c>
      <c r="H19" s="651">
        <f t="shared" ref="H19:H21" si="2">+AVERAGE(D19:G19)</f>
        <v>180</v>
      </c>
      <c r="I19" s="672">
        <v>180</v>
      </c>
      <c r="J19" s="672">
        <v>180</v>
      </c>
      <c r="K19" s="672">
        <v>180</v>
      </c>
      <c r="L19" s="672">
        <v>180</v>
      </c>
      <c r="M19" s="672">
        <v>180</v>
      </c>
      <c r="N19" s="672">
        <v>180</v>
      </c>
      <c r="O19" s="672">
        <v>180</v>
      </c>
      <c r="P19" s="672">
        <v>180</v>
      </c>
      <c r="Q19" s="672"/>
      <c r="R19" s="672"/>
      <c r="S19" s="672"/>
      <c r="T19" s="672"/>
      <c r="U19" s="672"/>
      <c r="V19" s="674">
        <f t="shared" ref="V19:V21" si="3">+V34</f>
        <v>180.00000000000003</v>
      </c>
      <c r="W19" s="671">
        <f t="shared" ref="W19:W21" si="4">+V19*$V$42/1000</f>
        <v>763.61850000000015</v>
      </c>
      <c r="X19" s="671">
        <f t="shared" ref="X19:X21" si="5">+W19*1.1</f>
        <v>839.98035000000027</v>
      </c>
      <c r="Y19" s="912"/>
      <c r="Z19" s="912">
        <f t="shared" ref="Z19:Z21" si="6">+W19*1.1</f>
        <v>839.98035000000027</v>
      </c>
      <c r="AB19" s="6">
        <f t="shared" si="1"/>
        <v>65.318399999999997</v>
      </c>
      <c r="AC19" s="6">
        <f t="shared" si="1"/>
        <v>25.401599999999998</v>
      </c>
      <c r="AD19" s="6">
        <f t="shared" si="1"/>
        <v>142.31700000000001</v>
      </c>
      <c r="AE19" s="6">
        <f t="shared" si="1"/>
        <v>44.792999999999999</v>
      </c>
      <c r="AF19" s="204">
        <f>+(AB19+AD19+AC19+AE19)/1.5435</f>
        <v>179.99999999999997</v>
      </c>
    </row>
    <row r="20" spans="2:36" ht="14.25">
      <c r="B20" s="913" t="s">
        <v>693</v>
      </c>
      <c r="C20" s="652" t="s">
        <v>692</v>
      </c>
      <c r="D20" s="653">
        <v>149</v>
      </c>
      <c r="E20" s="653">
        <v>175</v>
      </c>
      <c r="F20" s="653">
        <v>35</v>
      </c>
      <c r="G20" s="653">
        <v>159</v>
      </c>
      <c r="H20" s="651">
        <f t="shared" si="2"/>
        <v>129.5</v>
      </c>
      <c r="I20" s="673">
        <f>+I42*$N$9/1000000</f>
        <v>24.955500000000001</v>
      </c>
      <c r="J20" s="673">
        <f>+J42*$N$9/1000000</f>
        <v>74.866500000000002</v>
      </c>
      <c r="K20" s="673">
        <f>+K42*$N$9/1000000</f>
        <v>21.431249999999999</v>
      </c>
      <c r="L20" s="673">
        <f>+L42*$N$10/1000000</f>
        <v>35.464750000000002</v>
      </c>
      <c r="M20" s="673">
        <f>+M42*$N$10/1000000</f>
        <v>26.13025</v>
      </c>
      <c r="N20" s="673">
        <f>+N42*$N$9/1000000</f>
        <v>22.271999999999998</v>
      </c>
      <c r="O20" s="673">
        <f>+O42*$N$10/1000000</f>
        <v>44.894500000000001</v>
      </c>
      <c r="P20" s="673">
        <f>+P42*$N$10/1000000</f>
        <v>57.784999999999997</v>
      </c>
      <c r="Q20" s="672"/>
      <c r="R20" s="672"/>
      <c r="S20" s="672"/>
      <c r="T20" s="672"/>
      <c r="U20" s="672"/>
      <c r="V20" s="674">
        <f>+V35</f>
        <v>45.680285695049307</v>
      </c>
      <c r="W20" s="671">
        <f t="shared" si="4"/>
        <v>193.79061801125005</v>
      </c>
      <c r="X20" s="671">
        <f t="shared" si="5"/>
        <v>213.16967981237508</v>
      </c>
      <c r="Y20" s="912"/>
      <c r="Z20" s="912">
        <f t="shared" si="6"/>
        <v>213.16967981237508</v>
      </c>
      <c r="AB20" s="6">
        <f t="shared" si="1"/>
        <v>54.069119999999998</v>
      </c>
      <c r="AC20" s="6">
        <f t="shared" si="1"/>
        <v>24.695999999999998</v>
      </c>
      <c r="AD20" s="6">
        <f t="shared" si="1"/>
        <v>27.672749999999997</v>
      </c>
      <c r="AE20" s="6">
        <f t="shared" si="1"/>
        <v>39.567149999999998</v>
      </c>
      <c r="AF20" s="204">
        <f>+(AB20+AD20+AC20+AE20)/1.5435</f>
        <v>94.593469387755093</v>
      </c>
    </row>
    <row r="21" spans="2:36" ht="14.25">
      <c r="B21" s="913" t="s">
        <v>694</v>
      </c>
      <c r="C21" s="652" t="s">
        <v>692</v>
      </c>
      <c r="D21" s="653">
        <v>26</v>
      </c>
      <c r="E21" s="653">
        <v>26</v>
      </c>
      <c r="F21" s="653">
        <v>26</v>
      </c>
      <c r="G21" s="653">
        <v>26</v>
      </c>
      <c r="H21" s="651">
        <f t="shared" si="2"/>
        <v>26</v>
      </c>
      <c r="I21" s="672">
        <v>26</v>
      </c>
      <c r="J21" s="672">
        <v>26</v>
      </c>
      <c r="K21" s="672">
        <v>26</v>
      </c>
      <c r="L21" s="672">
        <v>26</v>
      </c>
      <c r="M21" s="672">
        <v>26</v>
      </c>
      <c r="N21" s="672">
        <v>26</v>
      </c>
      <c r="O21" s="672">
        <v>26</v>
      </c>
      <c r="P21" s="672">
        <v>26</v>
      </c>
      <c r="Q21" s="672"/>
      <c r="R21" s="672"/>
      <c r="S21" s="672"/>
      <c r="T21" s="672"/>
      <c r="U21" s="672"/>
      <c r="V21" s="674">
        <f t="shared" si="3"/>
        <v>26.000000000000004</v>
      </c>
      <c r="W21" s="671">
        <f t="shared" si="4"/>
        <v>110.30045000000001</v>
      </c>
      <c r="X21" s="671">
        <f t="shared" si="5"/>
        <v>121.33049500000003</v>
      </c>
      <c r="Y21" s="912"/>
      <c r="Z21" s="912">
        <f t="shared" si="6"/>
        <v>121.33049500000003</v>
      </c>
      <c r="AB21" s="6">
        <f t="shared" si="1"/>
        <v>9.4348799999999997</v>
      </c>
      <c r="AC21" s="6">
        <f t="shared" si="1"/>
        <v>3.6691199999999999</v>
      </c>
      <c r="AD21" s="6">
        <f t="shared" si="1"/>
        <v>20.556899999999999</v>
      </c>
      <c r="AE21" s="6">
        <f t="shared" si="1"/>
        <v>6.4700999999999995</v>
      </c>
      <c r="AF21" s="204">
        <f>+(AB21+AD21+AC21+AE21)/1.5435</f>
        <v>26</v>
      </c>
    </row>
    <row r="22" spans="2:36" ht="15">
      <c r="B22" s="914" t="s">
        <v>695</v>
      </c>
      <c r="C22" s="654" t="s">
        <v>692</v>
      </c>
      <c r="D22" s="655">
        <v>1076</v>
      </c>
      <c r="E22" s="655">
        <v>1076</v>
      </c>
      <c r="F22" s="655">
        <v>1076</v>
      </c>
      <c r="G22" s="655">
        <v>1076</v>
      </c>
      <c r="H22" s="655">
        <f>SUM(H18:H21)</f>
        <v>1076</v>
      </c>
      <c r="I22" s="655">
        <f>SUM(I18:I21)</f>
        <v>1100</v>
      </c>
      <c r="J22" s="655">
        <f t="shared" ref="J22:W22" si="7">SUM(J18:J21)</f>
        <v>1100</v>
      </c>
      <c r="K22" s="655">
        <f t="shared" si="7"/>
        <v>1100</v>
      </c>
      <c r="L22" s="655">
        <f t="shared" si="7"/>
        <v>1100</v>
      </c>
      <c r="M22" s="655">
        <f t="shared" si="7"/>
        <v>1099.9999999999998</v>
      </c>
      <c r="N22" s="655">
        <f t="shared" si="7"/>
        <v>1100</v>
      </c>
      <c r="O22" s="655">
        <f t="shared" si="7"/>
        <v>1100.0000000000002</v>
      </c>
      <c r="P22" s="655">
        <f t="shared" si="7"/>
        <v>1100</v>
      </c>
      <c r="Q22" s="655">
        <f t="shared" si="7"/>
        <v>0</v>
      </c>
      <c r="R22" s="655">
        <f t="shared" si="7"/>
        <v>0</v>
      </c>
      <c r="S22" s="655">
        <f t="shared" si="7"/>
        <v>0</v>
      </c>
      <c r="T22" s="655">
        <f t="shared" si="7"/>
        <v>0</v>
      </c>
      <c r="U22" s="655">
        <f t="shared" si="7"/>
        <v>0</v>
      </c>
      <c r="V22" s="655">
        <f t="shared" si="7"/>
        <v>1100.0000000000002</v>
      </c>
      <c r="W22" s="655">
        <f t="shared" si="7"/>
        <v>4666.5575000000008</v>
      </c>
      <c r="X22" s="655">
        <f>SUM(X18:X21)</f>
        <v>5133.2132500000007</v>
      </c>
    </row>
    <row r="23" spans="2:36" ht="23.25">
      <c r="B23" s="687"/>
      <c r="C23" s="624"/>
      <c r="D23" s="624"/>
      <c r="E23" s="624"/>
      <c r="F23" s="624"/>
      <c r="G23" s="624"/>
      <c r="H23" s="624"/>
      <c r="I23" s="624"/>
      <c r="J23" s="624"/>
      <c r="K23" s="624"/>
      <c r="L23" s="624"/>
      <c r="M23" s="624"/>
      <c r="N23" s="624"/>
      <c r="O23" s="624"/>
      <c r="P23" s="624"/>
      <c r="Q23" s="624"/>
      <c r="R23" s="624"/>
      <c r="S23" s="624"/>
      <c r="T23" s="624"/>
      <c r="U23" s="624"/>
      <c r="V23" s="915"/>
      <c r="W23" s="624"/>
      <c r="X23" s="870" t="b">
        <f>+'EPC Liquidity Plan'!G12=X22</f>
        <v>1</v>
      </c>
      <c r="Y23" s="912"/>
      <c r="Z23" s="912"/>
      <c r="AJ23" s="6">
        <v>5133000000</v>
      </c>
    </row>
    <row r="24" spans="2:36" ht="23.25">
      <c r="B24" s="687"/>
      <c r="C24" s="624"/>
      <c r="D24" s="624"/>
      <c r="E24" s="624"/>
      <c r="F24" s="624"/>
      <c r="G24" s="624"/>
      <c r="H24" s="624"/>
      <c r="I24" s="624"/>
      <c r="J24" s="624"/>
      <c r="K24" s="624"/>
      <c r="L24" s="624"/>
      <c r="M24" s="624"/>
      <c r="N24" s="624"/>
      <c r="O24" s="624"/>
      <c r="P24" s="624"/>
      <c r="Q24" s="624"/>
      <c r="R24" s="624"/>
      <c r="S24" s="624"/>
      <c r="T24" s="624"/>
      <c r="U24" s="624"/>
      <c r="V24" s="624"/>
      <c r="W24" s="624"/>
      <c r="X24" s="624"/>
      <c r="AJ24" s="203">
        <f>AJ23/1470</f>
        <v>3491836.7346938774</v>
      </c>
    </row>
    <row r="25" spans="2:36" ht="30" customHeight="1">
      <c r="B25" s="1451" t="s">
        <v>683</v>
      </c>
      <c r="C25" s="1452" t="s">
        <v>527</v>
      </c>
      <c r="D25" s="1449" t="str">
        <f>+D16</f>
        <v>POSN2-1HO</v>
      </c>
      <c r="E25" s="1449" t="str">
        <f t="shared" ref="E25:G25" si="8">+E16</f>
        <v>POSN2-3HO</v>
      </c>
      <c r="F25" s="1449" t="str">
        <f t="shared" si="8"/>
        <v>POSN2-4HO</v>
      </c>
      <c r="G25" s="1449" t="str">
        <f t="shared" si="8"/>
        <v>POSN2-8HO</v>
      </c>
      <c r="H25" s="648"/>
      <c r="I25" s="1449" t="str">
        <f t="shared" ref="I25:U25" si="9">+I16</f>
        <v>Changseong High Tech</v>
      </c>
      <c r="J25" s="1449" t="str">
        <f t="shared" si="9"/>
        <v>LSG</v>
      </c>
      <c r="K25" s="1449" t="str">
        <f t="shared" si="9"/>
        <v>Hanseo Motors</v>
      </c>
      <c r="L25" s="1449" t="str">
        <f t="shared" si="9"/>
        <v>Seun Steel Gyeongju</v>
      </c>
      <c r="M25" s="1449" t="str">
        <f t="shared" si="9"/>
        <v>Oneel</v>
      </c>
      <c r="N25" s="1449" t="str">
        <f t="shared" si="9"/>
        <v>E-Tech</v>
      </c>
      <c r="O25" s="1449" t="str">
        <f t="shared" si="9"/>
        <v>Daechon Headquarters</v>
      </c>
      <c r="P25" s="1449" t="str">
        <f t="shared" si="9"/>
        <v>Daechon Busan</v>
      </c>
      <c r="Q25" s="1449">
        <f t="shared" si="9"/>
        <v>0</v>
      </c>
      <c r="R25" s="1449">
        <f t="shared" si="9"/>
        <v>0</v>
      </c>
      <c r="S25" s="1449">
        <f t="shared" si="9"/>
        <v>0</v>
      </c>
      <c r="T25" s="1449">
        <f t="shared" si="9"/>
        <v>0</v>
      </c>
      <c r="U25" s="1449">
        <f t="shared" si="9"/>
        <v>0</v>
      </c>
      <c r="V25" s="648" t="s">
        <v>688</v>
      </c>
      <c r="W25" s="648" t="s">
        <v>688</v>
      </c>
      <c r="X25" s="648" t="s">
        <v>689</v>
      </c>
    </row>
    <row r="26" spans="2:36" ht="15">
      <c r="B26" s="1451"/>
      <c r="C26" s="1452"/>
      <c r="D26" s="1449"/>
      <c r="E26" s="1449"/>
      <c r="F26" s="1449"/>
      <c r="G26" s="1449"/>
      <c r="H26" s="648"/>
      <c r="I26" s="1449"/>
      <c r="J26" s="1449"/>
      <c r="K26" s="1449"/>
      <c r="L26" s="1449"/>
      <c r="M26" s="1449"/>
      <c r="N26" s="1449"/>
      <c r="O26" s="1449"/>
      <c r="P26" s="1449"/>
      <c r="Q26" s="1449"/>
      <c r="R26" s="1449"/>
      <c r="S26" s="1449"/>
      <c r="T26" s="1449"/>
      <c r="U26" s="1449"/>
      <c r="V26" s="649" t="s">
        <v>696</v>
      </c>
      <c r="W26" s="649" t="s">
        <v>697</v>
      </c>
      <c r="X26" s="649" t="s">
        <v>697</v>
      </c>
    </row>
    <row r="27" spans="2:36" ht="14.25">
      <c r="B27" s="911" t="s">
        <v>425</v>
      </c>
      <c r="C27" s="650" t="s">
        <v>698</v>
      </c>
      <c r="D27" s="651">
        <v>482</v>
      </c>
      <c r="E27" s="651">
        <v>465</v>
      </c>
      <c r="F27" s="651">
        <v>558</v>
      </c>
      <c r="G27" s="651">
        <v>475</v>
      </c>
      <c r="H27" s="651"/>
      <c r="I27" s="674">
        <f t="shared" ref="I27:K30" si="10">+I18*1000000/$Q$2/1000</f>
        <v>591.1867346938775</v>
      </c>
      <c r="J27" s="674">
        <f t="shared" si="10"/>
        <v>557.23367346938778</v>
      </c>
      <c r="K27" s="674">
        <f t="shared" si="10"/>
        <v>593.5841836734694</v>
      </c>
      <c r="L27" s="674">
        <f t="shared" ref="L27:P27" si="11">+L18*1000000/$Q$2/1000</f>
        <v>584.03758503401366</v>
      </c>
      <c r="M27" s="674">
        <f t="shared" si="11"/>
        <v>590.38758503401357</v>
      </c>
      <c r="N27" s="674">
        <f t="shared" si="11"/>
        <v>593.01224489795914</v>
      </c>
      <c r="O27" s="674">
        <f t="shared" si="11"/>
        <v>577.62278911564624</v>
      </c>
      <c r="P27" s="674">
        <f t="shared" si="11"/>
        <v>568.85374149659867</v>
      </c>
      <c r="Q27" s="674">
        <f t="shared" ref="Q27:U30" si="12">+Q18*1000000/$Q$2/1000</f>
        <v>0</v>
      </c>
      <c r="R27" s="674">
        <f t="shared" si="12"/>
        <v>0</v>
      </c>
      <c r="S27" s="674">
        <f t="shared" si="12"/>
        <v>0</v>
      </c>
      <c r="T27" s="674">
        <f t="shared" si="12"/>
        <v>0</v>
      </c>
      <c r="U27" s="674">
        <f t="shared" si="12"/>
        <v>0</v>
      </c>
      <c r="V27" s="674">
        <f>+V38</f>
        <v>577.08824102377605</v>
      </c>
      <c r="W27" s="671">
        <f>+V27*$V$42/1000</f>
        <v>2448.1958721011906</v>
      </c>
      <c r="X27" s="671">
        <f>+W27*1.1</f>
        <v>2693.0154593113098</v>
      </c>
      <c r="AF27" s="6">
        <f>+V27*$V$91</f>
        <v>2425582.6693766741</v>
      </c>
    </row>
    <row r="28" spans="2:36" ht="14.25">
      <c r="B28" s="913" t="s">
        <v>427</v>
      </c>
      <c r="C28" s="652" t="s">
        <v>698</v>
      </c>
      <c r="D28" s="653">
        <v>120</v>
      </c>
      <c r="E28" s="653">
        <v>120</v>
      </c>
      <c r="F28" s="653">
        <v>120</v>
      </c>
      <c r="G28" s="653">
        <v>120</v>
      </c>
      <c r="H28" s="653"/>
      <c r="I28" s="674">
        <f t="shared" si="10"/>
        <v>122.44897959183673</v>
      </c>
      <c r="J28" s="674">
        <f t="shared" si="10"/>
        <v>122.44897959183673</v>
      </c>
      <c r="K28" s="674">
        <f t="shared" si="10"/>
        <v>122.44897959183673</v>
      </c>
      <c r="L28" s="674">
        <f t="shared" ref="L28:P28" si="13">+L19*1000000/$Q$2/1000</f>
        <v>122.44897959183673</v>
      </c>
      <c r="M28" s="674">
        <f t="shared" si="13"/>
        <v>122.44897959183673</v>
      </c>
      <c r="N28" s="674">
        <f t="shared" si="13"/>
        <v>122.44897959183673</v>
      </c>
      <c r="O28" s="674">
        <f t="shared" si="13"/>
        <v>122.44897959183673</v>
      </c>
      <c r="P28" s="674">
        <f t="shared" si="13"/>
        <v>122.44897959183673</v>
      </c>
      <c r="Q28" s="674">
        <f t="shared" si="12"/>
        <v>0</v>
      </c>
      <c r="R28" s="674">
        <f t="shared" si="12"/>
        <v>0</v>
      </c>
      <c r="S28" s="674">
        <f t="shared" si="12"/>
        <v>0</v>
      </c>
      <c r="T28" s="674">
        <f t="shared" si="12"/>
        <v>0</v>
      </c>
      <c r="U28" s="674">
        <f t="shared" si="12"/>
        <v>0</v>
      </c>
      <c r="V28" s="674">
        <f t="shared" ref="V28:V30" si="14">+V39</f>
        <v>122.44897959183676</v>
      </c>
      <c r="W28" s="671">
        <f t="shared" ref="W28:W30" si="15">+V28*$V$42/1000</f>
        <v>519.46836734693886</v>
      </c>
      <c r="X28" s="671">
        <f t="shared" ref="X28:X30" si="16">+W28*1.1</f>
        <v>571.41520408163285</v>
      </c>
      <c r="AF28" s="6">
        <f>+V28*$V$91</f>
        <v>514670.20408163278</v>
      </c>
    </row>
    <row r="29" spans="2:36" ht="14.25">
      <c r="B29" s="913" t="s">
        <v>693</v>
      </c>
      <c r="C29" s="652" t="s">
        <v>698</v>
      </c>
      <c r="D29" s="653">
        <v>100</v>
      </c>
      <c r="E29" s="653">
        <v>117</v>
      </c>
      <c r="F29" s="653">
        <v>23</v>
      </c>
      <c r="G29" s="653">
        <v>106</v>
      </c>
      <c r="H29" s="653"/>
      <c r="I29" s="674">
        <f t="shared" si="10"/>
        <v>16.976530612244897</v>
      </c>
      <c r="J29" s="674">
        <f t="shared" si="10"/>
        <v>50.929591836734694</v>
      </c>
      <c r="K29" s="674">
        <f t="shared" si="10"/>
        <v>14.579081632653063</v>
      </c>
      <c r="L29" s="674">
        <f t="shared" ref="L29:P29" si="17">+L20*1000000/$Q$2/1000</f>
        <v>24.125680272108841</v>
      </c>
      <c r="M29" s="674">
        <f t="shared" si="17"/>
        <v>17.775680272108843</v>
      </c>
      <c r="N29" s="674">
        <f t="shared" si="17"/>
        <v>15.151020408163266</v>
      </c>
      <c r="O29" s="674">
        <f t="shared" si="17"/>
        <v>30.540476190476191</v>
      </c>
      <c r="P29" s="674">
        <f t="shared" si="17"/>
        <v>39.30952380952381</v>
      </c>
      <c r="Q29" s="674">
        <f t="shared" si="12"/>
        <v>0</v>
      </c>
      <c r="R29" s="674">
        <f t="shared" si="12"/>
        <v>0</v>
      </c>
      <c r="S29" s="674">
        <f t="shared" si="12"/>
        <v>0</v>
      </c>
      <c r="T29" s="674">
        <f t="shared" si="12"/>
        <v>0</v>
      </c>
      <c r="U29" s="674">
        <f t="shared" si="12"/>
        <v>0</v>
      </c>
      <c r="V29" s="674">
        <f t="shared" si="14"/>
        <v>31.075024282346458</v>
      </c>
      <c r="W29" s="671">
        <f t="shared" si="15"/>
        <v>131.83035238860543</v>
      </c>
      <c r="X29" s="671">
        <f t="shared" si="16"/>
        <v>145.01338762746599</v>
      </c>
      <c r="AF29" s="6">
        <f>+V29*$V$91</f>
        <v>130612.6775621017</v>
      </c>
    </row>
    <row r="30" spans="2:36" ht="14.25">
      <c r="B30" s="913" t="s">
        <v>699</v>
      </c>
      <c r="C30" s="652" t="s">
        <v>698</v>
      </c>
      <c r="D30" s="653">
        <v>17</v>
      </c>
      <c r="E30" s="653">
        <v>17</v>
      </c>
      <c r="F30" s="653">
        <v>17</v>
      </c>
      <c r="G30" s="653">
        <v>17</v>
      </c>
      <c r="H30" s="653"/>
      <c r="I30" s="674">
        <f t="shared" si="10"/>
        <v>17.687074829931973</v>
      </c>
      <c r="J30" s="674">
        <f t="shared" si="10"/>
        <v>17.687074829931973</v>
      </c>
      <c r="K30" s="674">
        <f t="shared" si="10"/>
        <v>17.687074829931973</v>
      </c>
      <c r="L30" s="674">
        <f t="shared" ref="L30:P30" si="18">+L21*1000000/$Q$2/1000</f>
        <v>17.687074829931973</v>
      </c>
      <c r="M30" s="674">
        <f t="shared" si="18"/>
        <v>17.687074829931973</v>
      </c>
      <c r="N30" s="674">
        <f t="shared" si="18"/>
        <v>17.687074829931973</v>
      </c>
      <c r="O30" s="674">
        <f t="shared" si="18"/>
        <v>17.687074829931973</v>
      </c>
      <c r="P30" s="674">
        <f t="shared" si="18"/>
        <v>17.687074829931973</v>
      </c>
      <c r="Q30" s="674">
        <f t="shared" si="12"/>
        <v>0</v>
      </c>
      <c r="R30" s="674">
        <f t="shared" si="12"/>
        <v>0</v>
      </c>
      <c r="S30" s="674">
        <f t="shared" si="12"/>
        <v>0</v>
      </c>
      <c r="T30" s="674">
        <f t="shared" si="12"/>
        <v>0</v>
      </c>
      <c r="U30" s="674">
        <f t="shared" si="12"/>
        <v>0</v>
      </c>
      <c r="V30" s="674">
        <f t="shared" si="14"/>
        <v>17.687074829931973</v>
      </c>
      <c r="W30" s="671">
        <f t="shared" si="15"/>
        <v>75.034319727891159</v>
      </c>
      <c r="X30" s="671">
        <f t="shared" si="16"/>
        <v>82.537751700680275</v>
      </c>
      <c r="AF30" s="6">
        <f>+V30*$V$91</f>
        <v>74341.251700680281</v>
      </c>
    </row>
    <row r="31" spans="2:36" ht="15">
      <c r="B31" s="914" t="s">
        <v>695</v>
      </c>
      <c r="C31" s="654" t="s">
        <v>698</v>
      </c>
      <c r="D31" s="656">
        <v>720</v>
      </c>
      <c r="E31" s="656">
        <v>720</v>
      </c>
      <c r="F31" s="656">
        <v>720</v>
      </c>
      <c r="G31" s="656">
        <v>720</v>
      </c>
      <c r="H31" s="656"/>
      <c r="I31" s="675">
        <f>+SUM(I27:I30)</f>
        <v>748.29931972789109</v>
      </c>
      <c r="J31" s="675">
        <f t="shared" ref="J31:W31" si="19">+SUM(J27:J30)</f>
        <v>748.2993197278912</v>
      </c>
      <c r="K31" s="675">
        <f t="shared" si="19"/>
        <v>748.29931972789109</v>
      </c>
      <c r="L31" s="675">
        <f t="shared" si="19"/>
        <v>748.2993197278912</v>
      </c>
      <c r="M31" s="675">
        <f t="shared" si="19"/>
        <v>748.29931972789109</v>
      </c>
      <c r="N31" s="675">
        <f t="shared" si="19"/>
        <v>748.29931972789109</v>
      </c>
      <c r="O31" s="675">
        <f t="shared" si="19"/>
        <v>748.29931972789109</v>
      </c>
      <c r="P31" s="675">
        <f t="shared" si="19"/>
        <v>748.2993197278912</v>
      </c>
      <c r="Q31" s="675">
        <f t="shared" si="19"/>
        <v>0</v>
      </c>
      <c r="R31" s="675">
        <f t="shared" si="19"/>
        <v>0</v>
      </c>
      <c r="S31" s="675">
        <f t="shared" si="19"/>
        <v>0</v>
      </c>
      <c r="T31" s="675">
        <f t="shared" si="19"/>
        <v>0</v>
      </c>
      <c r="U31" s="675">
        <f t="shared" si="19"/>
        <v>0</v>
      </c>
      <c r="V31" s="675">
        <f t="shared" si="19"/>
        <v>748.2993197278912</v>
      </c>
      <c r="W31" s="655">
        <f t="shared" si="19"/>
        <v>3174.528911564626</v>
      </c>
      <c r="X31" s="655">
        <f>SUM(X27:X30)</f>
        <v>3491.981802721089</v>
      </c>
    </row>
    <row r="33" spans="2:32">
      <c r="I33" s="916">
        <f>+I18*I$42/1000</f>
        <v>144.582933465</v>
      </c>
      <c r="J33" s="916">
        <f t="shared" ref="J33:U33" si="20">+J18*J$42/1000</f>
        <v>408.83772118500002</v>
      </c>
      <c r="K33" s="916">
        <f t="shared" si="20"/>
        <v>124.66826015625</v>
      </c>
      <c r="L33" s="916">
        <f t="shared" si="20"/>
        <v>608.95476014874998</v>
      </c>
      <c r="M33" s="916">
        <f t="shared" si="20"/>
        <v>453.55307069874999</v>
      </c>
      <c r="N33" s="916">
        <f t="shared" si="20"/>
        <v>129.43417344</v>
      </c>
      <c r="O33" s="916">
        <f t="shared" si="20"/>
        <v>762.40333739499999</v>
      </c>
      <c r="P33" s="916">
        <f t="shared" si="20"/>
        <v>966.41367550000018</v>
      </c>
      <c r="Q33" s="916">
        <f t="shared" si="20"/>
        <v>0</v>
      </c>
      <c r="R33" s="916">
        <f t="shared" si="20"/>
        <v>0</v>
      </c>
      <c r="S33" s="916">
        <f t="shared" si="20"/>
        <v>0</v>
      </c>
      <c r="T33" s="916">
        <f t="shared" si="20"/>
        <v>0</v>
      </c>
      <c r="U33" s="916">
        <f t="shared" si="20"/>
        <v>0</v>
      </c>
      <c r="V33" s="916">
        <f>+SUM(I33:U33)/$V$42*1000</f>
        <v>848.31971430495082</v>
      </c>
      <c r="X33" s="6" t="b">
        <f>+X22/1470*1000=X31</f>
        <v>1</v>
      </c>
    </row>
    <row r="34" spans="2:32">
      <c r="I34" s="916">
        <f t="shared" ref="I34:U36" si="21">+I19*I$42/1000</f>
        <v>29.946600000000004</v>
      </c>
      <c r="J34" s="916">
        <f t="shared" si="21"/>
        <v>89.839799999999997</v>
      </c>
      <c r="K34" s="916">
        <f t="shared" si="21"/>
        <v>25.717500000000001</v>
      </c>
      <c r="L34" s="916">
        <f t="shared" si="21"/>
        <v>127.67309999999999</v>
      </c>
      <c r="M34" s="916">
        <f t="shared" si="21"/>
        <v>94.068900000000014</v>
      </c>
      <c r="N34" s="916">
        <f t="shared" si="21"/>
        <v>26.726399999999998</v>
      </c>
      <c r="O34" s="916">
        <f t="shared" si="21"/>
        <v>161.62020000000001</v>
      </c>
      <c r="P34" s="916">
        <f t="shared" si="21"/>
        <v>208.02600000000001</v>
      </c>
      <c r="Q34" s="916">
        <f t="shared" si="21"/>
        <v>0</v>
      </c>
      <c r="R34" s="916">
        <f t="shared" si="21"/>
        <v>0</v>
      </c>
      <c r="S34" s="916">
        <f t="shared" si="21"/>
        <v>0</v>
      </c>
      <c r="T34" s="916">
        <f t="shared" si="21"/>
        <v>0</v>
      </c>
      <c r="U34" s="916">
        <f t="shared" si="21"/>
        <v>0</v>
      </c>
      <c r="V34" s="916">
        <f>+SUM(I34:U34)/$V$42*1000</f>
        <v>180.00000000000003</v>
      </c>
    </row>
    <row r="35" spans="2:32">
      <c r="D35" s="917">
        <f>+D18/D27</f>
        <v>1.495850622406639</v>
      </c>
      <c r="I35" s="916">
        <f t="shared" si="21"/>
        <v>4.1518465350000007</v>
      </c>
      <c r="J35" s="916">
        <f t="shared" si="21"/>
        <v>37.366618815000002</v>
      </c>
      <c r="K35" s="916">
        <f t="shared" si="21"/>
        <v>3.0619898437499997</v>
      </c>
      <c r="L35" s="916">
        <f t="shared" si="21"/>
        <v>25.154969851250002</v>
      </c>
      <c r="M35" s="916">
        <f t="shared" si="21"/>
        <v>13.655799301250001</v>
      </c>
      <c r="N35" s="916">
        <f t="shared" si="21"/>
        <v>3.3069465599999992</v>
      </c>
      <c r="O35" s="916">
        <f t="shared" si="21"/>
        <v>40.310322605000003</v>
      </c>
      <c r="P35" s="916">
        <f t="shared" si="21"/>
        <v>66.782124500000009</v>
      </c>
      <c r="Q35" s="916">
        <f t="shared" si="21"/>
        <v>0</v>
      </c>
      <c r="R35" s="916">
        <f t="shared" si="21"/>
        <v>0</v>
      </c>
      <c r="S35" s="916">
        <f t="shared" si="21"/>
        <v>0</v>
      </c>
      <c r="T35" s="916">
        <f t="shared" si="21"/>
        <v>0</v>
      </c>
      <c r="U35" s="916">
        <f t="shared" si="21"/>
        <v>0</v>
      </c>
      <c r="V35" s="916">
        <f>+SUM(I35:U35)/$V$42*1000</f>
        <v>45.680285695049307</v>
      </c>
    </row>
    <row r="36" spans="2:32">
      <c r="B36" s="203"/>
      <c r="D36" s="917"/>
      <c r="I36" s="916">
        <f t="shared" si="21"/>
        <v>4.3256199999999998</v>
      </c>
      <c r="J36" s="916">
        <f t="shared" si="21"/>
        <v>12.97686</v>
      </c>
      <c r="K36" s="916">
        <f t="shared" si="21"/>
        <v>3.71475</v>
      </c>
      <c r="L36" s="916">
        <f t="shared" si="21"/>
        <v>18.441669999999998</v>
      </c>
      <c r="M36" s="916">
        <f t="shared" si="21"/>
        <v>13.587729999999999</v>
      </c>
      <c r="N36" s="916">
        <f t="shared" si="21"/>
        <v>3.8604799999999995</v>
      </c>
      <c r="O36" s="916">
        <f t="shared" si="21"/>
        <v>23.345140000000001</v>
      </c>
      <c r="P36" s="916">
        <f t="shared" si="21"/>
        <v>30.048200000000001</v>
      </c>
      <c r="Q36" s="916">
        <f t="shared" si="21"/>
        <v>0</v>
      </c>
      <c r="R36" s="916">
        <f t="shared" si="21"/>
        <v>0</v>
      </c>
      <c r="S36" s="916">
        <f t="shared" si="21"/>
        <v>0</v>
      </c>
      <c r="T36" s="916">
        <f t="shared" si="21"/>
        <v>0</v>
      </c>
      <c r="U36" s="916">
        <f t="shared" si="21"/>
        <v>0</v>
      </c>
      <c r="V36" s="916">
        <f>+SUM(I36:U36)/$V$42*1000</f>
        <v>26.000000000000004</v>
      </c>
    </row>
    <row r="37" spans="2:32">
      <c r="D37" s="917"/>
      <c r="I37" s="11"/>
      <c r="J37" s="11"/>
      <c r="K37" s="11"/>
      <c r="L37" s="11"/>
      <c r="M37" s="11"/>
      <c r="N37" s="11"/>
      <c r="O37" s="11"/>
      <c r="P37" s="11"/>
      <c r="Q37" s="11"/>
      <c r="R37" s="11"/>
      <c r="S37" s="11"/>
      <c r="T37" s="11"/>
      <c r="U37" s="11"/>
      <c r="V37" s="11"/>
    </row>
    <row r="38" spans="2:32">
      <c r="D38" s="917"/>
      <c r="I38" s="916">
        <f>+I27*I$42/1000</f>
        <v>98.355737051020412</v>
      </c>
      <c r="J38" s="916">
        <f t="shared" ref="J38:U38" si="22">+J27*J$42/1000</f>
        <v>278.12089876530615</v>
      </c>
      <c r="K38" s="916">
        <f t="shared" si="22"/>
        <v>84.808340242346944</v>
      </c>
      <c r="L38" s="916">
        <f t="shared" si="22"/>
        <v>414.25493887670069</v>
      </c>
      <c r="M38" s="916">
        <f t="shared" si="22"/>
        <v>308.53950387670062</v>
      </c>
      <c r="N38" s="916">
        <f t="shared" si="22"/>
        <v>88.050458122448973</v>
      </c>
      <c r="O38" s="916">
        <f t="shared" si="22"/>
        <v>518.64172611904758</v>
      </c>
      <c r="P38" s="916">
        <f t="shared" si="22"/>
        <v>657.42426904761908</v>
      </c>
      <c r="Q38" s="916">
        <f t="shared" si="22"/>
        <v>0</v>
      </c>
      <c r="R38" s="916">
        <f t="shared" si="22"/>
        <v>0</v>
      </c>
      <c r="S38" s="916">
        <f t="shared" si="22"/>
        <v>0</v>
      </c>
      <c r="T38" s="916">
        <f t="shared" si="22"/>
        <v>0</v>
      </c>
      <c r="U38" s="916">
        <f t="shared" si="22"/>
        <v>0</v>
      </c>
      <c r="V38" s="916">
        <f>+SUM(I38:U38)/$V$42*1000</f>
        <v>577.08824102377605</v>
      </c>
      <c r="W38" s="912"/>
    </row>
    <row r="39" spans="2:32">
      <c r="D39" s="917"/>
      <c r="I39" s="916">
        <f t="shared" ref="I39:U41" si="23">+I28*I$42/1000</f>
        <v>20.371836734693879</v>
      </c>
      <c r="J39" s="916">
        <f t="shared" si="23"/>
        <v>61.115510204081637</v>
      </c>
      <c r="K39" s="916">
        <f t="shared" si="23"/>
        <v>17.494897959183671</v>
      </c>
      <c r="L39" s="916">
        <f t="shared" si="23"/>
        <v>86.852448979591841</v>
      </c>
      <c r="M39" s="916">
        <f t="shared" si="23"/>
        <v>63.992448979591835</v>
      </c>
      <c r="N39" s="916">
        <f t="shared" si="23"/>
        <v>18.181224489795916</v>
      </c>
      <c r="O39" s="916">
        <f t="shared" si="23"/>
        <v>109.94571428571427</v>
      </c>
      <c r="P39" s="916">
        <f t="shared" si="23"/>
        <v>141.51428571428571</v>
      </c>
      <c r="Q39" s="916">
        <f t="shared" si="23"/>
        <v>0</v>
      </c>
      <c r="R39" s="916">
        <f t="shared" si="23"/>
        <v>0</v>
      </c>
      <c r="S39" s="916">
        <f t="shared" si="23"/>
        <v>0</v>
      </c>
      <c r="T39" s="916">
        <f t="shared" si="23"/>
        <v>0</v>
      </c>
      <c r="U39" s="916">
        <f t="shared" si="23"/>
        <v>0</v>
      </c>
      <c r="V39" s="916">
        <f>+SUM(I39:U39)/$V$42*1000</f>
        <v>122.44897959183676</v>
      </c>
    </row>
    <row r="40" spans="2:32">
      <c r="D40" s="917"/>
      <c r="I40" s="916">
        <f t="shared" si="23"/>
        <v>2.8243853979591838</v>
      </c>
      <c r="J40" s="916">
        <f t="shared" si="23"/>
        <v>25.419468581632653</v>
      </c>
      <c r="K40" s="916">
        <f t="shared" si="23"/>
        <v>2.0829862882653063</v>
      </c>
      <c r="L40" s="916">
        <f t="shared" si="23"/>
        <v>17.112224388605437</v>
      </c>
      <c r="M40" s="916">
        <f t="shared" si="23"/>
        <v>9.2896593886054415</v>
      </c>
      <c r="N40" s="916">
        <f t="shared" si="23"/>
        <v>2.2496235102040814</v>
      </c>
      <c r="O40" s="916">
        <f t="shared" si="23"/>
        <v>27.421988166666665</v>
      </c>
      <c r="P40" s="916">
        <f t="shared" si="23"/>
        <v>45.430016666666667</v>
      </c>
      <c r="Q40" s="916">
        <f t="shared" si="23"/>
        <v>0</v>
      </c>
      <c r="R40" s="916">
        <f t="shared" si="23"/>
        <v>0</v>
      </c>
      <c r="S40" s="916">
        <f t="shared" si="23"/>
        <v>0</v>
      </c>
      <c r="T40" s="916">
        <f t="shared" si="23"/>
        <v>0</v>
      </c>
      <c r="U40" s="916">
        <f t="shared" si="23"/>
        <v>0</v>
      </c>
      <c r="V40" s="916">
        <f>+SUM(I40:U40)/$V$42*1000</f>
        <v>31.075024282346458</v>
      </c>
    </row>
    <row r="41" spans="2:32">
      <c r="D41" s="917"/>
      <c r="I41" s="916">
        <f t="shared" si="23"/>
        <v>2.9425986394557828</v>
      </c>
      <c r="J41" s="916">
        <f t="shared" si="23"/>
        <v>8.8277959183673467</v>
      </c>
      <c r="K41" s="916">
        <f t="shared" si="23"/>
        <v>2.5270408163265308</v>
      </c>
      <c r="L41" s="916">
        <f t="shared" si="23"/>
        <v>12.545353741496598</v>
      </c>
      <c r="M41" s="916">
        <f t="shared" si="23"/>
        <v>9.2433537414966001</v>
      </c>
      <c r="N41" s="916">
        <f t="shared" si="23"/>
        <v>2.6261768707482993</v>
      </c>
      <c r="O41" s="916">
        <f t="shared" si="23"/>
        <v>15.881047619047619</v>
      </c>
      <c r="P41" s="916">
        <f t="shared" si="23"/>
        <v>20.440952380952382</v>
      </c>
      <c r="Q41" s="916">
        <f t="shared" si="23"/>
        <v>0</v>
      </c>
      <c r="R41" s="916">
        <f t="shared" si="23"/>
        <v>0</v>
      </c>
      <c r="S41" s="916">
        <f t="shared" si="23"/>
        <v>0</v>
      </c>
      <c r="T41" s="916">
        <f t="shared" si="23"/>
        <v>0</v>
      </c>
      <c r="U41" s="916">
        <f t="shared" si="23"/>
        <v>0</v>
      </c>
      <c r="V41" s="916">
        <f>+SUM(I41:U41)/$V$42*1000</f>
        <v>17.687074829931973</v>
      </c>
    </row>
    <row r="42" spans="2:32" ht="13.5">
      <c r="D42" s="6">
        <v>0.36287999999999998</v>
      </c>
      <c r="E42" s="6">
        <v>0.14112</v>
      </c>
      <c r="F42" s="6">
        <v>0.79064999999999996</v>
      </c>
      <c r="G42" s="6">
        <v>0.24884999999999999</v>
      </c>
      <c r="H42" s="6">
        <f>+(D42+E42+F42+G42)/4</f>
        <v>0.38587499999999997</v>
      </c>
      <c r="I42" s="918">
        <f>+'EPC Liquidity Plan'!D4</f>
        <v>166.37</v>
      </c>
      <c r="J42" s="918">
        <f>+'EPC Liquidity Plan'!D5</f>
        <v>499.11</v>
      </c>
      <c r="K42" s="918">
        <f>+'EPC Liquidity Plan'!D6</f>
        <v>142.875</v>
      </c>
      <c r="L42" s="918">
        <f>+'EPC Liquidity Plan'!D7</f>
        <v>709.29499999999996</v>
      </c>
      <c r="M42" s="918">
        <f>+'EPC Liquidity Plan'!D8</f>
        <v>522.60500000000002</v>
      </c>
      <c r="N42" s="918">
        <f>+'EPC Liquidity Plan'!D9</f>
        <v>148.47999999999999</v>
      </c>
      <c r="O42" s="918">
        <f>+'EPC Liquidity Plan'!D10</f>
        <v>897.89</v>
      </c>
      <c r="P42" s="918">
        <f>+'EPC Liquidity Plan'!D11</f>
        <v>1155.7</v>
      </c>
      <c r="Q42" s="918"/>
      <c r="R42" s="918"/>
      <c r="S42" s="918"/>
      <c r="T42" s="918"/>
      <c r="U42" s="918"/>
      <c r="V42" s="918">
        <f>+SUM(I42:U42)</f>
        <v>4242.3249999999998</v>
      </c>
      <c r="AB42" s="43" t="s">
        <v>671</v>
      </c>
      <c r="AC42" s="6">
        <v>1470</v>
      </c>
    </row>
    <row r="44" spans="2:32">
      <c r="B44" s="6" t="s">
        <v>194</v>
      </c>
    </row>
    <row r="45" spans="2:32" ht="34.9" customHeight="1">
      <c r="B45" s="1451" t="s">
        <v>683</v>
      </c>
      <c r="C45" s="1452" t="s">
        <v>527</v>
      </c>
      <c r="D45" s="1449" t="s">
        <v>684</v>
      </c>
      <c r="E45" s="1449" t="s">
        <v>685</v>
      </c>
      <c r="F45" s="1449" t="s">
        <v>686</v>
      </c>
      <c r="G45" s="1449" t="s">
        <v>687</v>
      </c>
      <c r="H45" s="648"/>
      <c r="I45" s="1450" t="str">
        <f>+'EPC Liquidity Plan'!C20</f>
        <v>Eco Inshutech</v>
      </c>
      <c r="J45" s="1450" t="str">
        <f>+'EPC Liquidity Plan'!C21</f>
        <v>Younggwang Industry</v>
      </c>
      <c r="K45" s="1450" t="str">
        <f>+'EPC Liquidity Plan'!C22</f>
        <v>MPM Trade</v>
      </c>
      <c r="L45" s="1450"/>
      <c r="M45" s="1450"/>
      <c r="N45" s="1450"/>
      <c r="O45" s="1450"/>
      <c r="P45" s="1450"/>
      <c r="Q45" s="1450"/>
      <c r="R45" s="1450"/>
      <c r="S45" s="1450"/>
      <c r="T45" s="1450"/>
      <c r="U45" s="1450"/>
      <c r="V45" s="648" t="s">
        <v>688</v>
      </c>
      <c r="W45" s="648" t="s">
        <v>688</v>
      </c>
      <c r="X45" s="648" t="s">
        <v>700</v>
      </c>
    </row>
    <row r="46" spans="2:32" ht="15">
      <c r="B46" s="1451"/>
      <c r="C46" s="1452"/>
      <c r="D46" s="1449"/>
      <c r="E46" s="1449"/>
      <c r="F46" s="1449"/>
      <c r="G46" s="1449"/>
      <c r="H46" s="648"/>
      <c r="I46" s="1449"/>
      <c r="J46" s="1449"/>
      <c r="K46" s="1449"/>
      <c r="L46" s="1450"/>
      <c r="M46" s="1450"/>
      <c r="N46" s="1450"/>
      <c r="O46" s="1450"/>
      <c r="P46" s="1450"/>
      <c r="Q46" s="1449"/>
      <c r="R46" s="1449"/>
      <c r="S46" s="1449"/>
      <c r="T46" s="1449"/>
      <c r="U46" s="1449"/>
      <c r="V46" s="649" t="s">
        <v>690</v>
      </c>
      <c r="W46" s="649" t="s">
        <v>691</v>
      </c>
      <c r="X46" s="649" t="s">
        <v>691</v>
      </c>
    </row>
    <row r="47" spans="2:32" ht="14.25">
      <c r="B47" s="911" t="s">
        <v>425</v>
      </c>
      <c r="C47" s="650" t="s">
        <v>692</v>
      </c>
      <c r="D47" s="651">
        <v>721</v>
      </c>
      <c r="E47" s="651">
        <v>695</v>
      </c>
      <c r="F47" s="651">
        <v>835</v>
      </c>
      <c r="G47" s="651">
        <v>711</v>
      </c>
      <c r="H47" s="651">
        <f>+AVERAGE(D47:G47)</f>
        <v>740.5</v>
      </c>
      <c r="I47" s="671">
        <f>1100-I48-I49-I50</f>
        <v>860.13300000000004</v>
      </c>
      <c r="J47" s="671">
        <f t="shared" ref="J47:K47" si="24">1100-J48-J49-J50</f>
        <v>812.18025</v>
      </c>
      <c r="K47" s="671">
        <f t="shared" si="24"/>
        <v>862.37699999999995</v>
      </c>
      <c r="L47" s="671"/>
      <c r="M47" s="671"/>
      <c r="N47" s="671"/>
      <c r="O47" s="671"/>
      <c r="P47" s="671"/>
      <c r="Q47" s="671"/>
      <c r="R47" s="671"/>
      <c r="S47" s="671"/>
      <c r="T47" s="671"/>
      <c r="U47" s="671"/>
      <c r="V47" s="674">
        <f>+V62</f>
        <v>833.98048799850312</v>
      </c>
      <c r="W47" s="671">
        <f>+V47*$V$71/1000</f>
        <v>819.02304794625002</v>
      </c>
      <c r="X47" s="671">
        <f>+W47*1.1</f>
        <v>900.92535274087504</v>
      </c>
      <c r="Y47" s="912"/>
      <c r="Z47" s="912">
        <f>+W47*1.1</f>
        <v>900.92535274087504</v>
      </c>
      <c r="AB47" s="6">
        <f t="shared" ref="AB47:AE50" si="25">+D47*D$91</f>
        <v>261.63648000000001</v>
      </c>
      <c r="AC47" s="6">
        <f t="shared" si="25"/>
        <v>98.078400000000002</v>
      </c>
      <c r="AD47" s="6">
        <f t="shared" si="25"/>
        <v>660.19274999999993</v>
      </c>
      <c r="AE47" s="6">
        <f t="shared" si="25"/>
        <v>176.93234999999999</v>
      </c>
      <c r="AF47" s="204">
        <f>+(AB47+AD47+AC47+AE47)/1.5435</f>
        <v>775.40653061224486</v>
      </c>
    </row>
    <row r="48" spans="2:32" ht="14.25">
      <c r="B48" s="913" t="s">
        <v>427</v>
      </c>
      <c r="C48" s="652" t="s">
        <v>692</v>
      </c>
      <c r="D48" s="653">
        <v>180</v>
      </c>
      <c r="E48" s="653">
        <v>180</v>
      </c>
      <c r="F48" s="653">
        <v>180</v>
      </c>
      <c r="G48" s="653">
        <v>180</v>
      </c>
      <c r="H48" s="651">
        <f t="shared" ref="H48:H50" si="26">+AVERAGE(D48:G48)</f>
        <v>180</v>
      </c>
      <c r="I48" s="672">
        <v>180</v>
      </c>
      <c r="J48" s="672">
        <v>180</v>
      </c>
      <c r="K48" s="672">
        <v>180</v>
      </c>
      <c r="L48" s="672"/>
      <c r="M48" s="672"/>
      <c r="O48" s="672"/>
      <c r="P48" s="672"/>
      <c r="Q48" s="672"/>
      <c r="R48" s="672"/>
      <c r="S48" s="672"/>
      <c r="T48" s="672"/>
      <c r="U48" s="672"/>
      <c r="V48" s="674">
        <f t="shared" ref="V48:V50" si="27">+V63</f>
        <v>180</v>
      </c>
      <c r="W48" s="671">
        <f>+V48*$V$71/1000</f>
        <v>176.77170000000001</v>
      </c>
      <c r="X48" s="671">
        <f t="shared" ref="X48:X50" si="28">+W48*1.1</f>
        <v>194.44887000000003</v>
      </c>
      <c r="Y48" s="912"/>
      <c r="Z48" s="912">
        <f t="shared" ref="Z48:Z50" si="29">+W48*1.1</f>
        <v>194.44887000000003</v>
      </c>
      <c r="AB48" s="6">
        <f t="shared" si="25"/>
        <v>65.318399999999997</v>
      </c>
      <c r="AC48" s="6">
        <f t="shared" si="25"/>
        <v>25.401599999999998</v>
      </c>
      <c r="AD48" s="6">
        <f t="shared" si="25"/>
        <v>142.31700000000001</v>
      </c>
      <c r="AE48" s="6">
        <f t="shared" si="25"/>
        <v>44.792999999999999</v>
      </c>
      <c r="AF48" s="204">
        <f>+(AB48+AD48+AC48+AE48)/1.5435</f>
        <v>179.99999999999997</v>
      </c>
    </row>
    <row r="49" spans="2:32" ht="14.25">
      <c r="B49" s="913" t="s">
        <v>693</v>
      </c>
      <c r="C49" s="652" t="s">
        <v>692</v>
      </c>
      <c r="D49" s="653">
        <v>149</v>
      </c>
      <c r="E49" s="653">
        <v>175</v>
      </c>
      <c r="F49" s="653">
        <v>35</v>
      </c>
      <c r="G49" s="653">
        <v>159</v>
      </c>
      <c r="H49" s="651">
        <f t="shared" si="26"/>
        <v>129.5</v>
      </c>
      <c r="I49" s="673">
        <f>+$N$9*I71/1000000</f>
        <v>33.866999999999997</v>
      </c>
      <c r="J49" s="673">
        <f>+$N$9*J71/1000000</f>
        <v>81.819749999999999</v>
      </c>
      <c r="K49" s="673">
        <f>+$N$9*K71/1000000</f>
        <v>31.623000000000001</v>
      </c>
      <c r="L49" s="672"/>
      <c r="M49" s="672"/>
      <c r="N49" s="672"/>
      <c r="O49" s="672"/>
      <c r="P49" s="672"/>
      <c r="Q49" s="672"/>
      <c r="R49" s="672"/>
      <c r="S49" s="672"/>
      <c r="T49" s="672"/>
      <c r="U49" s="672"/>
      <c r="V49" s="674">
        <f t="shared" si="27"/>
        <v>60.019512001496842</v>
      </c>
      <c r="W49" s="671">
        <f>+V49*$V$71/1000</f>
        <v>58.943062053749998</v>
      </c>
      <c r="X49" s="671">
        <f t="shared" si="28"/>
        <v>64.837368259125</v>
      </c>
      <c r="Y49" s="912"/>
      <c r="Z49" s="912">
        <f t="shared" si="29"/>
        <v>64.837368259125</v>
      </c>
      <c r="AB49" s="6">
        <f t="shared" si="25"/>
        <v>54.069119999999998</v>
      </c>
      <c r="AC49" s="6">
        <f t="shared" si="25"/>
        <v>24.695999999999998</v>
      </c>
      <c r="AD49" s="6">
        <f t="shared" si="25"/>
        <v>27.672749999999997</v>
      </c>
      <c r="AE49" s="6">
        <f t="shared" si="25"/>
        <v>39.567149999999998</v>
      </c>
      <c r="AF49" s="204">
        <f>+(AB49+AD49+AC49+AE49)/1.5435</f>
        <v>94.593469387755093</v>
      </c>
    </row>
    <row r="50" spans="2:32" ht="14.25">
      <c r="B50" s="913" t="s">
        <v>694</v>
      </c>
      <c r="C50" s="652" t="s">
        <v>692</v>
      </c>
      <c r="D50" s="653">
        <v>26</v>
      </c>
      <c r="E50" s="653">
        <v>26</v>
      </c>
      <c r="F50" s="653">
        <v>26</v>
      </c>
      <c r="G50" s="653">
        <v>26</v>
      </c>
      <c r="H50" s="651">
        <f t="shared" si="26"/>
        <v>26</v>
      </c>
      <c r="I50" s="672">
        <v>26</v>
      </c>
      <c r="J50" s="672">
        <v>26</v>
      </c>
      <c r="K50" s="672">
        <v>26</v>
      </c>
      <c r="L50" s="672"/>
      <c r="M50" s="672"/>
      <c r="N50" s="672"/>
      <c r="O50" s="672"/>
      <c r="P50" s="672"/>
      <c r="Q50" s="672"/>
      <c r="R50" s="672"/>
      <c r="S50" s="672"/>
      <c r="T50" s="672"/>
      <c r="U50" s="672"/>
      <c r="V50" s="674">
        <f t="shared" si="27"/>
        <v>26</v>
      </c>
      <c r="W50" s="671">
        <f>+V50*$V$71/1000</f>
        <v>25.533690000000004</v>
      </c>
      <c r="X50" s="671">
        <f t="shared" si="28"/>
        <v>28.087059000000007</v>
      </c>
      <c r="Y50" s="912"/>
      <c r="Z50" s="912">
        <f t="shared" si="29"/>
        <v>28.087059000000007</v>
      </c>
      <c r="AB50" s="6">
        <f t="shared" si="25"/>
        <v>9.4348799999999997</v>
      </c>
      <c r="AC50" s="6">
        <f t="shared" si="25"/>
        <v>3.6691199999999999</v>
      </c>
      <c r="AD50" s="6">
        <f t="shared" si="25"/>
        <v>20.556899999999999</v>
      </c>
      <c r="AE50" s="6">
        <f t="shared" si="25"/>
        <v>6.4700999999999995</v>
      </c>
      <c r="AF50" s="204">
        <f>+(AB50+AD50+AC50+AE50)/1.5435</f>
        <v>26</v>
      </c>
    </row>
    <row r="51" spans="2:32" ht="15">
      <c r="B51" s="914" t="s">
        <v>695</v>
      </c>
      <c r="C51" s="654" t="s">
        <v>692</v>
      </c>
      <c r="D51" s="655">
        <v>1076</v>
      </c>
      <c r="E51" s="655">
        <v>1076</v>
      </c>
      <c r="F51" s="655">
        <v>1076</v>
      </c>
      <c r="G51" s="655">
        <v>1076</v>
      </c>
      <c r="H51" s="655">
        <f>SUM(H47:H50)</f>
        <v>1076</v>
      </c>
      <c r="I51" s="655">
        <f>SUM(I47:I50)</f>
        <v>1100</v>
      </c>
      <c r="J51" s="655">
        <f t="shared" ref="J51:X51" si="30">SUM(J47:J50)</f>
        <v>1100</v>
      </c>
      <c r="K51" s="655">
        <f t="shared" si="30"/>
        <v>1100</v>
      </c>
      <c r="L51" s="655">
        <f t="shared" si="30"/>
        <v>0</v>
      </c>
      <c r="M51" s="655">
        <f t="shared" si="30"/>
        <v>0</v>
      </c>
      <c r="N51" s="655">
        <f t="shared" si="30"/>
        <v>0</v>
      </c>
      <c r="O51" s="655">
        <f t="shared" si="30"/>
        <v>0</v>
      </c>
      <c r="P51" s="655">
        <f t="shared" si="30"/>
        <v>0</v>
      </c>
      <c r="Q51" s="655">
        <f t="shared" si="30"/>
        <v>0</v>
      </c>
      <c r="R51" s="655">
        <f t="shared" si="30"/>
        <v>0</v>
      </c>
      <c r="S51" s="655">
        <f t="shared" si="30"/>
        <v>0</v>
      </c>
      <c r="T51" s="655">
        <f t="shared" si="30"/>
        <v>0</v>
      </c>
      <c r="U51" s="655">
        <f t="shared" si="30"/>
        <v>0</v>
      </c>
      <c r="V51" s="655">
        <f t="shared" si="30"/>
        <v>1100</v>
      </c>
      <c r="W51" s="655">
        <f t="shared" si="30"/>
        <v>1080.2715000000001</v>
      </c>
      <c r="X51" s="655">
        <f t="shared" si="30"/>
        <v>1188.29865</v>
      </c>
    </row>
    <row r="52" spans="2:32" ht="23.25">
      <c r="B52" s="687"/>
      <c r="C52" s="624"/>
      <c r="D52" s="624"/>
      <c r="E52" s="624"/>
      <c r="F52" s="624"/>
      <c r="G52" s="624"/>
      <c r="H52" s="624"/>
      <c r="I52" s="624"/>
      <c r="J52" s="624"/>
      <c r="K52" s="624"/>
      <c r="L52" s="624"/>
      <c r="M52" s="624"/>
      <c r="N52" s="624"/>
      <c r="O52" s="624"/>
      <c r="P52" s="624"/>
      <c r="Q52" s="624"/>
      <c r="R52" s="624"/>
      <c r="S52" s="624"/>
      <c r="T52" s="624"/>
      <c r="U52" s="624"/>
      <c r="V52" s="915"/>
      <c r="W52" s="624"/>
      <c r="X52" s="870" t="b">
        <f>+'EPC Liquidity Plan'!G24=X51</f>
        <v>1</v>
      </c>
      <c r="Y52" s="912"/>
      <c r="Z52" s="912"/>
    </row>
    <row r="53" spans="2:32" ht="23.25">
      <c r="C53" s="624"/>
      <c r="D53" s="624"/>
      <c r="E53" s="624"/>
      <c r="F53" s="624"/>
      <c r="G53" s="624"/>
      <c r="H53" s="624"/>
      <c r="I53" s="624"/>
      <c r="J53" s="624"/>
      <c r="K53" s="624"/>
      <c r="L53" s="624"/>
      <c r="M53" s="624"/>
      <c r="N53" s="624"/>
      <c r="O53" s="624"/>
      <c r="P53" s="624"/>
      <c r="Q53" s="624"/>
      <c r="R53" s="624"/>
      <c r="S53" s="624"/>
      <c r="T53" s="624"/>
      <c r="U53" s="624"/>
      <c r="V53" s="624"/>
      <c r="W53" s="624"/>
      <c r="X53" s="624"/>
    </row>
    <row r="54" spans="2:32" ht="34.9" customHeight="1">
      <c r="B54" s="1451" t="s">
        <v>683</v>
      </c>
      <c r="C54" s="1452" t="s">
        <v>527</v>
      </c>
      <c r="D54" s="1449" t="str">
        <f>+D45</f>
        <v>POSN2-1HO</v>
      </c>
      <c r="E54" s="1449" t="str">
        <f t="shared" ref="E54:G54" si="31">+E45</f>
        <v>POSN2-3HO</v>
      </c>
      <c r="F54" s="1449" t="str">
        <f t="shared" si="31"/>
        <v>POSN2-4HO</v>
      </c>
      <c r="G54" s="1449" t="str">
        <f t="shared" si="31"/>
        <v>POSN2-8HO</v>
      </c>
      <c r="H54" s="648"/>
      <c r="I54" s="1449" t="str">
        <f t="shared" ref="I54:U54" si="32">+I45</f>
        <v>Eco Inshutech</v>
      </c>
      <c r="J54" s="1449" t="str">
        <f t="shared" si="32"/>
        <v>Younggwang Industry</v>
      </c>
      <c r="K54" s="1449" t="str">
        <f t="shared" si="32"/>
        <v>MPM Trade</v>
      </c>
      <c r="L54" s="1449">
        <f t="shared" si="32"/>
        <v>0</v>
      </c>
      <c r="M54" s="1449">
        <f t="shared" si="32"/>
        <v>0</v>
      </c>
      <c r="N54" s="1449">
        <f t="shared" si="32"/>
        <v>0</v>
      </c>
      <c r="O54" s="1449">
        <f t="shared" si="32"/>
        <v>0</v>
      </c>
      <c r="P54" s="1449">
        <f t="shared" si="32"/>
        <v>0</v>
      </c>
      <c r="Q54" s="1449">
        <f t="shared" si="32"/>
        <v>0</v>
      </c>
      <c r="R54" s="1449">
        <f t="shared" si="32"/>
        <v>0</v>
      </c>
      <c r="S54" s="1449">
        <f t="shared" si="32"/>
        <v>0</v>
      </c>
      <c r="T54" s="1449">
        <f t="shared" si="32"/>
        <v>0</v>
      </c>
      <c r="U54" s="1449">
        <f t="shared" si="32"/>
        <v>0</v>
      </c>
      <c r="V54" s="648" t="s">
        <v>688</v>
      </c>
      <c r="W54" s="648" t="s">
        <v>688</v>
      </c>
      <c r="X54" s="648" t="s">
        <v>689</v>
      </c>
    </row>
    <row r="55" spans="2:32" ht="15">
      <c r="B55" s="1451"/>
      <c r="C55" s="1452"/>
      <c r="D55" s="1449"/>
      <c r="E55" s="1449"/>
      <c r="F55" s="1449"/>
      <c r="G55" s="1449"/>
      <c r="H55" s="648"/>
      <c r="I55" s="1449"/>
      <c r="J55" s="1449"/>
      <c r="K55" s="1449"/>
      <c r="L55" s="1449"/>
      <c r="M55" s="1449"/>
      <c r="N55" s="1449"/>
      <c r="O55" s="1449"/>
      <c r="P55" s="1449"/>
      <c r="Q55" s="1449"/>
      <c r="R55" s="1449"/>
      <c r="S55" s="1449"/>
      <c r="T55" s="1449"/>
      <c r="U55" s="1449"/>
      <c r="V55" s="649" t="s">
        <v>696</v>
      </c>
      <c r="W55" s="649" t="s">
        <v>697</v>
      </c>
      <c r="X55" s="649" t="s">
        <v>697</v>
      </c>
    </row>
    <row r="56" spans="2:32" ht="14.25">
      <c r="B56" s="911" t="s">
        <v>425</v>
      </c>
      <c r="C56" s="650" t="s">
        <v>698</v>
      </c>
      <c r="D56" s="651">
        <v>482</v>
      </c>
      <c r="E56" s="651">
        <v>465</v>
      </c>
      <c r="F56" s="651">
        <v>558</v>
      </c>
      <c r="G56" s="651">
        <v>475</v>
      </c>
      <c r="H56" s="651"/>
      <c r="I56" s="674">
        <f t="shared" ref="I56:K59" si="33">+I47*1000000/$Q$2/1000</f>
        <v>585.12448979591829</v>
      </c>
      <c r="J56" s="674">
        <f t="shared" si="33"/>
        <v>552.50357142857149</v>
      </c>
      <c r="K56" s="674">
        <f t="shared" si="33"/>
        <v>586.65102040816328</v>
      </c>
      <c r="L56" s="674">
        <f t="shared" ref="L56:P56" si="34">+L47*1000000/$Q$2/1000</f>
        <v>0</v>
      </c>
      <c r="M56" s="674">
        <f t="shared" si="34"/>
        <v>0</v>
      </c>
      <c r="N56" s="674">
        <f t="shared" si="34"/>
        <v>0</v>
      </c>
      <c r="O56" s="674">
        <f t="shared" si="34"/>
        <v>0</v>
      </c>
      <c r="P56" s="674">
        <f t="shared" si="34"/>
        <v>0</v>
      </c>
      <c r="Q56" s="674">
        <f t="shared" ref="Q56:U59" si="35">+Q47*1000000/$Q$2/1000</f>
        <v>0</v>
      </c>
      <c r="R56" s="674">
        <f t="shared" si="35"/>
        <v>0</v>
      </c>
      <c r="S56" s="674">
        <f t="shared" si="35"/>
        <v>0</v>
      </c>
      <c r="T56" s="674">
        <f t="shared" si="35"/>
        <v>0</v>
      </c>
      <c r="U56" s="674">
        <f t="shared" si="35"/>
        <v>0</v>
      </c>
      <c r="V56" s="674">
        <f>+V67</f>
        <v>567.3336653051042</v>
      </c>
      <c r="W56" s="671">
        <f>+V56*$V$71/1000</f>
        <v>557.15853601785716</v>
      </c>
      <c r="X56" s="671">
        <f>+W56*1.1</f>
        <v>612.8743896196429</v>
      </c>
      <c r="AF56" s="6">
        <f>+V56*$V$91</f>
        <v>2384582.821990496</v>
      </c>
    </row>
    <row r="57" spans="2:32" ht="14.25">
      <c r="B57" s="913" t="s">
        <v>427</v>
      </c>
      <c r="C57" s="652" t="s">
        <v>698</v>
      </c>
      <c r="D57" s="653">
        <v>120</v>
      </c>
      <c r="E57" s="653">
        <v>120</v>
      </c>
      <c r="F57" s="653">
        <v>120</v>
      </c>
      <c r="G57" s="653">
        <v>120</v>
      </c>
      <c r="H57" s="653"/>
      <c r="I57" s="674">
        <f t="shared" si="33"/>
        <v>122.44897959183673</v>
      </c>
      <c r="J57" s="674">
        <f t="shared" si="33"/>
        <v>122.44897959183673</v>
      </c>
      <c r="K57" s="674">
        <f t="shared" si="33"/>
        <v>122.44897959183673</v>
      </c>
      <c r="L57" s="674">
        <f t="shared" ref="L57:P57" si="36">+L48*1000000/$Q$2/1000</f>
        <v>0</v>
      </c>
      <c r="M57" s="674">
        <f t="shared" si="36"/>
        <v>0</v>
      </c>
      <c r="N57" s="674">
        <f t="shared" si="36"/>
        <v>0</v>
      </c>
      <c r="O57" s="674">
        <f t="shared" si="36"/>
        <v>0</v>
      </c>
      <c r="P57" s="674">
        <f t="shared" si="36"/>
        <v>0</v>
      </c>
      <c r="Q57" s="674">
        <f t="shared" si="35"/>
        <v>0</v>
      </c>
      <c r="R57" s="674">
        <f t="shared" si="35"/>
        <v>0</v>
      </c>
      <c r="S57" s="674">
        <f t="shared" si="35"/>
        <v>0</v>
      </c>
      <c r="T57" s="674">
        <f t="shared" si="35"/>
        <v>0</v>
      </c>
      <c r="U57" s="674">
        <f t="shared" si="35"/>
        <v>0</v>
      </c>
      <c r="V57" s="674">
        <f t="shared" ref="V57:V59" si="37">+V68</f>
        <v>122.44897959183672</v>
      </c>
      <c r="W57" s="671">
        <f>+V57*$V$71/1000</f>
        <v>120.25285714285712</v>
      </c>
      <c r="X57" s="671">
        <f t="shared" ref="X57:X59" si="38">+W57*1.1</f>
        <v>132.27814285714285</v>
      </c>
      <c r="AF57" s="6">
        <f>+V57*$V$91</f>
        <v>514670.2040816326</v>
      </c>
    </row>
    <row r="58" spans="2:32" ht="14.25">
      <c r="B58" s="913" t="s">
        <v>693</v>
      </c>
      <c r="C58" s="652" t="s">
        <v>698</v>
      </c>
      <c r="D58" s="653">
        <v>100</v>
      </c>
      <c r="E58" s="653">
        <v>117</v>
      </c>
      <c r="F58" s="653">
        <v>23</v>
      </c>
      <c r="G58" s="653">
        <v>106</v>
      </c>
      <c r="H58" s="653"/>
      <c r="I58" s="674">
        <f t="shared" si="33"/>
        <v>23.038775510204083</v>
      </c>
      <c r="J58" s="674">
        <f t="shared" si="33"/>
        <v>55.659693877551021</v>
      </c>
      <c r="K58" s="674">
        <f t="shared" si="33"/>
        <v>21.512244897959182</v>
      </c>
      <c r="L58" s="674">
        <f t="shared" ref="L58:P58" si="39">+L49*1000000/$Q$2/1000</f>
        <v>0</v>
      </c>
      <c r="M58" s="674">
        <f t="shared" si="39"/>
        <v>0</v>
      </c>
      <c r="N58" s="674">
        <f t="shared" si="39"/>
        <v>0</v>
      </c>
      <c r="O58" s="674">
        <f t="shared" si="39"/>
        <v>0</v>
      </c>
      <c r="P58" s="674">
        <f t="shared" si="39"/>
        <v>0</v>
      </c>
      <c r="Q58" s="674">
        <f t="shared" si="35"/>
        <v>0</v>
      </c>
      <c r="R58" s="674">
        <f t="shared" si="35"/>
        <v>0</v>
      </c>
      <c r="S58" s="674">
        <f t="shared" si="35"/>
        <v>0</v>
      </c>
      <c r="T58" s="674">
        <f t="shared" si="35"/>
        <v>0</v>
      </c>
      <c r="U58" s="674">
        <f t="shared" si="35"/>
        <v>0</v>
      </c>
      <c r="V58" s="674">
        <f t="shared" si="37"/>
        <v>40.829600001018264</v>
      </c>
      <c r="W58" s="671">
        <f>+V58*$V$71/1000</f>
        <v>40.097321125000001</v>
      </c>
      <c r="X58" s="671">
        <f t="shared" si="38"/>
        <v>44.107053237500004</v>
      </c>
      <c r="AF58" s="6">
        <f>+V58*$V$91</f>
        <v>171612.52494827993</v>
      </c>
    </row>
    <row r="59" spans="2:32" ht="14.25">
      <c r="B59" s="913" t="s">
        <v>699</v>
      </c>
      <c r="C59" s="652" t="s">
        <v>698</v>
      </c>
      <c r="D59" s="653">
        <v>17</v>
      </c>
      <c r="E59" s="653">
        <v>17</v>
      </c>
      <c r="F59" s="653">
        <v>17</v>
      </c>
      <c r="G59" s="653">
        <v>17</v>
      </c>
      <c r="H59" s="653"/>
      <c r="I59" s="674">
        <f t="shared" si="33"/>
        <v>17.687074829931973</v>
      </c>
      <c r="J59" s="674">
        <f t="shared" si="33"/>
        <v>17.687074829931973</v>
      </c>
      <c r="K59" s="674">
        <f t="shared" si="33"/>
        <v>17.687074829931973</v>
      </c>
      <c r="L59" s="674">
        <f t="shared" ref="L59:P59" si="40">+L50*1000000/$Q$2/1000</f>
        <v>0</v>
      </c>
      <c r="M59" s="674">
        <f t="shared" si="40"/>
        <v>0</v>
      </c>
      <c r="N59" s="674">
        <f t="shared" si="40"/>
        <v>0</v>
      </c>
      <c r="O59" s="674">
        <f t="shared" si="40"/>
        <v>0</v>
      </c>
      <c r="P59" s="674">
        <f t="shared" si="40"/>
        <v>0</v>
      </c>
      <c r="Q59" s="674">
        <f t="shared" si="35"/>
        <v>0</v>
      </c>
      <c r="R59" s="674">
        <f t="shared" si="35"/>
        <v>0</v>
      </c>
      <c r="S59" s="674">
        <f t="shared" si="35"/>
        <v>0</v>
      </c>
      <c r="T59" s="674">
        <f t="shared" si="35"/>
        <v>0</v>
      </c>
      <c r="U59" s="674">
        <f t="shared" si="35"/>
        <v>0</v>
      </c>
      <c r="V59" s="674">
        <f t="shared" si="37"/>
        <v>17.687074829931973</v>
      </c>
      <c r="W59" s="671">
        <f>+V59*$V$71/1000</f>
        <v>17.369857142857146</v>
      </c>
      <c r="X59" s="671">
        <f t="shared" si="38"/>
        <v>19.106842857142862</v>
      </c>
      <c r="AF59" s="6">
        <f>+V59*$V$91</f>
        <v>74341.251700680281</v>
      </c>
    </row>
    <row r="60" spans="2:32" ht="15">
      <c r="B60" s="914" t="s">
        <v>695</v>
      </c>
      <c r="C60" s="654" t="s">
        <v>698</v>
      </c>
      <c r="D60" s="656">
        <v>720</v>
      </c>
      <c r="E60" s="656">
        <v>720</v>
      </c>
      <c r="F60" s="656">
        <v>720</v>
      </c>
      <c r="G60" s="656">
        <v>720</v>
      </c>
      <c r="H60" s="656"/>
      <c r="I60" s="675">
        <f>+SUM(I56:I59)</f>
        <v>748.29931972789109</v>
      </c>
      <c r="J60" s="675">
        <f t="shared" ref="J60:W60" si="41">+SUM(J56:J59)</f>
        <v>748.2993197278912</v>
      </c>
      <c r="K60" s="675">
        <f t="shared" si="41"/>
        <v>748.29931972789109</v>
      </c>
      <c r="L60" s="675">
        <f t="shared" si="41"/>
        <v>0</v>
      </c>
      <c r="M60" s="675">
        <f t="shared" si="41"/>
        <v>0</v>
      </c>
      <c r="N60" s="675">
        <f t="shared" si="41"/>
        <v>0</v>
      </c>
      <c r="O60" s="675">
        <f t="shared" si="41"/>
        <v>0</v>
      </c>
      <c r="P60" s="675">
        <f t="shared" si="41"/>
        <v>0</v>
      </c>
      <c r="Q60" s="675">
        <f t="shared" si="41"/>
        <v>0</v>
      </c>
      <c r="R60" s="675">
        <f t="shared" si="41"/>
        <v>0</v>
      </c>
      <c r="S60" s="675">
        <f t="shared" si="41"/>
        <v>0</v>
      </c>
      <c r="T60" s="675">
        <f t="shared" si="41"/>
        <v>0</v>
      </c>
      <c r="U60" s="675">
        <f t="shared" si="41"/>
        <v>0</v>
      </c>
      <c r="V60" s="675">
        <f t="shared" si="41"/>
        <v>748.2993197278912</v>
      </c>
      <c r="W60" s="655">
        <f t="shared" si="41"/>
        <v>734.87857142857149</v>
      </c>
      <c r="X60" s="655">
        <f t="shared" ref="X60" si="42">SUM(X56:X59)</f>
        <v>808.36642857142863</v>
      </c>
    </row>
    <row r="62" spans="2:32">
      <c r="I62" s="912">
        <f t="shared" ref="I62:U62" si="43">+I47*I$71/1000</f>
        <v>194.20082873999999</v>
      </c>
      <c r="J62" s="912">
        <f t="shared" si="43"/>
        <v>443.01590006625003</v>
      </c>
      <c r="K62" s="912">
        <f t="shared" si="43"/>
        <v>181.80631913999997</v>
      </c>
      <c r="L62" s="912">
        <f t="shared" si="43"/>
        <v>0</v>
      </c>
      <c r="M62" s="912">
        <f t="shared" si="43"/>
        <v>0</v>
      </c>
      <c r="N62" s="912">
        <f t="shared" si="43"/>
        <v>0</v>
      </c>
      <c r="O62" s="912">
        <f t="shared" si="43"/>
        <v>0</v>
      </c>
      <c r="P62" s="912">
        <f t="shared" si="43"/>
        <v>0</v>
      </c>
      <c r="Q62" s="912">
        <f t="shared" si="43"/>
        <v>0</v>
      </c>
      <c r="R62" s="912">
        <f t="shared" si="43"/>
        <v>0</v>
      </c>
      <c r="S62" s="912">
        <f t="shared" si="43"/>
        <v>0</v>
      </c>
      <c r="T62" s="912">
        <f t="shared" si="43"/>
        <v>0</v>
      </c>
      <c r="U62" s="912">
        <f t="shared" si="43"/>
        <v>0</v>
      </c>
      <c r="V62" s="912">
        <f>+SUM(I62:U62)/$V$71*1000</f>
        <v>833.98048799850312</v>
      </c>
      <c r="X62" s="6" t="b">
        <f>+X51/1470*1000=X60</f>
        <v>1</v>
      </c>
    </row>
    <row r="63" spans="2:32">
      <c r="I63" s="912">
        <f t="shared" ref="I63:M65" si="44">+I48*I$71/1000</f>
        <v>40.6404</v>
      </c>
      <c r="J63" s="912">
        <f t="shared" si="44"/>
        <v>98.183700000000016</v>
      </c>
      <c r="K63" s="912">
        <f t="shared" si="44"/>
        <v>37.947600000000001</v>
      </c>
      <c r="L63" s="912">
        <f t="shared" si="44"/>
        <v>0</v>
      </c>
      <c r="M63" s="912">
        <f t="shared" si="44"/>
        <v>0</v>
      </c>
      <c r="N63" s="912">
        <f>+O48*N$71/1000</f>
        <v>0</v>
      </c>
      <c r="O63" s="912">
        <f>+P48*O$71/1000</f>
        <v>0</v>
      </c>
      <c r="P63" s="912">
        <f t="shared" ref="P63:U65" si="45">+P48*P$71/1000</f>
        <v>0</v>
      </c>
      <c r="Q63" s="912">
        <f t="shared" si="45"/>
        <v>0</v>
      </c>
      <c r="R63" s="912">
        <f t="shared" si="45"/>
        <v>0</v>
      </c>
      <c r="S63" s="912">
        <f t="shared" si="45"/>
        <v>0</v>
      </c>
      <c r="T63" s="912">
        <f t="shared" si="45"/>
        <v>0</v>
      </c>
      <c r="U63" s="912">
        <f t="shared" si="45"/>
        <v>0</v>
      </c>
      <c r="V63" s="912">
        <f>+SUM(I63:U63)/$V$71*1000</f>
        <v>180</v>
      </c>
    </row>
    <row r="64" spans="2:32">
      <c r="D64" s="917">
        <f>+D47/D56</f>
        <v>1.495850622406639</v>
      </c>
      <c r="I64" s="912">
        <f t="shared" si="44"/>
        <v>7.6464912599999995</v>
      </c>
      <c r="J64" s="912">
        <f t="shared" si="44"/>
        <v>44.629809933750003</v>
      </c>
      <c r="K64" s="912">
        <f t="shared" si="44"/>
        <v>6.6667608600000001</v>
      </c>
      <c r="L64" s="912">
        <f t="shared" si="44"/>
        <v>0</v>
      </c>
      <c r="M64" s="912">
        <f t="shared" si="44"/>
        <v>0</v>
      </c>
      <c r="N64" s="912">
        <f>+N49*N$71/1000</f>
        <v>0</v>
      </c>
      <c r="O64" s="912">
        <f>+O49*O$71/1000</f>
        <v>0</v>
      </c>
      <c r="P64" s="912">
        <f t="shared" si="45"/>
        <v>0</v>
      </c>
      <c r="Q64" s="912">
        <f t="shared" si="45"/>
        <v>0</v>
      </c>
      <c r="R64" s="912">
        <f t="shared" si="45"/>
        <v>0</v>
      </c>
      <c r="S64" s="912">
        <f t="shared" si="45"/>
        <v>0</v>
      </c>
      <c r="T64" s="912">
        <f t="shared" si="45"/>
        <v>0</v>
      </c>
      <c r="U64" s="912">
        <f t="shared" si="45"/>
        <v>0</v>
      </c>
      <c r="V64" s="912">
        <f>+SUM(I64:U64)/$V$71*1000</f>
        <v>60.019512001496842</v>
      </c>
    </row>
    <row r="65" spans="2:32">
      <c r="B65" s="203"/>
      <c r="D65" s="917"/>
      <c r="I65" s="912">
        <f t="shared" si="44"/>
        <v>5.8702800000000002</v>
      </c>
      <c r="J65" s="912">
        <f t="shared" si="44"/>
        <v>14.182090000000001</v>
      </c>
      <c r="K65" s="912">
        <f t="shared" si="44"/>
        <v>5.4813199999999993</v>
      </c>
      <c r="L65" s="912">
        <f t="shared" si="44"/>
        <v>0</v>
      </c>
      <c r="M65" s="912">
        <f t="shared" si="44"/>
        <v>0</v>
      </c>
      <c r="N65" s="912">
        <f>+N50*N$71/1000</f>
        <v>0</v>
      </c>
      <c r="O65" s="912">
        <f>+O50*O$71/1000</f>
        <v>0</v>
      </c>
      <c r="P65" s="912">
        <f t="shared" si="45"/>
        <v>0</v>
      </c>
      <c r="Q65" s="912">
        <f t="shared" si="45"/>
        <v>0</v>
      </c>
      <c r="R65" s="912">
        <f t="shared" si="45"/>
        <v>0</v>
      </c>
      <c r="S65" s="912">
        <f t="shared" si="45"/>
        <v>0</v>
      </c>
      <c r="T65" s="912">
        <f t="shared" si="45"/>
        <v>0</v>
      </c>
      <c r="U65" s="912">
        <f t="shared" si="45"/>
        <v>0</v>
      </c>
      <c r="V65" s="912">
        <f>+SUM(I65:U65)/$V$71*1000</f>
        <v>26</v>
      </c>
    </row>
    <row r="66" spans="2:32">
      <c r="D66" s="917"/>
    </row>
    <row r="67" spans="2:32">
      <c r="D67" s="917"/>
      <c r="I67" s="912">
        <f t="shared" ref="I67:U67" si="46">+I56*I$71/1000</f>
        <v>132.10940730612242</v>
      </c>
      <c r="J67" s="912">
        <f t="shared" si="46"/>
        <v>301.37136058928581</v>
      </c>
      <c r="K67" s="912">
        <f t="shared" si="46"/>
        <v>123.67776812244898</v>
      </c>
      <c r="L67" s="912">
        <f t="shared" si="46"/>
        <v>0</v>
      </c>
      <c r="M67" s="912">
        <f t="shared" si="46"/>
        <v>0</v>
      </c>
      <c r="N67" s="912">
        <f t="shared" si="46"/>
        <v>0</v>
      </c>
      <c r="O67" s="912">
        <f t="shared" si="46"/>
        <v>0</v>
      </c>
      <c r="P67" s="912">
        <f t="shared" si="46"/>
        <v>0</v>
      </c>
      <c r="Q67" s="912">
        <f t="shared" si="46"/>
        <v>0</v>
      </c>
      <c r="R67" s="912">
        <f t="shared" si="46"/>
        <v>0</v>
      </c>
      <c r="S67" s="912">
        <f t="shared" si="46"/>
        <v>0</v>
      </c>
      <c r="T67" s="912">
        <f t="shared" si="46"/>
        <v>0</v>
      </c>
      <c r="U67" s="912">
        <f t="shared" si="46"/>
        <v>0</v>
      </c>
      <c r="V67" s="912">
        <f>+SUM(I67:U67)/$V$71*1000</f>
        <v>567.3336653051042</v>
      </c>
      <c r="W67" s="912"/>
    </row>
    <row r="68" spans="2:32">
      <c r="D68" s="917"/>
      <c r="I68" s="912">
        <f t="shared" ref="I68:U68" si="47">+I57*I$71/1000</f>
        <v>27.646530612244895</v>
      </c>
      <c r="J68" s="912">
        <f t="shared" si="47"/>
        <v>66.791632653061228</v>
      </c>
      <c r="K68" s="912">
        <f t="shared" si="47"/>
        <v>25.814693877551022</v>
      </c>
      <c r="L68" s="912">
        <f t="shared" si="47"/>
        <v>0</v>
      </c>
      <c r="M68" s="912">
        <f t="shared" si="47"/>
        <v>0</v>
      </c>
      <c r="N68" s="912">
        <f t="shared" si="47"/>
        <v>0</v>
      </c>
      <c r="O68" s="912">
        <f t="shared" si="47"/>
        <v>0</v>
      </c>
      <c r="P68" s="912">
        <f t="shared" si="47"/>
        <v>0</v>
      </c>
      <c r="Q68" s="912">
        <f t="shared" si="47"/>
        <v>0</v>
      </c>
      <c r="R68" s="912">
        <f t="shared" si="47"/>
        <v>0</v>
      </c>
      <c r="S68" s="912">
        <f t="shared" si="47"/>
        <v>0</v>
      </c>
      <c r="T68" s="912">
        <f t="shared" si="47"/>
        <v>0</v>
      </c>
      <c r="U68" s="912">
        <f t="shared" si="47"/>
        <v>0</v>
      </c>
      <c r="V68" s="912">
        <f>+SUM(I68:U68)/$V$71*1000</f>
        <v>122.44897959183672</v>
      </c>
    </row>
    <row r="69" spans="2:32">
      <c r="D69" s="917"/>
      <c r="I69" s="912">
        <f t="shared" ref="I69:U69" si="48">+I58*I$71/1000</f>
        <v>5.201694734693878</v>
      </c>
      <c r="J69" s="912">
        <f t="shared" si="48"/>
        <v>30.36041492091837</v>
      </c>
      <c r="K69" s="912">
        <f t="shared" si="48"/>
        <v>4.5352114693877548</v>
      </c>
      <c r="L69" s="912">
        <f t="shared" si="48"/>
        <v>0</v>
      </c>
      <c r="M69" s="912">
        <f t="shared" si="48"/>
        <v>0</v>
      </c>
      <c r="N69" s="912">
        <f t="shared" si="48"/>
        <v>0</v>
      </c>
      <c r="O69" s="912">
        <f t="shared" si="48"/>
        <v>0</v>
      </c>
      <c r="P69" s="912">
        <f t="shared" si="48"/>
        <v>0</v>
      </c>
      <c r="Q69" s="912">
        <f t="shared" si="48"/>
        <v>0</v>
      </c>
      <c r="R69" s="912">
        <f t="shared" si="48"/>
        <v>0</v>
      </c>
      <c r="S69" s="912">
        <f t="shared" si="48"/>
        <v>0</v>
      </c>
      <c r="T69" s="912">
        <f t="shared" si="48"/>
        <v>0</v>
      </c>
      <c r="U69" s="912">
        <f t="shared" si="48"/>
        <v>0</v>
      </c>
      <c r="V69" s="912">
        <f>+SUM(I69:U69)/$V$71*1000</f>
        <v>40.829600001018264</v>
      </c>
    </row>
    <row r="70" spans="2:32">
      <c r="D70" s="917"/>
      <c r="I70" s="912">
        <f t="shared" ref="I70:U70" si="49">+I59*I$71/1000</f>
        <v>3.9933877551020411</v>
      </c>
      <c r="J70" s="912">
        <f t="shared" si="49"/>
        <v>9.647680272108845</v>
      </c>
      <c r="K70" s="912">
        <f t="shared" si="49"/>
        <v>3.7287891156462583</v>
      </c>
      <c r="L70" s="912">
        <f t="shared" si="49"/>
        <v>0</v>
      </c>
      <c r="M70" s="912">
        <f t="shared" si="49"/>
        <v>0</v>
      </c>
      <c r="N70" s="912">
        <f t="shared" si="49"/>
        <v>0</v>
      </c>
      <c r="O70" s="912">
        <f t="shared" si="49"/>
        <v>0</v>
      </c>
      <c r="P70" s="912">
        <f t="shared" si="49"/>
        <v>0</v>
      </c>
      <c r="Q70" s="912">
        <f t="shared" si="49"/>
        <v>0</v>
      </c>
      <c r="R70" s="912">
        <f t="shared" si="49"/>
        <v>0</v>
      </c>
      <c r="S70" s="912">
        <f t="shared" si="49"/>
        <v>0</v>
      </c>
      <c r="T70" s="912">
        <f t="shared" si="49"/>
        <v>0</v>
      </c>
      <c r="U70" s="912">
        <f t="shared" si="49"/>
        <v>0</v>
      </c>
      <c r="V70" s="912">
        <f>+SUM(I70:U70)/$V$71*1000</f>
        <v>17.687074829931973</v>
      </c>
    </row>
    <row r="71" spans="2:32" ht="13.5">
      <c r="D71" s="6">
        <v>0.36287999999999998</v>
      </c>
      <c r="E71" s="6">
        <v>0.14112</v>
      </c>
      <c r="F71" s="6">
        <v>0.79064999999999996</v>
      </c>
      <c r="G71" s="6">
        <v>0.24884999999999999</v>
      </c>
      <c r="H71" s="6">
        <f>+(D71+E71+F71+G71)/4</f>
        <v>0.38587499999999997</v>
      </c>
      <c r="I71" s="919">
        <f>+'EPC Liquidity Plan'!D20</f>
        <v>225.78</v>
      </c>
      <c r="J71" s="919">
        <f>+'EPC Liquidity Plan'!D21</f>
        <v>545.46500000000003</v>
      </c>
      <c r="K71" s="919">
        <f>+'EPC Liquidity Plan'!D22</f>
        <v>210.82</v>
      </c>
      <c r="L71" s="919"/>
      <c r="M71" s="919"/>
      <c r="N71" s="919"/>
      <c r="O71" s="919"/>
      <c r="P71" s="919"/>
      <c r="Q71" s="919"/>
      <c r="R71" s="919"/>
      <c r="S71" s="919"/>
      <c r="T71" s="919"/>
      <c r="U71" s="919"/>
      <c r="V71" s="919">
        <f>+SUM(I71:U71)</f>
        <v>982.06500000000005</v>
      </c>
      <c r="AB71" s="43" t="s">
        <v>671</v>
      </c>
      <c r="AC71" s="6">
        <v>1470</v>
      </c>
    </row>
    <row r="73" spans="2:32">
      <c r="B73" s="6" t="s">
        <v>172</v>
      </c>
    </row>
    <row r="74" spans="2:32" ht="30">
      <c r="B74" s="1451" t="s">
        <v>683</v>
      </c>
      <c r="C74" s="1452" t="s">
        <v>527</v>
      </c>
      <c r="D74" s="1449" t="s">
        <v>684</v>
      </c>
      <c r="E74" s="1449" t="s">
        <v>685</v>
      </c>
      <c r="F74" s="1449" t="s">
        <v>686</v>
      </c>
      <c r="G74" s="1449" t="s">
        <v>687</v>
      </c>
      <c r="H74" s="648"/>
      <c r="I74" s="1450" t="str">
        <f>+'BT 2HO'!C11</f>
        <v>Jinyoung Metal Factory_1</v>
      </c>
      <c r="J74" s="1450" t="str">
        <f>+'BT 2HO'!C16</f>
        <v>Jinyoung Metal Factory_2</v>
      </c>
      <c r="K74" s="1450" t="str">
        <f>+'BT 2HO'!C21</f>
        <v>Kairos</v>
      </c>
      <c r="L74" s="1450" t="str">
        <f>+'BT 2HO'!C26</f>
        <v>Doori Industry</v>
      </c>
      <c r="M74" s="1450" t="str">
        <f>+'BT 2HO'!C31</f>
        <v>Geumjeong Techno</v>
      </c>
      <c r="N74" s="1450" t="str">
        <f>+'BT 2HO'!C41</f>
        <v>Joongang Special Paper</v>
      </c>
      <c r="O74" s="1450" t="str">
        <f>+'BT 2HO'!C46</f>
        <v>Sambo Green Filter</v>
      </c>
      <c r="P74" s="1450" t="str">
        <f>+'BT 2HO'!C51</f>
        <v>Fusei Menix 1 &amp; 2</v>
      </c>
      <c r="Q74" s="1450" t="str">
        <f>+'BT 2HO'!C56</f>
        <v>Shincheon Food</v>
      </c>
      <c r="R74" s="1450" t="str">
        <f>+'BT 2HO'!C61</f>
        <v>Giga steel</v>
      </c>
      <c r="S74" s="1450" t="str">
        <f>+'BT 2HO'!C66</f>
        <v>Mijin Precision</v>
      </c>
      <c r="T74" s="1450" t="str">
        <f>+'BT 2HO'!C71</f>
        <v>Wolchool Metal</v>
      </c>
      <c r="U74" s="1450" t="str">
        <f>+'BT 2HO'!C76</f>
        <v>Unitech Korea</v>
      </c>
      <c r="V74" s="648" t="s">
        <v>688</v>
      </c>
      <c r="W74" s="648" t="s">
        <v>688</v>
      </c>
      <c r="X74" s="648" t="s">
        <v>689</v>
      </c>
    </row>
    <row r="75" spans="2:32" ht="15">
      <c r="B75" s="1451"/>
      <c r="C75" s="1452"/>
      <c r="D75" s="1449"/>
      <c r="E75" s="1449"/>
      <c r="F75" s="1449"/>
      <c r="G75" s="1449"/>
      <c r="H75" s="648"/>
      <c r="I75" s="1449"/>
      <c r="J75" s="1449"/>
      <c r="K75" s="1449"/>
      <c r="L75" s="1450"/>
      <c r="M75" s="1450"/>
      <c r="N75" s="1450"/>
      <c r="O75" s="1450"/>
      <c r="P75" s="1450"/>
      <c r="Q75" s="1449"/>
      <c r="R75" s="1449"/>
      <c r="S75" s="1449"/>
      <c r="T75" s="1449"/>
      <c r="U75" s="1449"/>
      <c r="V75" s="649" t="s">
        <v>690</v>
      </c>
      <c r="W75" s="649" t="s">
        <v>691</v>
      </c>
      <c r="X75" s="649" t="s">
        <v>691</v>
      </c>
    </row>
    <row r="76" spans="2:32" ht="14.25">
      <c r="B76" s="911" t="s">
        <v>425</v>
      </c>
      <c r="C76" s="650" t="s">
        <v>692</v>
      </c>
      <c r="D76" s="651">
        <v>721</v>
      </c>
      <c r="E76" s="651">
        <v>695</v>
      </c>
      <c r="F76" s="651">
        <v>835</v>
      </c>
      <c r="G76" s="651">
        <v>711</v>
      </c>
      <c r="H76" s="651">
        <f>+AVERAGE(D76:G76)</f>
        <v>740.5</v>
      </c>
      <c r="I76" s="671">
        <f>1100-I77-I78-I79</f>
        <v>854.8261</v>
      </c>
      <c r="J76" s="671">
        <f t="shared" ref="J76:U76" si="50">1100-J77-J78-J79</f>
        <v>845.8176545454545</v>
      </c>
      <c r="K76" s="671">
        <f t="shared" si="50"/>
        <v>842.15557272727278</v>
      </c>
      <c r="L76" s="671">
        <f t="shared" si="50"/>
        <v>862.87201818181813</v>
      </c>
      <c r="M76" s="671">
        <f t="shared" si="50"/>
        <v>875.7</v>
      </c>
      <c r="N76" s="671">
        <f t="shared" si="50"/>
        <v>828.3</v>
      </c>
      <c r="O76" s="671">
        <f t="shared" si="50"/>
        <v>867.96427272727271</v>
      </c>
      <c r="P76" s="671">
        <f t="shared" si="50"/>
        <v>867.65</v>
      </c>
      <c r="Q76" s="671">
        <f t="shared" si="50"/>
        <v>860.5958454545455</v>
      </c>
      <c r="R76" s="671">
        <f t="shared" si="50"/>
        <v>869</v>
      </c>
      <c r="S76" s="671">
        <f t="shared" si="50"/>
        <v>874.95</v>
      </c>
      <c r="T76" s="671">
        <f t="shared" si="50"/>
        <v>869.85</v>
      </c>
      <c r="U76" s="671">
        <f t="shared" si="50"/>
        <v>853.65</v>
      </c>
      <c r="V76" s="674">
        <f>+V92</f>
        <v>856.64755377042775</v>
      </c>
      <c r="W76" s="671">
        <f>+V76*$V$91/1000</f>
        <v>3600.6095991546358</v>
      </c>
      <c r="X76" s="671">
        <f>+W76*1.1</f>
        <v>3960.6705590700999</v>
      </c>
      <c r="Y76" s="912"/>
      <c r="Z76" s="912">
        <f>+W76*1.1</f>
        <v>3960.6705590700999</v>
      </c>
      <c r="AB76" s="6">
        <f t="shared" ref="AB76:AE79" si="51">+D76*D$91</f>
        <v>261.63648000000001</v>
      </c>
      <c r="AC76" s="6">
        <f t="shared" si="51"/>
        <v>98.078400000000002</v>
      </c>
      <c r="AD76" s="6">
        <f t="shared" si="51"/>
        <v>660.19274999999993</v>
      </c>
      <c r="AE76" s="6">
        <f t="shared" si="51"/>
        <v>176.93234999999999</v>
      </c>
      <c r="AF76" s="204">
        <f>+(AB76+AD76+AC76+AE76)/1.5435</f>
        <v>775.40653061224486</v>
      </c>
    </row>
    <row r="77" spans="2:32" ht="14.25">
      <c r="B77" s="913" t="s">
        <v>427</v>
      </c>
      <c r="C77" s="652" t="s">
        <v>692</v>
      </c>
      <c r="D77" s="653">
        <v>180</v>
      </c>
      <c r="E77" s="653">
        <v>180</v>
      </c>
      <c r="F77" s="653">
        <v>180</v>
      </c>
      <c r="G77" s="653">
        <v>180</v>
      </c>
      <c r="H77" s="651">
        <f t="shared" ref="H77:H79" si="52">+AVERAGE(D77:G77)</f>
        <v>180</v>
      </c>
      <c r="I77" s="672">
        <v>180</v>
      </c>
      <c r="J77" s="672">
        <v>180</v>
      </c>
      <c r="K77" s="672">
        <v>180</v>
      </c>
      <c r="L77" s="672">
        <v>180</v>
      </c>
      <c r="M77" s="672">
        <v>180</v>
      </c>
      <c r="N77" s="672">
        <v>180</v>
      </c>
      <c r="O77" s="672">
        <v>180</v>
      </c>
      <c r="P77" s="672">
        <v>180</v>
      </c>
      <c r="Q77" s="672">
        <v>180</v>
      </c>
      <c r="R77" s="672">
        <v>180</v>
      </c>
      <c r="S77" s="672">
        <v>180</v>
      </c>
      <c r="T77" s="672">
        <v>180</v>
      </c>
      <c r="U77" s="672">
        <v>180</v>
      </c>
      <c r="V77" s="674">
        <f t="shared" ref="V77:V79" si="53">+V93</f>
        <v>180</v>
      </c>
      <c r="W77" s="671">
        <f>+V77*$V$91/1000</f>
        <v>756.56520000000012</v>
      </c>
      <c r="X77" s="671">
        <f t="shared" ref="X77:X79" si="54">+W77*1.1</f>
        <v>832.22172000000023</v>
      </c>
      <c r="Y77" s="912"/>
      <c r="Z77" s="912">
        <f t="shared" ref="Z77:Z79" si="55">+W77*1.1</f>
        <v>832.22172000000023</v>
      </c>
      <c r="AB77" s="6">
        <f t="shared" si="51"/>
        <v>65.318399999999997</v>
      </c>
      <c r="AC77" s="6">
        <f t="shared" si="51"/>
        <v>25.401599999999998</v>
      </c>
      <c r="AD77" s="6">
        <f t="shared" si="51"/>
        <v>142.31700000000001</v>
      </c>
      <c r="AE77" s="6">
        <f t="shared" si="51"/>
        <v>44.792999999999999</v>
      </c>
      <c r="AF77" s="204">
        <f>+(AB77+AD77+AC77+AE77)/1.5435</f>
        <v>179.99999999999997</v>
      </c>
    </row>
    <row r="78" spans="2:32" ht="14.25">
      <c r="B78" s="913" t="s">
        <v>693</v>
      </c>
      <c r="C78" s="652" t="s">
        <v>692</v>
      </c>
      <c r="D78" s="653">
        <v>149</v>
      </c>
      <c r="E78" s="653">
        <v>175</v>
      </c>
      <c r="F78" s="653">
        <v>35</v>
      </c>
      <c r="G78" s="653">
        <v>159</v>
      </c>
      <c r="H78" s="651">
        <f t="shared" si="52"/>
        <v>129.5</v>
      </c>
      <c r="I78" s="673">
        <f>+K6/1000000</f>
        <v>39.173900000000003</v>
      </c>
      <c r="J78" s="672">
        <f>+K7/1000000</f>
        <v>48.182345454545455</v>
      </c>
      <c r="K78" s="672">
        <f>+K8/1000000</f>
        <v>51.844427272727266</v>
      </c>
      <c r="L78" s="672">
        <f>+K3/1000000</f>
        <v>31.127981818181816</v>
      </c>
      <c r="M78" s="672">
        <f>+$N$9*M91/1000000</f>
        <v>18.3</v>
      </c>
      <c r="N78" s="672">
        <f>+$N$9*N91/1000000</f>
        <v>65.7</v>
      </c>
      <c r="O78" s="672">
        <f>+K4/1000000</f>
        <v>26.035727272727268</v>
      </c>
      <c r="P78" s="672">
        <f>+$N$10*P91/1000000</f>
        <v>26.35</v>
      </c>
      <c r="Q78" s="672">
        <f>+K5/1000000</f>
        <v>33.404154545454546</v>
      </c>
      <c r="R78" s="672">
        <f>+$N$10*R91/1000000</f>
        <v>25</v>
      </c>
      <c r="S78" s="672">
        <f>+$N$9*S91/1000000</f>
        <v>19.05</v>
      </c>
      <c r="T78" s="672">
        <f>+$N$9*T91/1000000</f>
        <v>24.15</v>
      </c>
      <c r="U78" s="672">
        <f>+$N$9*U91/1000000</f>
        <v>40.35</v>
      </c>
      <c r="V78" s="674">
        <f t="shared" si="53"/>
        <v>37.352446229572088</v>
      </c>
      <c r="W78" s="671">
        <f>+V78*$V$91/1000</f>
        <v>156.99756084536367</v>
      </c>
      <c r="X78" s="671">
        <f t="shared" si="54"/>
        <v>172.69731692990004</v>
      </c>
      <c r="Y78" s="912"/>
      <c r="Z78" s="912">
        <f t="shared" si="55"/>
        <v>172.69731692990004</v>
      </c>
      <c r="AB78" s="6">
        <f t="shared" si="51"/>
        <v>54.069119999999998</v>
      </c>
      <c r="AC78" s="6">
        <f t="shared" si="51"/>
        <v>24.695999999999998</v>
      </c>
      <c r="AD78" s="6">
        <f t="shared" si="51"/>
        <v>27.672749999999997</v>
      </c>
      <c r="AE78" s="6">
        <f t="shared" si="51"/>
        <v>39.567149999999998</v>
      </c>
      <c r="AF78" s="204">
        <f>+(AB78+AD78+AC78+AE78)/1.5435</f>
        <v>94.593469387755093</v>
      </c>
    </row>
    <row r="79" spans="2:32" ht="14.25">
      <c r="B79" s="913" t="s">
        <v>694</v>
      </c>
      <c r="C79" s="652" t="s">
        <v>692</v>
      </c>
      <c r="D79" s="653">
        <v>26</v>
      </c>
      <c r="E79" s="653">
        <v>26</v>
      </c>
      <c r="F79" s="653">
        <v>26</v>
      </c>
      <c r="G79" s="653">
        <v>26</v>
      </c>
      <c r="H79" s="651">
        <f t="shared" si="52"/>
        <v>26</v>
      </c>
      <c r="I79" s="672">
        <v>26</v>
      </c>
      <c r="J79" s="672">
        <v>26</v>
      </c>
      <c r="K79" s="672">
        <v>26</v>
      </c>
      <c r="L79" s="672">
        <v>26</v>
      </c>
      <c r="M79" s="672">
        <v>26</v>
      </c>
      <c r="N79" s="672">
        <v>26</v>
      </c>
      <c r="O79" s="672">
        <v>26</v>
      </c>
      <c r="P79" s="672">
        <v>26</v>
      </c>
      <c r="Q79" s="672">
        <v>26</v>
      </c>
      <c r="R79" s="672">
        <v>26</v>
      </c>
      <c r="S79" s="672">
        <v>26</v>
      </c>
      <c r="T79" s="672">
        <v>26</v>
      </c>
      <c r="U79" s="672">
        <v>26</v>
      </c>
      <c r="V79" s="674">
        <f t="shared" si="53"/>
        <v>26</v>
      </c>
      <c r="W79" s="671">
        <f>+V79*$V$91/1000</f>
        <v>109.28164000000001</v>
      </c>
      <c r="X79" s="671">
        <f t="shared" si="54"/>
        <v>120.20980400000002</v>
      </c>
      <c r="Y79" s="912"/>
      <c r="Z79" s="912">
        <f t="shared" si="55"/>
        <v>120.20980400000002</v>
      </c>
      <c r="AB79" s="6">
        <f t="shared" si="51"/>
        <v>9.4348799999999997</v>
      </c>
      <c r="AC79" s="6">
        <f t="shared" si="51"/>
        <v>3.6691199999999999</v>
      </c>
      <c r="AD79" s="6">
        <f t="shared" si="51"/>
        <v>20.556899999999999</v>
      </c>
      <c r="AE79" s="6">
        <f t="shared" si="51"/>
        <v>6.4700999999999995</v>
      </c>
      <c r="AF79" s="204">
        <f>+(AB79+AD79+AC79+AE79)/1.5435</f>
        <v>26</v>
      </c>
    </row>
    <row r="80" spans="2:32" ht="15">
      <c r="B80" s="914" t="s">
        <v>695</v>
      </c>
      <c r="C80" s="654" t="s">
        <v>692</v>
      </c>
      <c r="D80" s="655">
        <v>1076</v>
      </c>
      <c r="E80" s="655">
        <v>1076</v>
      </c>
      <c r="F80" s="655">
        <v>1076</v>
      </c>
      <c r="G80" s="655">
        <v>1076</v>
      </c>
      <c r="H80" s="655">
        <f>SUM(H76:H79)</f>
        <v>1076</v>
      </c>
      <c r="I80" s="655">
        <f>SUM(I76:I79)</f>
        <v>1100</v>
      </c>
      <c r="J80" s="655">
        <f t="shared" ref="J80:U80" si="56">SUM(J76:J79)</f>
        <v>1099.9999999999998</v>
      </c>
      <c r="K80" s="655">
        <f t="shared" si="56"/>
        <v>1100</v>
      </c>
      <c r="L80" s="655">
        <f t="shared" si="56"/>
        <v>1099.9999999999998</v>
      </c>
      <c r="M80" s="655">
        <f t="shared" si="56"/>
        <v>1100</v>
      </c>
      <c r="N80" s="655">
        <f t="shared" si="56"/>
        <v>1100</v>
      </c>
      <c r="O80" s="655">
        <f t="shared" si="56"/>
        <v>1099.9999999999998</v>
      </c>
      <c r="P80" s="655">
        <f t="shared" si="56"/>
        <v>1100</v>
      </c>
      <c r="Q80" s="655">
        <f t="shared" si="56"/>
        <v>1100</v>
      </c>
      <c r="R80" s="655">
        <f t="shared" si="56"/>
        <v>1100</v>
      </c>
      <c r="S80" s="655">
        <f t="shared" si="56"/>
        <v>1100</v>
      </c>
      <c r="T80" s="655">
        <f t="shared" si="56"/>
        <v>1100</v>
      </c>
      <c r="U80" s="655">
        <f t="shared" si="56"/>
        <v>1100</v>
      </c>
      <c r="V80" s="655">
        <f t="shared" ref="V80" si="57">SUM(V76:V79)</f>
        <v>1099.9999999999998</v>
      </c>
      <c r="W80" s="655">
        <f t="shared" ref="W80" si="58">SUM(W76:W79)</f>
        <v>4623.4539999999997</v>
      </c>
      <c r="X80" s="655">
        <f t="shared" ref="X80" si="59">SUM(X76:X79)</f>
        <v>5085.7993999999999</v>
      </c>
    </row>
    <row r="81" spans="2:32" ht="23.25">
      <c r="B81" s="687"/>
      <c r="C81" s="624"/>
      <c r="D81" s="624"/>
      <c r="E81" s="624"/>
      <c r="F81" s="624"/>
      <c r="G81" s="624"/>
      <c r="H81" s="624"/>
      <c r="I81" s="624"/>
      <c r="J81" s="624"/>
      <c r="K81" s="624"/>
      <c r="L81" s="624"/>
      <c r="M81" s="624"/>
      <c r="N81" s="624"/>
      <c r="O81" s="624"/>
      <c r="P81" s="624"/>
      <c r="Q81" s="624"/>
      <c r="R81" s="624"/>
      <c r="S81" s="624"/>
      <c r="T81" s="624"/>
      <c r="U81" s="624"/>
      <c r="V81" s="915"/>
      <c r="W81" s="624"/>
      <c r="X81" s="6" t="b">
        <f>+'CAPEX_Input_3,7HO(수정용)'!H49*1.1=X80</f>
        <v>1</v>
      </c>
      <c r="Y81" s="912"/>
      <c r="Z81" s="912"/>
    </row>
    <row r="82" spans="2:32" ht="23.25">
      <c r="B82" s="687"/>
      <c r="C82" s="624"/>
      <c r="D82" s="624"/>
      <c r="E82" s="624"/>
      <c r="F82" s="624"/>
      <c r="G82" s="624"/>
      <c r="H82" s="624"/>
      <c r="I82" s="624"/>
      <c r="J82" s="624"/>
      <c r="K82" s="624"/>
      <c r="L82" s="624"/>
      <c r="M82" s="624"/>
      <c r="N82" s="624"/>
      <c r="O82" s="624"/>
      <c r="P82" s="624"/>
      <c r="Q82" s="624"/>
      <c r="R82" s="624"/>
      <c r="S82" s="624"/>
      <c r="T82" s="624"/>
      <c r="U82" s="624"/>
      <c r="V82" s="624"/>
      <c r="W82" s="624"/>
      <c r="X82" s="624"/>
    </row>
    <row r="83" spans="2:32" ht="30">
      <c r="B83" s="1451" t="s">
        <v>683</v>
      </c>
      <c r="C83" s="1452" t="s">
        <v>527</v>
      </c>
      <c r="D83" s="1449" t="str">
        <f>+D74</f>
        <v>POSN2-1HO</v>
      </c>
      <c r="E83" s="1449" t="str">
        <f t="shared" ref="E83:M83" si="60">+E74</f>
        <v>POSN2-3HO</v>
      </c>
      <c r="F83" s="1449" t="str">
        <f t="shared" si="60"/>
        <v>POSN2-4HO</v>
      </c>
      <c r="G83" s="1449" t="str">
        <f t="shared" si="60"/>
        <v>POSN2-8HO</v>
      </c>
      <c r="H83" s="648"/>
      <c r="I83" s="1449" t="str">
        <f t="shared" si="60"/>
        <v>Jinyoung Metal Factory_1</v>
      </c>
      <c r="J83" s="1449" t="str">
        <f t="shared" si="60"/>
        <v>Jinyoung Metal Factory_2</v>
      </c>
      <c r="K83" s="1449" t="str">
        <f t="shared" si="60"/>
        <v>Kairos</v>
      </c>
      <c r="L83" s="1449" t="str">
        <f t="shared" si="60"/>
        <v>Doori Industry</v>
      </c>
      <c r="M83" s="1449" t="str">
        <f t="shared" si="60"/>
        <v>Geumjeong Techno</v>
      </c>
      <c r="N83" s="1449" t="str">
        <f t="shared" ref="N83:U83" si="61">+N74</f>
        <v>Joongang Special Paper</v>
      </c>
      <c r="O83" s="1449" t="str">
        <f t="shared" si="61"/>
        <v>Sambo Green Filter</v>
      </c>
      <c r="P83" s="1449" t="str">
        <f t="shared" si="61"/>
        <v>Fusei Menix 1 &amp; 2</v>
      </c>
      <c r="Q83" s="1449" t="str">
        <f t="shared" si="61"/>
        <v>Shincheon Food</v>
      </c>
      <c r="R83" s="1449" t="str">
        <f t="shared" si="61"/>
        <v>Giga steel</v>
      </c>
      <c r="S83" s="1449" t="str">
        <f t="shared" si="61"/>
        <v>Mijin Precision</v>
      </c>
      <c r="T83" s="1449" t="str">
        <f t="shared" si="61"/>
        <v>Wolchool Metal</v>
      </c>
      <c r="U83" s="1449" t="str">
        <f t="shared" si="61"/>
        <v>Unitech Korea</v>
      </c>
      <c r="V83" s="648" t="s">
        <v>688</v>
      </c>
      <c r="W83" s="648" t="s">
        <v>688</v>
      </c>
      <c r="X83" s="648" t="s">
        <v>689</v>
      </c>
    </row>
    <row r="84" spans="2:32" ht="15">
      <c r="B84" s="1451"/>
      <c r="C84" s="1452"/>
      <c r="D84" s="1449"/>
      <c r="E84" s="1449"/>
      <c r="F84" s="1449"/>
      <c r="G84" s="1449"/>
      <c r="H84" s="648"/>
      <c r="I84" s="1449"/>
      <c r="J84" s="1449"/>
      <c r="K84" s="1449"/>
      <c r="L84" s="1449"/>
      <c r="M84" s="1449"/>
      <c r="N84" s="1449"/>
      <c r="O84" s="1449"/>
      <c r="P84" s="1449"/>
      <c r="Q84" s="1449"/>
      <c r="R84" s="1449"/>
      <c r="S84" s="1449"/>
      <c r="T84" s="1449"/>
      <c r="U84" s="1449"/>
      <c r="V84" s="649" t="s">
        <v>696</v>
      </c>
      <c r="W84" s="649" t="s">
        <v>697</v>
      </c>
      <c r="X84" s="649" t="s">
        <v>697</v>
      </c>
    </row>
    <row r="85" spans="2:32" ht="14.25">
      <c r="B85" s="911" t="s">
        <v>425</v>
      </c>
      <c r="C85" s="650" t="s">
        <v>698</v>
      </c>
      <c r="D85" s="651">
        <v>482</v>
      </c>
      <c r="E85" s="651">
        <v>465</v>
      </c>
      <c r="F85" s="651">
        <v>558</v>
      </c>
      <c r="G85" s="651">
        <v>475</v>
      </c>
      <c r="H85" s="651"/>
      <c r="I85" s="674">
        <f t="shared" ref="I85:K88" si="62">+I76*1000000/$Q$2/1000</f>
        <v>581.51435374149662</v>
      </c>
      <c r="J85" s="674">
        <f t="shared" si="62"/>
        <v>575.38615955473097</v>
      </c>
      <c r="K85" s="674">
        <f t="shared" si="62"/>
        <v>572.89494743351884</v>
      </c>
      <c r="L85" s="674">
        <f t="shared" ref="L85:P85" si="63">+L76*1000000/$Q$2/1000</f>
        <v>586.98776747062448</v>
      </c>
      <c r="M85" s="674">
        <f t="shared" si="63"/>
        <v>595.71428571428567</v>
      </c>
      <c r="N85" s="674">
        <f t="shared" si="63"/>
        <v>563.46938775510205</v>
      </c>
      <c r="O85" s="674">
        <f t="shared" si="63"/>
        <v>590.45188620902911</v>
      </c>
      <c r="P85" s="674">
        <f t="shared" si="63"/>
        <v>590.2380952380953</v>
      </c>
      <c r="Q85" s="674">
        <f t="shared" ref="Q85:U88" si="64">+Q76*1000000/$Q$2/1000</f>
        <v>585.43935064935067</v>
      </c>
      <c r="R85" s="674">
        <f t="shared" si="64"/>
        <v>591.15646258503398</v>
      </c>
      <c r="S85" s="674">
        <f t="shared" si="64"/>
        <v>595.20408163265301</v>
      </c>
      <c r="T85" s="674">
        <f t="shared" si="64"/>
        <v>591.73469387755097</v>
      </c>
      <c r="U85" s="674">
        <f t="shared" si="64"/>
        <v>580.71428571428567</v>
      </c>
      <c r="V85" s="674">
        <f>+V97</f>
        <v>582.75343793906643</v>
      </c>
      <c r="W85" s="671">
        <f>+V85*$V$91/1000</f>
        <v>2449.3942851392076</v>
      </c>
      <c r="X85" s="671">
        <f>+W85*1.1</f>
        <v>2694.3337136531286</v>
      </c>
      <c r="AF85" s="6">
        <f>+V85*$V$91</f>
        <v>2449394.2851392077</v>
      </c>
    </row>
    <row r="86" spans="2:32" ht="14.25">
      <c r="B86" s="913" t="s">
        <v>427</v>
      </c>
      <c r="C86" s="652" t="s">
        <v>698</v>
      </c>
      <c r="D86" s="653">
        <v>120</v>
      </c>
      <c r="E86" s="653">
        <v>120</v>
      </c>
      <c r="F86" s="653">
        <v>120</v>
      </c>
      <c r="G86" s="653">
        <v>120</v>
      </c>
      <c r="H86" s="653"/>
      <c r="I86" s="674">
        <f t="shared" si="62"/>
        <v>122.44897959183673</v>
      </c>
      <c r="J86" s="674">
        <f t="shared" si="62"/>
        <v>122.44897959183673</v>
      </c>
      <c r="K86" s="674">
        <f t="shared" si="62"/>
        <v>122.44897959183673</v>
      </c>
      <c r="L86" s="674">
        <f t="shared" ref="L86:P86" si="65">+L77*1000000/$Q$2/1000</f>
        <v>122.44897959183673</v>
      </c>
      <c r="M86" s="674">
        <f t="shared" si="65"/>
        <v>122.44897959183673</v>
      </c>
      <c r="N86" s="674">
        <f t="shared" si="65"/>
        <v>122.44897959183673</v>
      </c>
      <c r="O86" s="674">
        <f t="shared" si="65"/>
        <v>122.44897959183673</v>
      </c>
      <c r="P86" s="674">
        <f t="shared" si="65"/>
        <v>122.44897959183673</v>
      </c>
      <c r="Q86" s="674">
        <f t="shared" si="64"/>
        <v>122.44897959183673</v>
      </c>
      <c r="R86" s="674">
        <f t="shared" si="64"/>
        <v>122.44897959183673</v>
      </c>
      <c r="S86" s="674">
        <f t="shared" si="64"/>
        <v>122.44897959183673</v>
      </c>
      <c r="T86" s="674">
        <f t="shared" si="64"/>
        <v>122.44897959183673</v>
      </c>
      <c r="U86" s="674">
        <f t="shared" si="64"/>
        <v>122.44897959183673</v>
      </c>
      <c r="V86" s="674">
        <f t="shared" ref="V86:V88" si="66">+V98</f>
        <v>122.44897959183672</v>
      </c>
      <c r="W86" s="671">
        <f>+V86*$V$91/1000</f>
        <v>514.67020408163262</v>
      </c>
      <c r="X86" s="671">
        <f t="shared" ref="X86:X88" si="67">+W86*1.1</f>
        <v>566.13722448979593</v>
      </c>
      <c r="AF86" s="6">
        <f>+V86*$V$91</f>
        <v>514670.2040816326</v>
      </c>
    </row>
    <row r="87" spans="2:32" ht="14.25">
      <c r="B87" s="913" t="s">
        <v>693</v>
      </c>
      <c r="C87" s="652" t="s">
        <v>698</v>
      </c>
      <c r="D87" s="653">
        <v>100</v>
      </c>
      <c r="E87" s="653">
        <v>117</v>
      </c>
      <c r="F87" s="653">
        <v>23</v>
      </c>
      <c r="G87" s="653">
        <v>106</v>
      </c>
      <c r="H87" s="653"/>
      <c r="I87" s="674">
        <f t="shared" si="62"/>
        <v>26.648911564625852</v>
      </c>
      <c r="J87" s="674">
        <f t="shared" si="62"/>
        <v>32.777105751391467</v>
      </c>
      <c r="K87" s="674">
        <f t="shared" si="62"/>
        <v>35.268317872603582</v>
      </c>
      <c r="L87" s="674">
        <f t="shared" ref="L87:P87" si="68">+L78*1000000/$Q$2/1000</f>
        <v>21.175497835497833</v>
      </c>
      <c r="M87" s="674">
        <f t="shared" si="68"/>
        <v>12.448979591836734</v>
      </c>
      <c r="N87" s="674">
        <f t="shared" si="68"/>
        <v>44.693877551020407</v>
      </c>
      <c r="O87" s="674">
        <f t="shared" si="68"/>
        <v>17.711379097093381</v>
      </c>
      <c r="P87" s="674">
        <f t="shared" si="68"/>
        <v>17.92517006802721</v>
      </c>
      <c r="Q87" s="674">
        <f t="shared" si="64"/>
        <v>22.7239146567718</v>
      </c>
      <c r="R87" s="674">
        <f t="shared" si="64"/>
        <v>17.006802721088437</v>
      </c>
      <c r="S87" s="674">
        <f t="shared" si="64"/>
        <v>12.959183673469388</v>
      </c>
      <c r="T87" s="674">
        <f t="shared" si="64"/>
        <v>16.428571428571427</v>
      </c>
      <c r="U87" s="674">
        <f t="shared" si="64"/>
        <v>27.448979591836736</v>
      </c>
      <c r="V87" s="674">
        <f t="shared" si="66"/>
        <v>25.40982736705584</v>
      </c>
      <c r="W87" s="671">
        <f>+V87*$V$91/1000</f>
        <v>106.80106179956709</v>
      </c>
      <c r="X87" s="671">
        <f t="shared" si="67"/>
        <v>117.48116797952382</v>
      </c>
      <c r="AF87" s="6">
        <f>+V87*$V$91</f>
        <v>106801.06179956709</v>
      </c>
    </row>
    <row r="88" spans="2:32" ht="14.25">
      <c r="B88" s="913" t="s">
        <v>699</v>
      </c>
      <c r="C88" s="652" t="s">
        <v>698</v>
      </c>
      <c r="D88" s="653">
        <v>17</v>
      </c>
      <c r="E88" s="653">
        <v>17</v>
      </c>
      <c r="F88" s="653">
        <v>17</v>
      </c>
      <c r="G88" s="653">
        <v>17</v>
      </c>
      <c r="H88" s="653"/>
      <c r="I88" s="674">
        <f t="shared" si="62"/>
        <v>17.687074829931973</v>
      </c>
      <c r="J88" s="674">
        <f t="shared" si="62"/>
        <v>17.687074829931973</v>
      </c>
      <c r="K88" s="674">
        <f t="shared" si="62"/>
        <v>17.687074829931973</v>
      </c>
      <c r="L88" s="674">
        <f t="shared" ref="L88:P88" si="69">+L79*1000000/$Q$2/1000</f>
        <v>17.687074829931973</v>
      </c>
      <c r="M88" s="674">
        <f t="shared" si="69"/>
        <v>17.687074829931973</v>
      </c>
      <c r="N88" s="674">
        <f t="shared" si="69"/>
        <v>17.687074829931973</v>
      </c>
      <c r="O88" s="674">
        <f t="shared" si="69"/>
        <v>17.687074829931973</v>
      </c>
      <c r="P88" s="674">
        <f t="shared" si="69"/>
        <v>17.687074829931973</v>
      </c>
      <c r="Q88" s="674">
        <f t="shared" si="64"/>
        <v>17.687074829931973</v>
      </c>
      <c r="R88" s="674">
        <f t="shared" si="64"/>
        <v>17.687074829931973</v>
      </c>
      <c r="S88" s="674">
        <f t="shared" si="64"/>
        <v>17.687074829931973</v>
      </c>
      <c r="T88" s="674">
        <f t="shared" si="64"/>
        <v>17.687074829931973</v>
      </c>
      <c r="U88" s="674">
        <f t="shared" si="64"/>
        <v>17.687074829931973</v>
      </c>
      <c r="V88" s="674">
        <f t="shared" si="66"/>
        <v>17.687074829931973</v>
      </c>
      <c r="W88" s="671">
        <f>+V88*$V$91/1000</f>
        <v>74.341251700680274</v>
      </c>
      <c r="X88" s="671">
        <f t="shared" si="67"/>
        <v>81.775376870748303</v>
      </c>
      <c r="AF88" s="6">
        <f>+V88*$V$91</f>
        <v>74341.251700680281</v>
      </c>
    </row>
    <row r="89" spans="2:32" ht="15">
      <c r="B89" s="914" t="s">
        <v>695</v>
      </c>
      <c r="C89" s="654" t="s">
        <v>698</v>
      </c>
      <c r="D89" s="656">
        <v>720</v>
      </c>
      <c r="E89" s="656">
        <v>720</v>
      </c>
      <c r="F89" s="656">
        <v>720</v>
      </c>
      <c r="G89" s="656">
        <v>720</v>
      </c>
      <c r="H89" s="656"/>
      <c r="I89" s="675">
        <f>+SUM(I85:I88)</f>
        <v>748.2993197278912</v>
      </c>
      <c r="J89" s="675">
        <f t="shared" ref="J89:W89" si="70">+SUM(J85:J88)</f>
        <v>748.29931972789109</v>
      </c>
      <c r="K89" s="675">
        <f t="shared" si="70"/>
        <v>748.29931972789109</v>
      </c>
      <c r="L89" s="675">
        <f t="shared" si="70"/>
        <v>748.29931972789097</v>
      </c>
      <c r="M89" s="675">
        <f t="shared" si="70"/>
        <v>748.29931972789109</v>
      </c>
      <c r="N89" s="675">
        <f t="shared" si="70"/>
        <v>748.29931972789109</v>
      </c>
      <c r="O89" s="675">
        <f t="shared" si="70"/>
        <v>748.2993197278912</v>
      </c>
      <c r="P89" s="675">
        <f t="shared" si="70"/>
        <v>748.2993197278912</v>
      </c>
      <c r="Q89" s="675">
        <f t="shared" si="70"/>
        <v>748.2993197278912</v>
      </c>
      <c r="R89" s="675">
        <f t="shared" si="70"/>
        <v>748.29931972789109</v>
      </c>
      <c r="S89" s="675">
        <f t="shared" si="70"/>
        <v>748.29931972789109</v>
      </c>
      <c r="T89" s="675">
        <f t="shared" si="70"/>
        <v>748.29931972789109</v>
      </c>
      <c r="U89" s="675">
        <f t="shared" si="70"/>
        <v>748.29931972789109</v>
      </c>
      <c r="V89" s="675">
        <f t="shared" si="70"/>
        <v>748.29931972789097</v>
      </c>
      <c r="W89" s="655">
        <f t="shared" si="70"/>
        <v>3145.2068027210876</v>
      </c>
      <c r="X89" s="655">
        <f t="shared" ref="X89" si="71">SUM(X85:X88)</f>
        <v>3459.7274829931971</v>
      </c>
    </row>
    <row r="91" spans="2:32">
      <c r="D91" s="6">
        <v>0.36287999999999998</v>
      </c>
      <c r="E91" s="6">
        <v>0.14112</v>
      </c>
      <c r="F91" s="6">
        <v>0.79064999999999996</v>
      </c>
      <c r="G91" s="6">
        <v>0.24884999999999999</v>
      </c>
      <c r="H91" s="6">
        <f>+(D91+E91+F91+G91)/4</f>
        <v>0.38587499999999997</v>
      </c>
      <c r="I91" s="919">
        <f>+'BT 2HO'!D11</f>
        <v>817.21</v>
      </c>
      <c r="J91" s="919">
        <f>+'DEVEX Payment Status'!E13</f>
        <v>240.69</v>
      </c>
      <c r="K91" s="919">
        <f>+'DEVEX Payment Status'!E14</f>
        <v>386.24</v>
      </c>
      <c r="L91" s="919">
        <f>+'DEVEX Payment Status'!E15</f>
        <v>210</v>
      </c>
      <c r="M91" s="919">
        <f>+'DEVEX Payment Status'!E16</f>
        <v>122</v>
      </c>
      <c r="N91" s="919">
        <f>+'DEVEX Payment Status'!E18</f>
        <v>438</v>
      </c>
      <c r="O91" s="919">
        <f>+'DEVEX Payment Status'!E19</f>
        <v>171</v>
      </c>
      <c r="P91" s="919">
        <f>+'DEVEX Payment Status'!E20</f>
        <v>527</v>
      </c>
      <c r="Q91" s="919">
        <f>+'DEVEX Payment Status'!E21</f>
        <v>234</v>
      </c>
      <c r="R91" s="919">
        <f>+'DEVEX Payment Status'!E22</f>
        <v>500</v>
      </c>
      <c r="S91" s="919">
        <f>+'DEVEX Payment Status'!E23</f>
        <v>127</v>
      </c>
      <c r="T91" s="919">
        <f>+'DEVEX Payment Status'!E24</f>
        <v>161</v>
      </c>
      <c r="U91" s="919">
        <f>+'DEVEX Payment Status'!E25</f>
        <v>269</v>
      </c>
      <c r="V91" s="919">
        <f>+SUM(I91:U91)</f>
        <v>4203.1400000000003</v>
      </c>
    </row>
    <row r="92" spans="2:32">
      <c r="I92" s="912">
        <f t="shared" ref="I92:U92" si="72">+I76*I$91/1000</f>
        <v>698.57243718100005</v>
      </c>
      <c r="J92" s="912">
        <f t="shared" si="72"/>
        <v>203.57985127254543</v>
      </c>
      <c r="K92" s="912">
        <f t="shared" si="72"/>
        <v>325.2741684101818</v>
      </c>
      <c r="L92" s="912">
        <f t="shared" si="72"/>
        <v>181.20312381818181</v>
      </c>
      <c r="M92" s="912">
        <f t="shared" si="72"/>
        <v>106.83540000000001</v>
      </c>
      <c r="N92" s="912">
        <f t="shared" si="72"/>
        <v>362.79539999999997</v>
      </c>
      <c r="O92" s="912">
        <f t="shared" si="72"/>
        <v>148.42189063636363</v>
      </c>
      <c r="P92" s="912">
        <f t="shared" si="72"/>
        <v>457.25155000000001</v>
      </c>
      <c r="Q92" s="912">
        <f t="shared" si="72"/>
        <v>201.37942783636365</v>
      </c>
      <c r="R92" s="912">
        <f t="shared" si="72"/>
        <v>434.5</v>
      </c>
      <c r="S92" s="912">
        <f t="shared" si="72"/>
        <v>111.11865</v>
      </c>
      <c r="T92" s="912">
        <f t="shared" si="72"/>
        <v>140.04585</v>
      </c>
      <c r="U92" s="912">
        <f t="shared" si="72"/>
        <v>229.63185000000001</v>
      </c>
      <c r="V92" s="912">
        <f>+SUM(I92:U92)/$V$91*1000</f>
        <v>856.64755377042775</v>
      </c>
    </row>
    <row r="93" spans="2:32">
      <c r="I93" s="912">
        <f t="shared" ref="I93:U93" si="73">+I77*I$91/1000</f>
        <v>147.09780000000001</v>
      </c>
      <c r="J93" s="912">
        <f t="shared" si="73"/>
        <v>43.324199999999998</v>
      </c>
      <c r="K93" s="912">
        <f t="shared" si="73"/>
        <v>69.523200000000003</v>
      </c>
      <c r="L93" s="912">
        <f t="shared" si="73"/>
        <v>37.799999999999997</v>
      </c>
      <c r="M93" s="912">
        <f t="shared" si="73"/>
        <v>21.96</v>
      </c>
      <c r="N93" s="912">
        <f t="shared" si="73"/>
        <v>78.84</v>
      </c>
      <c r="O93" s="912">
        <f t="shared" si="73"/>
        <v>30.78</v>
      </c>
      <c r="P93" s="912">
        <f t="shared" si="73"/>
        <v>94.86</v>
      </c>
      <c r="Q93" s="912">
        <f t="shared" si="73"/>
        <v>42.12</v>
      </c>
      <c r="R93" s="912">
        <f t="shared" si="73"/>
        <v>90</v>
      </c>
      <c r="S93" s="912">
        <f t="shared" si="73"/>
        <v>22.86</v>
      </c>
      <c r="T93" s="912">
        <f t="shared" si="73"/>
        <v>28.98</v>
      </c>
      <c r="U93" s="912">
        <f t="shared" si="73"/>
        <v>48.42</v>
      </c>
      <c r="V93" s="912">
        <f>+SUM(I93:U93)/$V$91*1000</f>
        <v>180</v>
      </c>
    </row>
    <row r="94" spans="2:32">
      <c r="D94" s="917">
        <f>+D76/D85</f>
        <v>1.495850622406639</v>
      </c>
      <c r="I94" s="912">
        <f t="shared" ref="I94:U94" si="74">+I78*I$91/1000</f>
        <v>32.013302819000003</v>
      </c>
      <c r="J94" s="912">
        <f t="shared" si="74"/>
        <v>11.597008727454545</v>
      </c>
      <c r="K94" s="912">
        <f t="shared" si="74"/>
        <v>20.02439158981818</v>
      </c>
      <c r="L94" s="912">
        <f t="shared" si="74"/>
        <v>6.5368761818181813</v>
      </c>
      <c r="M94" s="912">
        <f t="shared" si="74"/>
        <v>2.2325999999999997</v>
      </c>
      <c r="N94" s="912">
        <f t="shared" si="74"/>
        <v>28.776600000000002</v>
      </c>
      <c r="O94" s="912">
        <f t="shared" si="74"/>
        <v>4.4521093636363629</v>
      </c>
      <c r="P94" s="912">
        <f t="shared" si="74"/>
        <v>13.88645</v>
      </c>
      <c r="Q94" s="912">
        <f t="shared" si="74"/>
        <v>7.816572163636363</v>
      </c>
      <c r="R94" s="912">
        <f t="shared" si="74"/>
        <v>12.5</v>
      </c>
      <c r="S94" s="912">
        <f t="shared" si="74"/>
        <v>2.4193500000000001</v>
      </c>
      <c r="T94" s="912">
        <f t="shared" si="74"/>
        <v>3.8881499999999996</v>
      </c>
      <c r="U94" s="912">
        <f t="shared" si="74"/>
        <v>10.854149999999999</v>
      </c>
      <c r="V94" s="912">
        <f>+SUM(I94:U94)/$V$91*1000</f>
        <v>37.352446229572088</v>
      </c>
    </row>
    <row r="95" spans="2:32">
      <c r="B95" s="203"/>
      <c r="D95" s="917"/>
      <c r="I95" s="912">
        <f t="shared" ref="I95:U95" si="75">+I79*I$91/1000</f>
        <v>21.24746</v>
      </c>
      <c r="J95" s="912">
        <f t="shared" si="75"/>
        <v>6.2579399999999996</v>
      </c>
      <c r="K95" s="912">
        <f t="shared" si="75"/>
        <v>10.04224</v>
      </c>
      <c r="L95" s="912">
        <f t="shared" si="75"/>
        <v>5.46</v>
      </c>
      <c r="M95" s="912">
        <f t="shared" si="75"/>
        <v>3.1720000000000002</v>
      </c>
      <c r="N95" s="912">
        <f t="shared" si="75"/>
        <v>11.388</v>
      </c>
      <c r="O95" s="912">
        <f t="shared" si="75"/>
        <v>4.4459999999999997</v>
      </c>
      <c r="P95" s="912">
        <f t="shared" si="75"/>
        <v>13.702</v>
      </c>
      <c r="Q95" s="912">
        <f t="shared" si="75"/>
        <v>6.0839999999999996</v>
      </c>
      <c r="R95" s="912">
        <f t="shared" si="75"/>
        <v>13</v>
      </c>
      <c r="S95" s="912">
        <f t="shared" si="75"/>
        <v>3.302</v>
      </c>
      <c r="T95" s="912">
        <f t="shared" si="75"/>
        <v>4.1859999999999999</v>
      </c>
      <c r="U95" s="912">
        <f t="shared" si="75"/>
        <v>6.9939999999999998</v>
      </c>
      <c r="V95" s="912">
        <f>+SUM(I95:U95)/$V$91*1000</f>
        <v>26</v>
      </c>
    </row>
    <row r="96" spans="2:32">
      <c r="D96" s="917"/>
    </row>
    <row r="97" spans="4:23">
      <c r="D97" s="917"/>
      <c r="I97" s="912">
        <f t="shared" ref="I97:U97" si="76">+I85*I$91/1000</f>
        <v>475.21934502108849</v>
      </c>
      <c r="J97" s="912">
        <f t="shared" si="76"/>
        <v>138.4896947432282</v>
      </c>
      <c r="K97" s="912">
        <f t="shared" si="76"/>
        <v>221.2749444967223</v>
      </c>
      <c r="L97" s="912">
        <f t="shared" si="76"/>
        <v>123.26743116883114</v>
      </c>
      <c r="M97" s="912">
        <f t="shared" si="76"/>
        <v>72.677142857142854</v>
      </c>
      <c r="N97" s="912">
        <f t="shared" si="76"/>
        <v>246.79959183673469</v>
      </c>
      <c r="O97" s="912">
        <f t="shared" si="76"/>
        <v>100.96727254174398</v>
      </c>
      <c r="P97" s="912">
        <f t="shared" si="76"/>
        <v>311.05547619047621</v>
      </c>
      <c r="Q97" s="912">
        <f t="shared" si="76"/>
        <v>136.99280805194806</v>
      </c>
      <c r="R97" s="912">
        <f t="shared" si="76"/>
        <v>295.57823129251699</v>
      </c>
      <c r="S97" s="912">
        <f t="shared" si="76"/>
        <v>75.590918367346944</v>
      </c>
      <c r="T97" s="912">
        <f t="shared" si="76"/>
        <v>95.269285714285715</v>
      </c>
      <c r="U97" s="912">
        <f t="shared" si="76"/>
        <v>156.21214285714285</v>
      </c>
      <c r="V97" s="912">
        <f>+SUM(I97:U97)/$V$91*1000</f>
        <v>582.75343793906643</v>
      </c>
      <c r="W97" s="912"/>
    </row>
    <row r="98" spans="4:23">
      <c r="D98" s="917"/>
      <c r="I98" s="912">
        <f t="shared" ref="I98:U98" si="77">+I86*I$91/1000</f>
        <v>100.06653061224489</v>
      </c>
      <c r="J98" s="912">
        <f t="shared" si="77"/>
        <v>29.472244897959182</v>
      </c>
      <c r="K98" s="912">
        <f t="shared" si="77"/>
        <v>47.294693877551019</v>
      </c>
      <c r="L98" s="912">
        <f t="shared" si="77"/>
        <v>25.714285714285715</v>
      </c>
      <c r="M98" s="912">
        <f t="shared" si="77"/>
        <v>14.938775510204081</v>
      </c>
      <c r="N98" s="912">
        <f t="shared" si="77"/>
        <v>53.632653061224488</v>
      </c>
      <c r="O98" s="912">
        <f t="shared" si="77"/>
        <v>20.938775510204081</v>
      </c>
      <c r="P98" s="912">
        <f t="shared" si="77"/>
        <v>64.530612244897952</v>
      </c>
      <c r="Q98" s="912">
        <f t="shared" si="77"/>
        <v>28.653061224489797</v>
      </c>
      <c r="R98" s="912">
        <f t="shared" si="77"/>
        <v>61.224489795918366</v>
      </c>
      <c r="S98" s="912">
        <f t="shared" si="77"/>
        <v>15.551020408163266</v>
      </c>
      <c r="T98" s="912">
        <f t="shared" si="77"/>
        <v>19.714285714285715</v>
      </c>
      <c r="U98" s="912">
        <f t="shared" si="77"/>
        <v>32.938775510204081</v>
      </c>
      <c r="V98" s="912">
        <f>+SUM(I98:U98)/$V$91*1000</f>
        <v>122.44897959183672</v>
      </c>
    </row>
    <row r="99" spans="4:23">
      <c r="D99" s="917"/>
      <c r="I99" s="912">
        <f t="shared" ref="I99:U99" si="78">+I87*I$91/1000</f>
        <v>21.777757019727893</v>
      </c>
      <c r="J99" s="912">
        <f t="shared" si="78"/>
        <v>7.8891215833024129</v>
      </c>
      <c r="K99" s="912">
        <f t="shared" si="78"/>
        <v>13.622035095114409</v>
      </c>
      <c r="L99" s="912">
        <f t="shared" si="78"/>
        <v>4.4468545454545447</v>
      </c>
      <c r="M99" s="912">
        <f t="shared" si="78"/>
        <v>1.5187755102040814</v>
      </c>
      <c r="N99" s="912">
        <f t="shared" si="78"/>
        <v>19.575918367346937</v>
      </c>
      <c r="O99" s="912">
        <f t="shared" si="78"/>
        <v>3.0286458256029682</v>
      </c>
      <c r="P99" s="912">
        <f t="shared" si="78"/>
        <v>9.4465646258503408</v>
      </c>
      <c r="Q99" s="912">
        <f t="shared" si="78"/>
        <v>5.3173960296846019</v>
      </c>
      <c r="R99" s="912">
        <f t="shared" si="78"/>
        <v>8.5034013605442187</v>
      </c>
      <c r="S99" s="912">
        <f t="shared" si="78"/>
        <v>1.6458163265306123</v>
      </c>
      <c r="T99" s="912">
        <f t="shared" si="78"/>
        <v>2.6449999999999996</v>
      </c>
      <c r="U99" s="912">
        <f t="shared" si="78"/>
        <v>7.3837755102040816</v>
      </c>
      <c r="V99" s="912">
        <f>+SUM(I99:U99)/$V$91*1000</f>
        <v>25.40982736705584</v>
      </c>
    </row>
    <row r="100" spans="4:23">
      <c r="D100" s="917"/>
      <c r="I100" s="912">
        <f t="shared" ref="I100:U100" si="79">+I88*I$91/1000</f>
        <v>14.454054421768708</v>
      </c>
      <c r="J100" s="912">
        <f t="shared" si="79"/>
        <v>4.2571020408163269</v>
      </c>
      <c r="K100" s="912">
        <f t="shared" si="79"/>
        <v>6.8314557823129256</v>
      </c>
      <c r="L100" s="912">
        <f t="shared" si="79"/>
        <v>3.7142857142857144</v>
      </c>
      <c r="M100" s="912">
        <f t="shared" si="79"/>
        <v>2.1578231292517005</v>
      </c>
      <c r="N100" s="912">
        <f t="shared" si="79"/>
        <v>7.7469387755102046</v>
      </c>
      <c r="O100" s="912">
        <f t="shared" si="79"/>
        <v>3.0244897959183672</v>
      </c>
      <c r="P100" s="912">
        <f t="shared" si="79"/>
        <v>9.3210884353741488</v>
      </c>
      <c r="Q100" s="912">
        <f t="shared" si="79"/>
        <v>4.1387755102040815</v>
      </c>
      <c r="R100" s="912">
        <f t="shared" si="79"/>
        <v>8.8435374149659864</v>
      </c>
      <c r="S100" s="912">
        <f t="shared" si="79"/>
        <v>2.2462585034013607</v>
      </c>
      <c r="T100" s="912">
        <f t="shared" si="79"/>
        <v>2.8476190476190477</v>
      </c>
      <c r="U100" s="912">
        <f t="shared" si="79"/>
        <v>4.7578231292517001</v>
      </c>
      <c r="V100" s="912">
        <f>+SUM(I100:U100)/$V$91*1000</f>
        <v>17.687074829931973</v>
      </c>
    </row>
    <row r="101" spans="4:23">
      <c r="D101" s="917"/>
    </row>
    <row r="102" spans="4:23">
      <c r="D102" s="917"/>
    </row>
    <row r="103" spans="4:23">
      <c r="D103" s="917"/>
    </row>
    <row r="104" spans="4:23">
      <c r="D104" s="917"/>
      <c r="W104" s="203">
        <f>189000000/1470</f>
        <v>128571.42857142857</v>
      </c>
    </row>
    <row r="105" spans="4:23">
      <c r="D105" s="917"/>
      <c r="R105" s="6">
        <f>65000000/1470</f>
        <v>44217.687074829933</v>
      </c>
    </row>
    <row r="106" spans="4:23">
      <c r="D106" s="917"/>
    </row>
  </sheetData>
  <mergeCells count="115">
    <mergeCell ref="I9:K10"/>
    <mergeCell ref="G74:G75"/>
    <mergeCell ref="I74:I75"/>
    <mergeCell ref="J74:J75"/>
    <mergeCell ref="K74:K75"/>
    <mergeCell ref="I16:I17"/>
    <mergeCell ref="J16:J17"/>
    <mergeCell ref="K16:K17"/>
    <mergeCell ref="L16:L17"/>
    <mergeCell ref="G54:G55"/>
    <mergeCell ref="I54:I55"/>
    <mergeCell ref="J54:J55"/>
    <mergeCell ref="K54:K55"/>
    <mergeCell ref="L54:L55"/>
    <mergeCell ref="F16:F17"/>
    <mergeCell ref="R25:R26"/>
    <mergeCell ref="S25:S26"/>
    <mergeCell ref="R16:R17"/>
    <mergeCell ref="S16:S17"/>
    <mergeCell ref="U74:U75"/>
    <mergeCell ref="Q83:Q84"/>
    <mergeCell ref="R83:R84"/>
    <mergeCell ref="S83:S84"/>
    <mergeCell ref="T83:T84"/>
    <mergeCell ref="Q74:Q75"/>
    <mergeCell ref="R74:R75"/>
    <mergeCell ref="S74:S75"/>
    <mergeCell ref="T74:T75"/>
    <mergeCell ref="U83:U84"/>
    <mergeCell ref="L74:L75"/>
    <mergeCell ref="M74:M75"/>
    <mergeCell ref="I83:I84"/>
    <mergeCell ref="J83:J84"/>
    <mergeCell ref="K83:K84"/>
    <mergeCell ref="L83:L84"/>
    <mergeCell ref="M83:M84"/>
    <mergeCell ref="G83:G84"/>
    <mergeCell ref="F74:F75"/>
    <mergeCell ref="T16:T17"/>
    <mergeCell ref="U16:U17"/>
    <mergeCell ref="B25:B26"/>
    <mergeCell ref="C25:C26"/>
    <mergeCell ref="D25:D26"/>
    <mergeCell ref="E25:E26"/>
    <mergeCell ref="F25:F26"/>
    <mergeCell ref="G25:G26"/>
    <mergeCell ref="I25:I26"/>
    <mergeCell ref="J25:J26"/>
    <mergeCell ref="K25:K26"/>
    <mergeCell ref="L25:L26"/>
    <mergeCell ref="M25:M26"/>
    <mergeCell ref="N25:N26"/>
    <mergeCell ref="M16:M17"/>
    <mergeCell ref="N16:N17"/>
    <mergeCell ref="O16:O17"/>
    <mergeCell ref="P16:P17"/>
    <mergeCell ref="Q16:Q17"/>
    <mergeCell ref="G16:G17"/>
    <mergeCell ref="B16:B17"/>
    <mergeCell ref="C16:C17"/>
    <mergeCell ref="D16:D17"/>
    <mergeCell ref="E16:E17"/>
    <mergeCell ref="Q45:Q46"/>
    <mergeCell ref="R45:R46"/>
    <mergeCell ref="S45:S46"/>
    <mergeCell ref="T45:T46"/>
    <mergeCell ref="U45:U46"/>
    <mergeCell ref="T25:T26"/>
    <mergeCell ref="U25:U26"/>
    <mergeCell ref="B45:B46"/>
    <mergeCell ref="C45:C46"/>
    <mergeCell ref="D45:D46"/>
    <mergeCell ref="E45:E46"/>
    <mergeCell ref="F45:F46"/>
    <mergeCell ref="G45:G46"/>
    <mergeCell ref="I45:I46"/>
    <mergeCell ref="J45:J46"/>
    <mergeCell ref="K45:K46"/>
    <mergeCell ref="L45:L46"/>
    <mergeCell ref="M45:M46"/>
    <mergeCell ref="N45:N46"/>
    <mergeCell ref="O45:O46"/>
    <mergeCell ref="P45:P46"/>
    <mergeCell ref="O25:O26"/>
    <mergeCell ref="P25:P26"/>
    <mergeCell ref="Q25:Q26"/>
    <mergeCell ref="R54:R55"/>
    <mergeCell ref="S54:S55"/>
    <mergeCell ref="T54:T55"/>
    <mergeCell ref="U54:U55"/>
    <mergeCell ref="M54:M55"/>
    <mergeCell ref="N54:N55"/>
    <mergeCell ref="O54:O55"/>
    <mergeCell ref="P54:P55"/>
    <mergeCell ref="Q54:Q55"/>
    <mergeCell ref="P83:P84"/>
    <mergeCell ref="O83:O84"/>
    <mergeCell ref="N83:N84"/>
    <mergeCell ref="N74:N75"/>
    <mergeCell ref="P74:P75"/>
    <mergeCell ref="O74:O75"/>
    <mergeCell ref="B54:B55"/>
    <mergeCell ref="C54:C55"/>
    <mergeCell ref="D54:D55"/>
    <mergeCell ref="E54:E55"/>
    <mergeCell ref="F54:F55"/>
    <mergeCell ref="B74:B75"/>
    <mergeCell ref="C74:C75"/>
    <mergeCell ref="D74:D75"/>
    <mergeCell ref="E74:E75"/>
    <mergeCell ref="B83:B84"/>
    <mergeCell ref="C83:C84"/>
    <mergeCell ref="D83:D84"/>
    <mergeCell ref="E83:E84"/>
    <mergeCell ref="F83:F84"/>
  </mergeCells>
  <phoneticPr fontId="9"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4C328-D516-44B4-B6A4-08C803502015}">
  <dimension ref="B2:U59"/>
  <sheetViews>
    <sheetView showGridLines="0" zoomScaleNormal="100" workbookViewId="0">
      <selection activeCell="C36" sqref="B22:C54"/>
    </sheetView>
  </sheetViews>
  <sheetFormatPr defaultColWidth="9.140625" defaultRowHeight="12.75"/>
  <cols>
    <col min="1" max="1" width="1.7109375" style="6" customWidth="1"/>
    <col min="2" max="2" width="21.140625" style="6" customWidth="1"/>
    <col min="3" max="14" width="12.7109375" style="6" customWidth="1"/>
    <col min="15" max="16384" width="9.140625" style="6"/>
  </cols>
  <sheetData>
    <row r="2" spans="2:21" ht="24" customHeight="1">
      <c r="B2" s="1281" t="s">
        <v>701</v>
      </c>
      <c r="C2" s="1281"/>
      <c r="D2" s="1281"/>
      <c r="E2" s="621"/>
      <c r="F2" s="621"/>
      <c r="G2" s="621"/>
      <c r="H2" s="621"/>
      <c r="I2" s="621"/>
      <c r="J2" s="621"/>
      <c r="K2" s="621"/>
      <c r="L2" s="621"/>
      <c r="M2" s="621"/>
      <c r="N2" s="621"/>
    </row>
    <row r="3" spans="2:21">
      <c r="B3" s="1282" t="s">
        <v>702</v>
      </c>
      <c r="C3" s="1282" t="s">
        <v>287</v>
      </c>
      <c r="D3" s="1282" t="s">
        <v>703</v>
      </c>
      <c r="E3" s="1282" t="s">
        <v>289</v>
      </c>
      <c r="F3" s="1282" t="s">
        <v>290</v>
      </c>
      <c r="G3" s="1282" t="s">
        <v>291</v>
      </c>
      <c r="H3" s="1285" t="s">
        <v>292</v>
      </c>
      <c r="I3" s="644" t="s">
        <v>293</v>
      </c>
      <c r="J3" s="644" t="s">
        <v>294</v>
      </c>
      <c r="K3" s="644" t="s">
        <v>295</v>
      </c>
      <c r="L3" s="1283" t="s">
        <v>296</v>
      </c>
      <c r="M3" s="1282" t="s">
        <v>296</v>
      </c>
      <c r="N3" s="1282" t="s">
        <v>297</v>
      </c>
    </row>
    <row r="4" spans="2:21">
      <c r="B4" s="1282"/>
      <c r="C4" s="1282"/>
      <c r="D4" s="1282"/>
      <c r="E4" s="1282"/>
      <c r="F4" s="1282"/>
      <c r="G4" s="1282"/>
      <c r="H4" s="1285"/>
      <c r="I4" s="644" t="s">
        <v>704</v>
      </c>
      <c r="J4" s="644" t="s">
        <v>300</v>
      </c>
      <c r="K4" s="644" t="s">
        <v>299</v>
      </c>
      <c r="L4" s="1283"/>
      <c r="M4" s="1282"/>
      <c r="N4" s="1282"/>
    </row>
    <row r="5" spans="2:21">
      <c r="B5" s="1458"/>
      <c r="C5" s="1458"/>
      <c r="D5" s="677" t="s">
        <v>302</v>
      </c>
      <c r="E5" s="677" t="s">
        <v>303</v>
      </c>
      <c r="F5" s="677" t="s">
        <v>304</v>
      </c>
      <c r="G5" s="677" t="s">
        <v>305</v>
      </c>
      <c r="H5" s="678" t="s">
        <v>306</v>
      </c>
      <c r="I5" s="679" t="s">
        <v>307</v>
      </c>
      <c r="J5" s="679" t="s">
        <v>705</v>
      </c>
      <c r="K5" s="679" t="s">
        <v>706</v>
      </c>
      <c r="L5" s="680" t="s">
        <v>705</v>
      </c>
      <c r="M5" s="677" t="s">
        <v>706</v>
      </c>
      <c r="N5" s="677" t="s">
        <v>309</v>
      </c>
    </row>
    <row r="6" spans="2:21">
      <c r="B6" s="685" t="str">
        <f>+'EPC Liquidity Plan'!C4</f>
        <v>Changseong High Tech</v>
      </c>
      <c r="C6" s="639">
        <v>46199</v>
      </c>
      <c r="D6" s="1286">
        <v>189</v>
      </c>
      <c r="E6" s="641">
        <f>+'EPC Liquidity Plan'!D4/1000</f>
        <v>0.16637000000000002</v>
      </c>
      <c r="F6" s="640">
        <v>30</v>
      </c>
      <c r="G6" s="642">
        <f>+PPAN!L3</f>
        <v>1386</v>
      </c>
      <c r="H6" s="633">
        <f>+I6*E6</f>
        <v>183.00700000000003</v>
      </c>
      <c r="I6" s="643">
        <v>1100</v>
      </c>
      <c r="J6" s="635">
        <f>+K6*E6</f>
        <v>83.185000000000002</v>
      </c>
      <c r="K6" s="644">
        <v>500</v>
      </c>
      <c r="L6" s="920">
        <f>+M6*E6</f>
        <v>10.814050000000002</v>
      </c>
      <c r="M6" s="640">
        <v>65</v>
      </c>
      <c r="N6" s="623">
        <f>+'민감도분석_3,7'!G12</f>
        <v>8.8620033897617079E-2</v>
      </c>
      <c r="P6" s="6">
        <f t="shared" ref="P6:P7" si="0">+G6*E6</f>
        <v>230.58882000000003</v>
      </c>
      <c r="R6" s="6">
        <f t="shared" ref="R6:R7" si="1">+K6*E6</f>
        <v>83.185000000000002</v>
      </c>
      <c r="T6" s="684">
        <f t="shared" ref="T6:T7" si="2">+N6*E6</f>
        <v>1.4743715039546555E-2</v>
      </c>
    </row>
    <row r="7" spans="2:21">
      <c r="B7" s="685" t="str">
        <f>+'EPC Liquidity Plan'!C5</f>
        <v>LSG</v>
      </c>
      <c r="C7" s="639">
        <v>46199</v>
      </c>
      <c r="D7" s="1282"/>
      <c r="E7" s="641">
        <f>+'EPC Liquidity Plan'!D5/1000</f>
        <v>0.49911</v>
      </c>
      <c r="F7" s="640">
        <v>30</v>
      </c>
      <c r="G7" s="642">
        <f>+PPAN!L4</f>
        <v>1436</v>
      </c>
      <c r="H7" s="633">
        <f t="shared" ref="H7" si="3">+I7*E7</f>
        <v>549.02099999999996</v>
      </c>
      <c r="I7" s="643">
        <v>1100</v>
      </c>
      <c r="J7" s="635">
        <f t="shared" ref="J7" si="4">+K7*E7</f>
        <v>249.55500000000001</v>
      </c>
      <c r="K7" s="644">
        <v>500</v>
      </c>
      <c r="L7" s="920">
        <f t="shared" ref="L7" si="5">+M7*E7</f>
        <v>32.442149999999998</v>
      </c>
      <c r="M7" s="640">
        <v>65</v>
      </c>
      <c r="N7" s="623">
        <f>+'민감도분석_3,7'!G25</f>
        <v>9.413019826929192E-2</v>
      </c>
      <c r="P7" s="6">
        <f t="shared" si="0"/>
        <v>716.72195999999997</v>
      </c>
      <c r="R7" s="6">
        <f t="shared" si="1"/>
        <v>249.55500000000001</v>
      </c>
      <c r="T7" s="684">
        <f t="shared" si="2"/>
        <v>4.698132325818629E-2</v>
      </c>
    </row>
    <row r="8" spans="2:21">
      <c r="B8" s="685" t="str">
        <f>+'EPC Liquidity Plan'!C6</f>
        <v>Hanseo Motors</v>
      </c>
      <c r="C8" s="639">
        <v>46199</v>
      </c>
      <c r="D8" s="1282"/>
      <c r="E8" s="641">
        <f>+'EPC Liquidity Plan'!D6/1000</f>
        <v>0.142875</v>
      </c>
      <c r="F8" s="640">
        <v>30</v>
      </c>
      <c r="G8" s="642">
        <f>+PPAN!L5</f>
        <v>1344</v>
      </c>
      <c r="H8" s="633">
        <f t="shared" ref="H8:H13" si="6">+I8*E8</f>
        <v>157.16249999999999</v>
      </c>
      <c r="I8" s="643">
        <v>1100</v>
      </c>
      <c r="J8" s="635">
        <f t="shared" ref="J8:J13" si="7">+K8*E8</f>
        <v>71.4375</v>
      </c>
      <c r="K8" s="644">
        <v>500</v>
      </c>
      <c r="L8" s="920">
        <f t="shared" ref="L8:L13" si="8">+M8*E8</f>
        <v>9.2868750000000002</v>
      </c>
      <c r="M8" s="640">
        <v>65</v>
      </c>
      <c r="N8" s="623">
        <f>+'민감도분석_3,7'!G38</f>
        <v>8.4581737945218061E-2</v>
      </c>
      <c r="P8" s="6">
        <f t="shared" ref="P8:P13" si="9">+G8*E8</f>
        <v>192.024</v>
      </c>
      <c r="R8" s="6">
        <f t="shared" ref="R8:R13" si="10">+K8*E8</f>
        <v>71.4375</v>
      </c>
      <c r="T8" s="684">
        <f t="shared" ref="T8:T13" si="11">+N8*E8</f>
        <v>1.2084615808923031E-2</v>
      </c>
    </row>
    <row r="9" spans="2:21">
      <c r="B9" s="685" t="str">
        <f>+'EPC Liquidity Plan'!C7</f>
        <v>Seun Steel Gyeongju</v>
      </c>
      <c r="C9" s="639">
        <v>46199</v>
      </c>
      <c r="D9" s="1282"/>
      <c r="E9" s="641">
        <f>+'EPC Liquidity Plan'!D7/1000</f>
        <v>0.70929500000000001</v>
      </c>
      <c r="F9" s="640">
        <v>30</v>
      </c>
      <c r="G9" s="642">
        <f>+PPAN!L6</f>
        <v>1389</v>
      </c>
      <c r="H9" s="633">
        <f t="shared" si="6"/>
        <v>780.22450000000003</v>
      </c>
      <c r="I9" s="643">
        <v>1100</v>
      </c>
      <c r="J9" s="635">
        <f t="shared" si="7"/>
        <v>354.64749999999998</v>
      </c>
      <c r="K9" s="644">
        <v>500</v>
      </c>
      <c r="L9" s="920">
        <f t="shared" si="8"/>
        <v>46.104174999999998</v>
      </c>
      <c r="M9" s="640">
        <v>65</v>
      </c>
      <c r="N9" s="623">
        <f>+'민감도분석_3,7'!G51</f>
        <v>8.9444669089781881E-2</v>
      </c>
      <c r="P9" s="6">
        <f t="shared" si="9"/>
        <v>985.21075500000006</v>
      </c>
      <c r="R9" s="6">
        <f t="shared" si="10"/>
        <v>354.64749999999998</v>
      </c>
      <c r="T9" s="684">
        <f t="shared" si="11"/>
        <v>6.3442656562036834E-2</v>
      </c>
    </row>
    <row r="10" spans="2:21">
      <c r="B10" s="685" t="str">
        <f>+'EPC Liquidity Plan'!C8</f>
        <v>Oneel</v>
      </c>
      <c r="C10" s="639">
        <v>46199</v>
      </c>
      <c r="D10" s="1282"/>
      <c r="E10" s="641">
        <f>+'EPC Liquidity Plan'!D8/1000</f>
        <v>0.52260499999999999</v>
      </c>
      <c r="F10" s="640">
        <v>30</v>
      </c>
      <c r="G10" s="642">
        <f>+PPAN!L7</f>
        <v>1373</v>
      </c>
      <c r="H10" s="633">
        <f t="shared" si="6"/>
        <v>574.8655</v>
      </c>
      <c r="I10" s="643">
        <v>1100</v>
      </c>
      <c r="J10" s="635">
        <f t="shared" si="7"/>
        <v>261.30250000000001</v>
      </c>
      <c r="K10" s="644">
        <v>500</v>
      </c>
      <c r="L10" s="920">
        <f t="shared" si="8"/>
        <v>33.969324999999998</v>
      </c>
      <c r="M10" s="640">
        <v>65</v>
      </c>
      <c r="N10" s="623">
        <f>+'민감도분석_3,7'!G64</f>
        <v>8.7757532229501001E-2</v>
      </c>
      <c r="P10" s="6">
        <f t="shared" si="9"/>
        <v>717.53666499999997</v>
      </c>
      <c r="R10" s="6">
        <f t="shared" si="10"/>
        <v>261.30250000000001</v>
      </c>
      <c r="T10" s="684">
        <f t="shared" si="11"/>
        <v>4.5862525130798366E-2</v>
      </c>
    </row>
    <row r="11" spans="2:21">
      <c r="B11" s="685" t="str">
        <f>+'EPC Liquidity Plan'!C9</f>
        <v>E-Tech</v>
      </c>
      <c r="C11" s="639">
        <v>46199</v>
      </c>
      <c r="D11" s="1282"/>
      <c r="E11" s="641">
        <f>+'EPC Liquidity Plan'!D9/1000</f>
        <v>0.14848</v>
      </c>
      <c r="F11" s="640">
        <v>30</v>
      </c>
      <c r="G11" s="642">
        <f>+PPAN!L8</f>
        <v>1499</v>
      </c>
      <c r="H11" s="633">
        <f t="shared" si="6"/>
        <v>163.328</v>
      </c>
      <c r="I11" s="643">
        <v>1100</v>
      </c>
      <c r="J11" s="635">
        <f t="shared" si="7"/>
        <v>74.239999999999995</v>
      </c>
      <c r="K11" s="644">
        <v>500</v>
      </c>
      <c r="L11" s="920">
        <f t="shared" si="8"/>
        <v>9.6511999999999993</v>
      </c>
      <c r="M11" s="640">
        <v>65</v>
      </c>
      <c r="N11" s="623">
        <f>+'민감도분석_3,7'!G77</f>
        <v>9.9634165389209883E-2</v>
      </c>
      <c r="P11" s="6">
        <f t="shared" si="9"/>
        <v>222.57151999999999</v>
      </c>
      <c r="R11" s="6">
        <f t="shared" si="10"/>
        <v>74.239999999999995</v>
      </c>
      <c r="T11" s="684">
        <f t="shared" si="11"/>
        <v>1.4793680876989884E-2</v>
      </c>
    </row>
    <row r="12" spans="2:21">
      <c r="B12" s="685" t="str">
        <f>+'EPC Liquidity Plan'!C10</f>
        <v>Daechon Headquarters</v>
      </c>
      <c r="C12" s="639">
        <v>46199</v>
      </c>
      <c r="D12" s="1282"/>
      <c r="E12" s="641">
        <f>+'EPC Liquidity Plan'!D10/1000</f>
        <v>0.89788999999999997</v>
      </c>
      <c r="F12" s="640">
        <v>30</v>
      </c>
      <c r="G12" s="642">
        <f>+PPAN!L9</f>
        <v>1362</v>
      </c>
      <c r="H12" s="633">
        <f t="shared" si="6"/>
        <v>987.67899999999997</v>
      </c>
      <c r="I12" s="643">
        <v>1100</v>
      </c>
      <c r="J12" s="635">
        <f t="shared" si="7"/>
        <v>448.94499999999999</v>
      </c>
      <c r="K12" s="644">
        <v>500</v>
      </c>
      <c r="L12" s="920">
        <f t="shared" si="8"/>
        <v>58.362849999999995</v>
      </c>
      <c r="M12" s="640">
        <v>65</v>
      </c>
      <c r="N12" s="623">
        <f>+'민감도분석_3,7'!G90</f>
        <v>8.662351446148997E-2</v>
      </c>
      <c r="P12" s="6">
        <f t="shared" si="9"/>
        <v>1222.9261799999999</v>
      </c>
      <c r="R12" s="6">
        <f t="shared" si="10"/>
        <v>448.94499999999999</v>
      </c>
      <c r="T12" s="684">
        <f t="shared" si="11"/>
        <v>7.7778387399827231E-2</v>
      </c>
    </row>
    <row r="13" spans="2:21">
      <c r="B13" s="685" t="str">
        <f>+'EPC Liquidity Plan'!C11</f>
        <v>Daechon Busan</v>
      </c>
      <c r="C13" s="639">
        <v>46199</v>
      </c>
      <c r="D13" s="1282"/>
      <c r="E13" s="641">
        <f>+'EPC Liquidity Plan'!D11/1000</f>
        <v>1.1556999999999999</v>
      </c>
      <c r="F13" s="640">
        <v>30</v>
      </c>
      <c r="G13" s="642">
        <f>+PPAN!L10</f>
        <v>1372</v>
      </c>
      <c r="H13" s="633">
        <f t="shared" si="6"/>
        <v>1271.27</v>
      </c>
      <c r="I13" s="643">
        <v>1100</v>
      </c>
      <c r="J13" s="635">
        <f t="shared" si="7"/>
        <v>577.85</v>
      </c>
      <c r="K13" s="644">
        <v>500</v>
      </c>
      <c r="L13" s="920">
        <f t="shared" si="8"/>
        <v>75.120499999999993</v>
      </c>
      <c r="M13" s="640">
        <v>65</v>
      </c>
      <c r="N13" s="623">
        <f>+'민감도분석_3,7'!G103</f>
        <v>8.774263150751338E-2</v>
      </c>
      <c r="P13" s="6">
        <f t="shared" si="9"/>
        <v>1585.6204</v>
      </c>
      <c r="R13" s="6">
        <f t="shared" si="10"/>
        <v>577.85</v>
      </c>
      <c r="T13" s="684">
        <f t="shared" si="11"/>
        <v>0.1014041592332332</v>
      </c>
    </row>
    <row r="15" spans="2:21">
      <c r="B15" s="1457"/>
      <c r="C15" s="1457"/>
      <c r="D15" s="626">
        <v>189</v>
      </c>
      <c r="E15" s="703">
        <f>+SUM(E6:E13)</f>
        <v>4.2423250000000001</v>
      </c>
      <c r="F15" s="626">
        <v>30</v>
      </c>
      <c r="G15" s="627">
        <f>+Q15</f>
        <v>1384.4295993352703</v>
      </c>
      <c r="H15" s="627">
        <f>+SUM(H6:H13)</f>
        <v>4666.5574999999999</v>
      </c>
      <c r="I15" s="627">
        <v>1100</v>
      </c>
      <c r="J15" s="627">
        <f>+SUM(J6:J13)</f>
        <v>2121.1624999999999</v>
      </c>
      <c r="K15" s="681">
        <f>+S15</f>
        <v>499.99999999999994</v>
      </c>
      <c r="L15" s="627">
        <f>+SUM(L6:L13)</f>
        <v>275.751125</v>
      </c>
      <c r="M15" s="626">
        <v>65</v>
      </c>
      <c r="N15" s="623">
        <f>+U15</f>
        <v>8.8887829977557425E-2</v>
      </c>
      <c r="P15" s="647">
        <f>+SUM(P6:P13)</f>
        <v>5873.2003000000004</v>
      </c>
      <c r="Q15" s="6">
        <f>+P15/E15</f>
        <v>1384.4295993352703</v>
      </c>
      <c r="R15" s="647">
        <f>+SUM(R6:R13)</f>
        <v>2121.1624999999999</v>
      </c>
      <c r="S15" s="6">
        <f>+R15/E15</f>
        <v>499.99999999999994</v>
      </c>
      <c r="T15" s="647">
        <f>+SUM(T6:T13)</f>
        <v>0.37709106330954134</v>
      </c>
      <c r="U15" s="702">
        <f>+T15/E15</f>
        <v>8.8887829977557425E-2</v>
      </c>
    </row>
    <row r="16" spans="2:21">
      <c r="E16" s="919" t="b">
        <f>+PPAN!E11/1000=E15</f>
        <v>1</v>
      </c>
    </row>
    <row r="18" spans="2:21" ht="24" customHeight="1">
      <c r="B18" s="1281" t="s">
        <v>707</v>
      </c>
      <c r="C18" s="1281"/>
      <c r="D18" s="1281"/>
      <c r="E18" s="621"/>
      <c r="F18" s="621"/>
      <c r="G18" s="621"/>
      <c r="H18" s="621"/>
      <c r="I18" s="621"/>
      <c r="J18" s="621"/>
      <c r="K18" s="621"/>
      <c r="L18" s="621"/>
      <c r="M18" s="621"/>
      <c r="N18" s="621"/>
    </row>
    <row r="19" spans="2:21">
      <c r="B19" s="1282" t="s">
        <v>702</v>
      </c>
      <c r="C19" s="1282" t="s">
        <v>287</v>
      </c>
      <c r="D19" s="1282" t="s">
        <v>703</v>
      </c>
      <c r="E19" s="1282" t="s">
        <v>289</v>
      </c>
      <c r="F19" s="1282" t="s">
        <v>290</v>
      </c>
      <c r="G19" s="1282" t="s">
        <v>291</v>
      </c>
      <c r="H19" s="1285" t="s">
        <v>292</v>
      </c>
      <c r="I19" s="644" t="s">
        <v>293</v>
      </c>
      <c r="J19" s="644" t="s">
        <v>294</v>
      </c>
      <c r="K19" s="644" t="s">
        <v>295</v>
      </c>
      <c r="L19" s="1283" t="s">
        <v>296</v>
      </c>
      <c r="M19" s="1282" t="s">
        <v>296</v>
      </c>
      <c r="N19" s="1282" t="s">
        <v>297</v>
      </c>
    </row>
    <row r="20" spans="2:21">
      <c r="B20" s="1282"/>
      <c r="C20" s="1282"/>
      <c r="D20" s="1282"/>
      <c r="E20" s="1282"/>
      <c r="F20" s="1282"/>
      <c r="G20" s="1282"/>
      <c r="H20" s="1285"/>
      <c r="I20" s="644" t="s">
        <v>704</v>
      </c>
      <c r="J20" s="644" t="s">
        <v>300</v>
      </c>
      <c r="K20" s="644" t="s">
        <v>299</v>
      </c>
      <c r="L20" s="1283"/>
      <c r="M20" s="1282"/>
      <c r="N20" s="1282"/>
    </row>
    <row r="21" spans="2:21">
      <c r="B21" s="1458"/>
      <c r="C21" s="1458"/>
      <c r="D21" s="677" t="s">
        <v>302</v>
      </c>
      <c r="E21" s="677" t="s">
        <v>303</v>
      </c>
      <c r="F21" s="677" t="s">
        <v>304</v>
      </c>
      <c r="G21" s="677" t="s">
        <v>305</v>
      </c>
      <c r="H21" s="678" t="s">
        <v>306</v>
      </c>
      <c r="I21" s="679" t="s">
        <v>307</v>
      </c>
      <c r="J21" s="679" t="s">
        <v>705</v>
      </c>
      <c r="K21" s="679" t="s">
        <v>706</v>
      </c>
      <c r="L21" s="680" t="s">
        <v>705</v>
      </c>
      <c r="M21" s="677" t="s">
        <v>706</v>
      </c>
      <c r="N21" s="677" t="s">
        <v>309</v>
      </c>
    </row>
    <row r="22" spans="2:21">
      <c r="B22" s="685" t="str">
        <f>+'EPC Liquidity Plan'!C20</f>
        <v>Eco Inshutech</v>
      </c>
      <c r="C22" s="639">
        <v>46174</v>
      </c>
      <c r="D22" s="1286">
        <v>189</v>
      </c>
      <c r="E22" s="641">
        <f>+'EPC Liquidity Plan'!D20/1000</f>
        <v>0.22578000000000001</v>
      </c>
      <c r="F22" s="640">
        <v>30</v>
      </c>
      <c r="G22" s="642">
        <f>+PPAN!L14</f>
        <v>1350</v>
      </c>
      <c r="H22" s="633">
        <f>+I22*E22</f>
        <v>248.358</v>
      </c>
      <c r="I22" s="643">
        <v>1100</v>
      </c>
      <c r="J22" s="635">
        <f>+K22*E22</f>
        <v>112.89</v>
      </c>
      <c r="K22" s="644">
        <v>500</v>
      </c>
      <c r="L22" s="920">
        <f>+M22*E22</f>
        <v>14.675700000000001</v>
      </c>
      <c r="M22" s="640">
        <v>65</v>
      </c>
      <c r="N22" s="623">
        <f>+'민감도분석_3,7'!G116</f>
        <v>8.5221869251512095E-2</v>
      </c>
      <c r="P22" s="6">
        <f t="shared" ref="P22:P24" si="12">+G22*E22</f>
        <v>304.803</v>
      </c>
      <c r="R22" s="6">
        <f t="shared" ref="R22:R24" si="13">+K22*E22</f>
        <v>112.89</v>
      </c>
      <c r="T22" s="684">
        <f t="shared" ref="T22:T24" si="14">+N22*E22</f>
        <v>1.9241393639606402E-2</v>
      </c>
    </row>
    <row r="23" spans="2:21">
      <c r="B23" s="685" t="str">
        <f>+'EPC Liquidity Plan'!C21</f>
        <v>Younggwang Industry</v>
      </c>
      <c r="C23" s="639">
        <v>46174</v>
      </c>
      <c r="D23" s="1282"/>
      <c r="E23" s="641">
        <f>+'EPC Liquidity Plan'!D21/1000</f>
        <v>0.54546499999999998</v>
      </c>
      <c r="F23" s="640">
        <v>30</v>
      </c>
      <c r="G23" s="642">
        <f>+PPAN!L15</f>
        <v>1408</v>
      </c>
      <c r="H23" s="633">
        <f t="shared" ref="H23:H24" si="15">+I23*E23</f>
        <v>600.01149999999996</v>
      </c>
      <c r="I23" s="643">
        <v>1100</v>
      </c>
      <c r="J23" s="635">
        <f t="shared" ref="J23:J24" si="16">+K23*E23</f>
        <v>272.73250000000002</v>
      </c>
      <c r="K23" s="644">
        <v>500</v>
      </c>
      <c r="L23" s="920">
        <f t="shared" ref="L23:L24" si="17">+M23*E23</f>
        <v>35.455224999999999</v>
      </c>
      <c r="M23" s="640">
        <v>65</v>
      </c>
      <c r="N23" s="623">
        <f>+'민감도분석_3,7'!G129</f>
        <v>9.1330033633903573E-2</v>
      </c>
      <c r="P23" s="6">
        <f t="shared" si="12"/>
        <v>768.01472000000001</v>
      </c>
      <c r="R23" s="6">
        <f t="shared" si="13"/>
        <v>272.73250000000002</v>
      </c>
      <c r="T23" s="684">
        <f t="shared" si="14"/>
        <v>4.9817336796117211E-2</v>
      </c>
    </row>
    <row r="24" spans="2:21">
      <c r="B24" s="685" t="str">
        <f>+'EPC Liquidity Plan'!C22</f>
        <v>MPM Trade</v>
      </c>
      <c r="C24" s="639">
        <v>46174</v>
      </c>
      <c r="D24" s="1282"/>
      <c r="E24" s="641">
        <f>+'EPC Liquidity Plan'!D22/1000</f>
        <v>0.21081999999999998</v>
      </c>
      <c r="F24" s="640">
        <v>30</v>
      </c>
      <c r="G24" s="642">
        <f>+PPAN!L16</f>
        <v>1453</v>
      </c>
      <c r="H24" s="633">
        <f t="shared" si="15"/>
        <v>231.90199999999999</v>
      </c>
      <c r="I24" s="643">
        <v>1100</v>
      </c>
      <c r="J24" s="635">
        <f t="shared" si="16"/>
        <v>105.41</v>
      </c>
      <c r="K24" s="644">
        <v>500</v>
      </c>
      <c r="L24" s="920">
        <f t="shared" si="17"/>
        <v>13.703299999999999</v>
      </c>
      <c r="M24" s="640">
        <v>65</v>
      </c>
      <c r="N24" s="623">
        <f>+'민감도분석_3,7'!G142</f>
        <v>9.569094168540726E-2</v>
      </c>
      <c r="P24" s="6">
        <f t="shared" si="12"/>
        <v>306.32145999999995</v>
      </c>
      <c r="R24" s="6">
        <f t="shared" si="13"/>
        <v>105.41</v>
      </c>
      <c r="T24" s="684">
        <f t="shared" si="14"/>
        <v>2.0173564326117558E-2</v>
      </c>
    </row>
    <row r="26" spans="2:21">
      <c r="B26" s="1457"/>
      <c r="C26" s="1457"/>
      <c r="D26" s="626">
        <v>189</v>
      </c>
      <c r="E26" s="703">
        <f>+SUM(E22:E24)</f>
        <v>0.98206499999999997</v>
      </c>
      <c r="F26" s="626">
        <v>30</v>
      </c>
      <c r="G26" s="627">
        <f>+Q26</f>
        <v>1404.3257625513586</v>
      </c>
      <c r="H26" s="627">
        <f>+SUM(H22:H24)</f>
        <v>1080.2715000000001</v>
      </c>
      <c r="I26" s="627">
        <v>1100</v>
      </c>
      <c r="J26" s="627">
        <f>+SUM(J22:J24)</f>
        <v>491.03250000000003</v>
      </c>
      <c r="K26" s="681">
        <f>+S26</f>
        <v>500.00000000000006</v>
      </c>
      <c r="L26" s="627">
        <f>+SUM(L22:L24)</f>
        <v>63.834224999999996</v>
      </c>
      <c r="M26" s="626">
        <v>65</v>
      </c>
      <c r="N26" s="623">
        <f>+U26</f>
        <v>9.0861902992002738E-2</v>
      </c>
      <c r="P26" s="647">
        <f>+SUM(P22:P24)</f>
        <v>1379.1391799999999</v>
      </c>
      <c r="Q26" s="6">
        <f>+P26/E26</f>
        <v>1404.3257625513586</v>
      </c>
      <c r="R26" s="647">
        <f>+SUM(R22:R24)</f>
        <v>491.03250000000003</v>
      </c>
      <c r="S26" s="6">
        <f>+R26/E26</f>
        <v>500.00000000000006</v>
      </c>
      <c r="T26" s="647">
        <f>+SUM(T22:T24)</f>
        <v>8.9232294761841163E-2</v>
      </c>
      <c r="U26" s="702">
        <f>+T26/E26</f>
        <v>9.0861902992002738E-2</v>
      </c>
    </row>
    <row r="27" spans="2:21">
      <c r="E27" s="6" t="b">
        <f>+PPAN!E17/1000=E26</f>
        <v>1</v>
      </c>
    </row>
    <row r="29" spans="2:21" ht="24" customHeight="1">
      <c r="B29" s="1281"/>
      <c r="C29" s="1281"/>
      <c r="D29" s="1281"/>
      <c r="E29" s="621"/>
      <c r="F29" s="621"/>
      <c r="G29" s="621"/>
      <c r="H29" s="621"/>
      <c r="I29" s="621"/>
      <c r="J29" s="621"/>
      <c r="K29" s="621"/>
      <c r="L29" s="621"/>
      <c r="M29" s="621"/>
      <c r="N29" s="621"/>
    </row>
    <row r="30" spans="2:21">
      <c r="B30" s="1282" t="s">
        <v>702</v>
      </c>
      <c r="C30" s="1282" t="s">
        <v>287</v>
      </c>
      <c r="D30" s="1282" t="s">
        <v>703</v>
      </c>
      <c r="E30" s="1282" t="s">
        <v>289</v>
      </c>
      <c r="F30" s="1282" t="s">
        <v>290</v>
      </c>
      <c r="G30" s="1282" t="s">
        <v>291</v>
      </c>
      <c r="H30" s="1285" t="s">
        <v>292</v>
      </c>
      <c r="I30" s="644" t="s">
        <v>293</v>
      </c>
      <c r="J30" s="644" t="s">
        <v>294</v>
      </c>
      <c r="K30" s="644" t="s">
        <v>295</v>
      </c>
      <c r="L30" s="1283" t="s">
        <v>296</v>
      </c>
      <c r="M30" s="1282" t="s">
        <v>296</v>
      </c>
      <c r="N30" s="1282" t="s">
        <v>297</v>
      </c>
    </row>
    <row r="31" spans="2:21">
      <c r="B31" s="1282"/>
      <c r="C31" s="1282"/>
      <c r="D31" s="1282"/>
      <c r="E31" s="1282"/>
      <c r="F31" s="1282"/>
      <c r="G31" s="1282"/>
      <c r="H31" s="1285"/>
      <c r="I31" s="644" t="s">
        <v>704</v>
      </c>
      <c r="J31" s="644" t="s">
        <v>300</v>
      </c>
      <c r="K31" s="644" t="s">
        <v>299</v>
      </c>
      <c r="L31" s="1283"/>
      <c r="M31" s="1282"/>
      <c r="N31" s="1282"/>
    </row>
    <row r="32" spans="2:21">
      <c r="B32" s="1458"/>
      <c r="C32" s="1458"/>
      <c r="D32" s="677" t="s">
        <v>302</v>
      </c>
      <c r="E32" s="677" t="s">
        <v>303</v>
      </c>
      <c r="F32" s="677" t="s">
        <v>304</v>
      </c>
      <c r="G32" s="677" t="s">
        <v>305</v>
      </c>
      <c r="H32" s="678" t="s">
        <v>306</v>
      </c>
      <c r="I32" s="679" t="s">
        <v>307</v>
      </c>
      <c r="J32" s="679" t="s">
        <v>306</v>
      </c>
      <c r="K32" s="679" t="s">
        <v>307</v>
      </c>
      <c r="L32" s="680" t="s">
        <v>307</v>
      </c>
      <c r="M32" s="677" t="s">
        <v>308</v>
      </c>
      <c r="N32" s="677" t="s">
        <v>309</v>
      </c>
    </row>
    <row r="33" spans="2:21">
      <c r="B33" s="685" t="str">
        <f>+'CAPEX_Amount to be paid in 2025'!C5</f>
        <v>Jinyoung Metal Factory_2</v>
      </c>
      <c r="C33" s="639"/>
      <c r="D33" s="1286">
        <v>189</v>
      </c>
      <c r="E33" s="641">
        <f>+'CAPEX_Amount to be paid in 2025'!E5/1000</f>
        <v>0.24068999999999999</v>
      </c>
      <c r="F33" s="640">
        <v>30</v>
      </c>
      <c r="G33" s="642">
        <v>1403</v>
      </c>
      <c r="H33" s="633">
        <f>+I33*E33</f>
        <v>264.75899999999996</v>
      </c>
      <c r="I33" s="643">
        <v>1100</v>
      </c>
      <c r="J33" s="635">
        <f>+K33*E33</f>
        <v>84.241500000000002</v>
      </c>
      <c r="K33" s="644">
        <v>350</v>
      </c>
      <c r="L33" s="645">
        <v>77</v>
      </c>
      <c r="M33" s="640">
        <v>55</v>
      </c>
      <c r="N33" s="623">
        <v>0.1009</v>
      </c>
      <c r="P33" s="6">
        <f t="shared" ref="P33:P45" si="18">+G33*E33</f>
        <v>337.68806999999998</v>
      </c>
      <c r="R33" s="6">
        <f t="shared" ref="R33:R45" si="19">+K33*E33</f>
        <v>84.241500000000002</v>
      </c>
      <c r="T33" s="684">
        <f t="shared" ref="T33:T39" si="20">+N33*E33</f>
        <v>2.4285621E-2</v>
      </c>
    </row>
    <row r="34" spans="2:21">
      <c r="B34" s="685" t="str">
        <f>+'CAPEX_Amount to be paid in 2025'!C6</f>
        <v>Kairos</v>
      </c>
      <c r="C34" s="639"/>
      <c r="D34" s="1282"/>
      <c r="E34" s="641">
        <f>+'CAPEX_Amount to be paid in 2025'!E6/1000</f>
        <v>0.38624000000000003</v>
      </c>
      <c r="F34" s="640">
        <v>30</v>
      </c>
      <c r="G34" s="642">
        <v>1351</v>
      </c>
      <c r="H34" s="633">
        <f t="shared" ref="H34:H39" si="21">+I34*E34</f>
        <v>424.86400000000003</v>
      </c>
      <c r="I34" s="643">
        <v>1100</v>
      </c>
      <c r="J34" s="635">
        <f t="shared" ref="J34:J39" si="22">+K34*E34</f>
        <v>135.184</v>
      </c>
      <c r="K34" s="644">
        <v>350</v>
      </c>
      <c r="L34" s="645">
        <v>77</v>
      </c>
      <c r="M34" s="640">
        <v>57</v>
      </c>
      <c r="N34" s="623">
        <v>9.5399999999999999E-2</v>
      </c>
      <c r="P34" s="6">
        <f t="shared" si="18"/>
        <v>521.81024000000002</v>
      </c>
      <c r="R34" s="6">
        <f t="shared" si="19"/>
        <v>135.184</v>
      </c>
      <c r="T34" s="684">
        <f t="shared" si="20"/>
        <v>3.6847296000000002E-2</v>
      </c>
    </row>
    <row r="35" spans="2:21">
      <c r="B35" s="685" t="str">
        <f>+'CAPEX_Amount to be paid in 2025'!C7</f>
        <v>Doori Industry</v>
      </c>
      <c r="C35" s="639"/>
      <c r="D35" s="1282"/>
      <c r="E35" s="641">
        <f>+'CAPEX_Amount to be paid in 2025'!E7/1000</f>
        <v>0.21</v>
      </c>
      <c r="F35" s="640">
        <v>30</v>
      </c>
      <c r="G35" s="642">
        <v>1399</v>
      </c>
      <c r="H35" s="633">
        <f t="shared" si="21"/>
        <v>231</v>
      </c>
      <c r="I35" s="643">
        <v>1100</v>
      </c>
      <c r="J35" s="635">
        <f t="shared" si="22"/>
        <v>94.5</v>
      </c>
      <c r="K35" s="644">
        <v>450</v>
      </c>
      <c r="L35" s="645">
        <v>77</v>
      </c>
      <c r="M35" s="640">
        <v>55</v>
      </c>
      <c r="N35" s="623">
        <v>9.35E-2</v>
      </c>
      <c r="P35" s="6">
        <f t="shared" si="18"/>
        <v>293.78999999999996</v>
      </c>
      <c r="R35" s="6">
        <f t="shared" si="19"/>
        <v>94.5</v>
      </c>
      <c r="T35" s="684">
        <f t="shared" si="20"/>
        <v>1.9635E-2</v>
      </c>
    </row>
    <row r="36" spans="2:21">
      <c r="B36" s="685" t="str">
        <f>+'CAPEX_Amount to be paid in 2025'!C11</f>
        <v>Sambo Green Filter</v>
      </c>
      <c r="C36" s="639"/>
      <c r="D36" s="1282"/>
      <c r="E36" s="641">
        <f>+'CAPEX_Amount to be paid in 2025'!E11/1000</f>
        <v>0.17100000000000001</v>
      </c>
      <c r="F36" s="640">
        <v>30</v>
      </c>
      <c r="G36" s="642">
        <v>1417</v>
      </c>
      <c r="H36" s="633">
        <f t="shared" si="21"/>
        <v>188.10000000000002</v>
      </c>
      <c r="I36" s="643">
        <v>1100</v>
      </c>
      <c r="J36" s="635">
        <f t="shared" si="22"/>
        <v>76.95</v>
      </c>
      <c r="K36" s="644">
        <v>450</v>
      </c>
      <c r="L36" s="645">
        <v>77</v>
      </c>
      <c r="M36" s="640">
        <v>55</v>
      </c>
      <c r="N36" s="623">
        <v>9.5200000000000007E-2</v>
      </c>
      <c r="P36" s="6">
        <f t="shared" si="18"/>
        <v>242.30700000000002</v>
      </c>
      <c r="R36" s="6">
        <f t="shared" si="19"/>
        <v>76.95</v>
      </c>
      <c r="T36" s="684">
        <f t="shared" si="20"/>
        <v>1.6279200000000004E-2</v>
      </c>
    </row>
    <row r="37" spans="2:21">
      <c r="B37" s="685" t="str">
        <f>+'CAPEX_Amount to be paid in 2025'!C8</f>
        <v>Geumjeong Techno</v>
      </c>
      <c r="C37" s="639"/>
      <c r="D37" s="1282"/>
      <c r="E37" s="641">
        <f>+'CAPEX_Amount to be paid in 2025'!E8/1000</f>
        <v>0.122</v>
      </c>
      <c r="F37" s="640">
        <v>30</v>
      </c>
      <c r="G37" s="642">
        <v>1383</v>
      </c>
      <c r="H37" s="633">
        <f t="shared" si="21"/>
        <v>134.19999999999999</v>
      </c>
      <c r="I37" s="643">
        <v>1100</v>
      </c>
      <c r="J37" s="635">
        <f t="shared" si="22"/>
        <v>54.9</v>
      </c>
      <c r="K37" s="644">
        <v>450</v>
      </c>
      <c r="L37" s="645">
        <v>77</v>
      </c>
      <c r="M37" s="640">
        <v>55</v>
      </c>
      <c r="N37" s="623">
        <v>9.1899999999999996E-2</v>
      </c>
      <c r="P37" s="6">
        <f t="shared" si="18"/>
        <v>168.726</v>
      </c>
      <c r="R37" s="6">
        <f t="shared" si="19"/>
        <v>54.9</v>
      </c>
      <c r="T37" s="684">
        <f t="shared" si="20"/>
        <v>1.1211799999999999E-2</v>
      </c>
    </row>
    <row r="38" spans="2:21">
      <c r="B38" s="685" t="str">
        <f>+'CAPEX_Amount to be paid in 2025'!C13</f>
        <v>Shincheon Food</v>
      </c>
      <c r="C38" s="639"/>
      <c r="D38" s="1282"/>
      <c r="E38" s="641">
        <f>+'CAPEX_Amount to be paid in 2025'!E13/1000</f>
        <v>0.23400000000000001</v>
      </c>
      <c r="F38" s="640">
        <v>30</v>
      </c>
      <c r="G38" s="642">
        <v>1402</v>
      </c>
      <c r="H38" s="633">
        <f t="shared" si="21"/>
        <v>257.40000000000003</v>
      </c>
      <c r="I38" s="643">
        <v>1100</v>
      </c>
      <c r="J38" s="635">
        <f t="shared" si="22"/>
        <v>105.30000000000001</v>
      </c>
      <c r="K38" s="644">
        <v>450</v>
      </c>
      <c r="L38" s="645">
        <v>77</v>
      </c>
      <c r="M38" s="640">
        <v>55</v>
      </c>
      <c r="N38" s="623">
        <v>9.3799999999999994E-2</v>
      </c>
      <c r="P38" s="6">
        <f t="shared" si="18"/>
        <v>328.06800000000004</v>
      </c>
      <c r="R38" s="6">
        <f t="shared" si="19"/>
        <v>105.30000000000001</v>
      </c>
      <c r="T38" s="684">
        <f t="shared" si="20"/>
        <v>2.1949199999999999E-2</v>
      </c>
    </row>
    <row r="39" spans="2:21">
      <c r="B39" s="698" t="str">
        <f>+'CAPEX_Amount to be paid in 2025'!C14</f>
        <v>Giga steel</v>
      </c>
      <c r="C39" s="688"/>
      <c r="D39" s="1459"/>
      <c r="E39" s="689">
        <f>+'CAPEX_Amount to be paid in 2025'!E14/1000</f>
        <v>0.5</v>
      </c>
      <c r="F39" s="690">
        <v>30</v>
      </c>
      <c r="G39" s="691">
        <v>1400</v>
      </c>
      <c r="H39" s="692">
        <f t="shared" si="21"/>
        <v>550</v>
      </c>
      <c r="I39" s="693">
        <v>1100</v>
      </c>
      <c r="J39" s="694">
        <f t="shared" si="22"/>
        <v>225</v>
      </c>
      <c r="K39" s="695">
        <v>450</v>
      </c>
      <c r="L39" s="696">
        <v>77</v>
      </c>
      <c r="M39" s="690">
        <v>55</v>
      </c>
      <c r="N39" s="697">
        <v>9.4600000000000004E-2</v>
      </c>
      <c r="P39" s="6">
        <f t="shared" si="18"/>
        <v>700</v>
      </c>
      <c r="R39" s="6">
        <f t="shared" si="19"/>
        <v>225</v>
      </c>
      <c r="T39" s="684">
        <f t="shared" si="20"/>
        <v>4.7300000000000002E-2</v>
      </c>
    </row>
    <row r="40" spans="2:21">
      <c r="B40" s="685" t="str">
        <f>+'CAPEX_Amount to be paid in 2025'!C4</f>
        <v>Jinyoung Metal Factory_1</v>
      </c>
      <c r="C40" s="639"/>
      <c r="D40" s="1460">
        <v>189</v>
      </c>
      <c r="E40" s="641">
        <f>+'CAPEX_Amount to be paid in 2025'!E4/1000</f>
        <v>0.81720999999999999</v>
      </c>
      <c r="F40" s="640">
        <v>30</v>
      </c>
      <c r="G40" s="642">
        <v>1427</v>
      </c>
      <c r="H40" s="633">
        <f>+I40*E40</f>
        <v>898.93100000000004</v>
      </c>
      <c r="I40" s="643">
        <v>1100</v>
      </c>
      <c r="J40" s="635">
        <f>+K40*E40</f>
        <v>286.02350000000001</v>
      </c>
      <c r="K40" s="644">
        <v>350</v>
      </c>
      <c r="L40" s="645">
        <v>77</v>
      </c>
      <c r="M40" s="640">
        <v>54</v>
      </c>
      <c r="N40" s="623">
        <v>0.1037</v>
      </c>
      <c r="P40" s="6">
        <f t="shared" si="18"/>
        <v>1166.15867</v>
      </c>
      <c r="R40" s="6">
        <f t="shared" si="19"/>
        <v>286.02350000000001</v>
      </c>
      <c r="T40" s="6">
        <f t="shared" ref="T40:T45" si="23">+N40*E40</f>
        <v>8.4744677000000004E-2</v>
      </c>
    </row>
    <row r="41" spans="2:21">
      <c r="B41" s="685" t="str">
        <f>+'CAPEX_Amount to be paid in 2025'!C10</f>
        <v>Joongang Special Paper</v>
      </c>
      <c r="C41" s="639"/>
      <c r="D41" s="1282"/>
      <c r="E41" s="641">
        <f>+'CAPEX_Amount to be paid in 2025'!E10/1000</f>
        <v>0.438</v>
      </c>
      <c r="F41" s="640">
        <v>30</v>
      </c>
      <c r="G41" s="642">
        <v>1430</v>
      </c>
      <c r="H41" s="633">
        <f>+I41*E41</f>
        <v>481.8</v>
      </c>
      <c r="I41" s="643">
        <v>1100</v>
      </c>
      <c r="J41" s="635">
        <f>+K41*E41</f>
        <v>197.1</v>
      </c>
      <c r="K41" s="644">
        <v>450</v>
      </c>
      <c r="L41" s="645">
        <v>78</v>
      </c>
      <c r="M41" s="640">
        <v>54</v>
      </c>
      <c r="N41" s="623">
        <v>9.6799999999999997E-2</v>
      </c>
      <c r="P41" s="6">
        <f t="shared" si="18"/>
        <v>626.34</v>
      </c>
      <c r="R41" s="6">
        <f t="shared" si="19"/>
        <v>197.1</v>
      </c>
      <c r="T41" s="6">
        <f t="shared" si="23"/>
        <v>4.2398399999999996E-2</v>
      </c>
    </row>
    <row r="42" spans="2:21">
      <c r="B42" s="685" t="str">
        <f>+'CAPEX_Amount to be paid in 2025'!C12</f>
        <v>Fusei Menix 1 &amp; 2</v>
      </c>
      <c r="C42" s="639"/>
      <c r="D42" s="1282"/>
      <c r="E42" s="641">
        <f>+'CAPEX_Amount to be paid in 2025'!E12/1000</f>
        <v>0.52700000000000002</v>
      </c>
      <c r="F42" s="640">
        <v>30</v>
      </c>
      <c r="G42" s="642">
        <v>1398</v>
      </c>
      <c r="H42" s="633">
        <f t="shared" ref="H42:H45" si="24">+I42*E42</f>
        <v>579.70000000000005</v>
      </c>
      <c r="I42" s="643">
        <v>1100</v>
      </c>
      <c r="J42" s="635">
        <f t="shared" ref="J42:J45" si="25">+K42*E42</f>
        <v>237.15</v>
      </c>
      <c r="K42" s="644">
        <v>450</v>
      </c>
      <c r="L42" s="645">
        <v>78</v>
      </c>
      <c r="M42" s="640">
        <v>56</v>
      </c>
      <c r="N42" s="623">
        <v>9.3200000000000005E-2</v>
      </c>
      <c r="P42" s="6">
        <f t="shared" si="18"/>
        <v>736.74599999999998</v>
      </c>
      <c r="R42" s="6">
        <f t="shared" si="19"/>
        <v>237.15</v>
      </c>
      <c r="T42" s="6">
        <f t="shared" si="23"/>
        <v>4.9116400000000004E-2</v>
      </c>
    </row>
    <row r="43" spans="2:21">
      <c r="B43" s="685" t="str">
        <f>+'CAPEX_Amount to be paid in 2025'!C15</f>
        <v>Mijin Precision</v>
      </c>
      <c r="C43" s="639"/>
      <c r="D43" s="1282"/>
      <c r="E43" s="641">
        <f>+'CAPEX_Amount to be paid in 2025'!E15/1000</f>
        <v>0.127</v>
      </c>
      <c r="F43" s="640">
        <v>30</v>
      </c>
      <c r="G43" s="642">
        <v>1380</v>
      </c>
      <c r="H43" s="633">
        <f t="shared" si="24"/>
        <v>139.69999999999999</v>
      </c>
      <c r="I43" s="643">
        <v>1100</v>
      </c>
      <c r="J43" s="635">
        <f t="shared" si="25"/>
        <v>57.15</v>
      </c>
      <c r="K43" s="644">
        <v>450</v>
      </c>
      <c r="L43" s="645">
        <v>77</v>
      </c>
      <c r="M43" s="640">
        <v>56</v>
      </c>
      <c r="N43" s="623">
        <v>9.1499999999999998E-2</v>
      </c>
      <c r="P43" s="6">
        <f t="shared" si="18"/>
        <v>175.26</v>
      </c>
      <c r="R43" s="6">
        <f t="shared" si="19"/>
        <v>57.15</v>
      </c>
      <c r="T43" s="6">
        <f t="shared" si="23"/>
        <v>1.1620500000000001E-2</v>
      </c>
    </row>
    <row r="44" spans="2:21">
      <c r="B44" s="686" t="str">
        <f>+'CAPEX_Amount to be paid in 2025'!C17</f>
        <v>Unitech Korea</v>
      </c>
      <c r="C44" s="639"/>
      <c r="D44" s="1282"/>
      <c r="E44" s="641">
        <f>+'CAPEX_Amount to be paid in 2025'!E17/1000</f>
        <v>0.26900000000000002</v>
      </c>
      <c r="F44" s="640">
        <v>30</v>
      </c>
      <c r="G44" s="642">
        <v>1410</v>
      </c>
      <c r="H44" s="633">
        <f>+I44*E44</f>
        <v>295.90000000000003</v>
      </c>
      <c r="I44" s="643">
        <v>1100</v>
      </c>
      <c r="J44" s="635">
        <f>+K44*E44</f>
        <v>134.5</v>
      </c>
      <c r="K44" s="644">
        <v>500</v>
      </c>
      <c r="L44" s="645">
        <v>78</v>
      </c>
      <c r="M44" s="640">
        <v>55</v>
      </c>
      <c r="N44" s="623">
        <v>9.0800000000000006E-2</v>
      </c>
      <c r="P44" s="6">
        <f>+G44*E44</f>
        <v>379.29</v>
      </c>
      <c r="R44" s="6">
        <f>+K44*E44</f>
        <v>134.5</v>
      </c>
      <c r="T44" s="6">
        <f>+N44*E44</f>
        <v>2.4425200000000005E-2</v>
      </c>
    </row>
    <row r="45" spans="2:21">
      <c r="B45" s="685" t="str">
        <f>+'CAPEX_Amount to be paid in 2025'!C16</f>
        <v>Wolchool Metal</v>
      </c>
      <c r="C45" s="639"/>
      <c r="D45" s="1282"/>
      <c r="E45" s="641">
        <f>+'CAPEX_Amount to be paid in 2025'!E16/1000</f>
        <v>0.161</v>
      </c>
      <c r="F45" s="640">
        <v>30</v>
      </c>
      <c r="G45" s="642">
        <v>1437</v>
      </c>
      <c r="H45" s="633">
        <f t="shared" si="24"/>
        <v>177.1</v>
      </c>
      <c r="I45" s="643">
        <v>1100</v>
      </c>
      <c r="J45" s="635">
        <f t="shared" si="25"/>
        <v>72.45</v>
      </c>
      <c r="K45" s="644">
        <v>450</v>
      </c>
      <c r="L45" s="645">
        <v>78</v>
      </c>
      <c r="M45" s="640">
        <v>54</v>
      </c>
      <c r="N45" s="623">
        <v>9.6699999999999994E-2</v>
      </c>
      <c r="P45" s="6">
        <f t="shared" si="18"/>
        <v>231.357</v>
      </c>
      <c r="R45" s="6">
        <f t="shared" si="19"/>
        <v>72.45</v>
      </c>
      <c r="T45" s="6">
        <f t="shared" si="23"/>
        <v>1.55687E-2</v>
      </c>
    </row>
    <row r="46" spans="2:21" ht="8.25" customHeight="1">
      <c r="B46" s="687"/>
      <c r="C46" s="624"/>
      <c r="D46" s="701"/>
      <c r="E46" s="624"/>
      <c r="F46" s="624"/>
      <c r="G46" s="624"/>
      <c r="H46" s="624"/>
      <c r="I46" s="624"/>
      <c r="J46" s="624"/>
      <c r="K46" s="624"/>
      <c r="L46" s="625"/>
      <c r="M46" s="625"/>
      <c r="N46" s="624"/>
    </row>
    <row r="47" spans="2:21">
      <c r="B47" s="1284" t="s">
        <v>310</v>
      </c>
      <c r="C47" s="1284"/>
      <c r="D47" s="626">
        <v>189</v>
      </c>
      <c r="E47" s="646">
        <f>+E39+E38+E36+E41+E37+E35+E34+E33</f>
        <v>2.3019299999999996</v>
      </c>
      <c r="F47" s="626">
        <v>30</v>
      </c>
      <c r="G47" s="627">
        <f>+Q47</f>
        <v>1126.1807743936611</v>
      </c>
      <c r="H47" s="627">
        <f>+H39+H38+H36+H41+H37+H35+H34+H33</f>
        <v>2532.1230000000005</v>
      </c>
      <c r="I47" s="627">
        <v>1100</v>
      </c>
      <c r="J47" s="627">
        <f>+J39+J38+J36+J41+J37+J35+J34+J33</f>
        <v>973.17549999999994</v>
      </c>
      <c r="K47" s="681">
        <f>+S47</f>
        <v>337.14122497208865</v>
      </c>
      <c r="L47" s="626">
        <v>77</v>
      </c>
      <c r="M47" s="626">
        <v>55</v>
      </c>
      <c r="N47" s="623">
        <f>+U47</f>
        <v>7.7112734531458393E-2</v>
      </c>
      <c r="P47" s="646">
        <f>+SUM(P33:P39)</f>
        <v>2592.3893099999996</v>
      </c>
      <c r="Q47" s="6">
        <f>+P47/E47</f>
        <v>1126.1807743936611</v>
      </c>
      <c r="R47" s="646">
        <f>+SUM(R33:R39)</f>
        <v>776.07549999999992</v>
      </c>
      <c r="S47" s="6">
        <f>+R47/E47</f>
        <v>337.14122497208865</v>
      </c>
      <c r="T47" s="646">
        <f>+SUM(T33:T39)</f>
        <v>0.17750811699999999</v>
      </c>
      <c r="U47" s="6">
        <f>+T47/E47</f>
        <v>7.7112734531458393E-2</v>
      </c>
    </row>
    <row r="49" spans="2:21">
      <c r="B49" s="1457"/>
      <c r="C49" s="1457"/>
      <c r="D49" s="626">
        <v>189</v>
      </c>
      <c r="E49" s="703">
        <f>+SUM(E33:E45)</f>
        <v>4.2031400000000003</v>
      </c>
      <c r="F49" s="626">
        <v>30</v>
      </c>
      <c r="G49" s="627">
        <f>+Q49</f>
        <v>1405.5065926902266</v>
      </c>
      <c r="H49" s="627">
        <f>+SUM(H33:H45)</f>
        <v>4623.4540000000006</v>
      </c>
      <c r="I49" s="627">
        <v>1100</v>
      </c>
      <c r="J49" s="627">
        <f>+SUM(J33:J45)</f>
        <v>1760.4490000000001</v>
      </c>
      <c r="K49" s="681">
        <f>+S49</f>
        <v>418.84139000842225</v>
      </c>
      <c r="L49" s="626">
        <v>77</v>
      </c>
      <c r="M49" s="626">
        <v>55</v>
      </c>
      <c r="N49" s="623">
        <f>+U49</f>
        <v>9.6447416455316723E-2</v>
      </c>
      <c r="P49" s="647">
        <f>+SUM(P33:P45)</f>
        <v>5907.5409799999998</v>
      </c>
      <c r="Q49" s="6">
        <f>+P49/E49</f>
        <v>1405.5065926902266</v>
      </c>
      <c r="R49" s="647">
        <f>+SUM(R33:R45)</f>
        <v>1760.4490000000001</v>
      </c>
      <c r="S49" s="6">
        <f>+R49/E49</f>
        <v>418.84139000842225</v>
      </c>
      <c r="T49" s="647">
        <f>+SUM(T33:T45)</f>
        <v>0.40538199399999997</v>
      </c>
      <c r="U49" s="702">
        <f>+T49/E49</f>
        <v>9.6447416455316723E-2</v>
      </c>
    </row>
    <row r="51" spans="2:21">
      <c r="B51" s="1284" t="s">
        <v>708</v>
      </c>
      <c r="C51" s="1284"/>
      <c r="D51" s="626">
        <v>189</v>
      </c>
      <c r="E51" s="704">
        <f>+SUM(E33:E39)</f>
        <v>1.8639299999999999</v>
      </c>
      <c r="F51" s="626">
        <v>30</v>
      </c>
      <c r="G51" s="627">
        <f>+SUM(G33:G39)</f>
        <v>9755</v>
      </c>
      <c r="H51" s="627">
        <f>+SUM(H33:H39)</f>
        <v>2050.3230000000003</v>
      </c>
      <c r="I51" s="627">
        <v>1100</v>
      </c>
      <c r="J51" s="627">
        <f>+SUM(J33:J39)</f>
        <v>776.07549999999992</v>
      </c>
      <c r="K51" s="681">
        <f>+S51</f>
        <v>416.36515319781319</v>
      </c>
      <c r="L51" s="626">
        <v>77</v>
      </c>
      <c r="M51" s="626">
        <v>55</v>
      </c>
      <c r="N51" s="623">
        <f>+U51</f>
        <v>9.5233252858208203E-2</v>
      </c>
      <c r="P51" s="6">
        <f>+SUM(P33:P39)</f>
        <v>2592.3893099999996</v>
      </c>
      <c r="Q51" s="6">
        <f>+P51/$E$51</f>
        <v>1390.8190275385878</v>
      </c>
      <c r="R51" s="6">
        <f>+SUM(R33:R39)</f>
        <v>776.07549999999992</v>
      </c>
      <c r="S51" s="6">
        <f>+R51/$E$51</f>
        <v>416.36515319781319</v>
      </c>
      <c r="T51" s="6">
        <f>+SUM(T33:T39)</f>
        <v>0.17750811699999999</v>
      </c>
      <c r="U51" s="702">
        <f>+T51/$E$51</f>
        <v>9.5233252858208203E-2</v>
      </c>
    </row>
    <row r="52" spans="2:21">
      <c r="B52" s="1284" t="s">
        <v>709</v>
      </c>
      <c r="C52" s="1284"/>
      <c r="D52" s="626">
        <v>189</v>
      </c>
      <c r="E52" s="704">
        <f>+SUM(E40:E45)</f>
        <v>2.33921</v>
      </c>
      <c r="F52" s="626">
        <v>30</v>
      </c>
      <c r="G52" s="627">
        <f>+SUM(G40:G45)</f>
        <v>8482</v>
      </c>
      <c r="H52" s="627">
        <f>+SUM(H40:H45)</f>
        <v>2573.1309999999999</v>
      </c>
      <c r="I52" s="627">
        <v>1100</v>
      </c>
      <c r="J52" s="627">
        <f>+SUM(J40:J45)</f>
        <v>984.37350000000004</v>
      </c>
      <c r="K52" s="681">
        <f>+S52</f>
        <v>420.81450575194191</v>
      </c>
      <c r="L52" s="626">
        <v>77</v>
      </c>
      <c r="M52" s="626">
        <v>55</v>
      </c>
      <c r="N52" s="623">
        <f>+U52</f>
        <v>9.7414886649766372E-2</v>
      </c>
      <c r="P52" s="6">
        <f>+SUM(P40:P45)</f>
        <v>3315.1516700000002</v>
      </c>
      <c r="Q52" s="6">
        <f>+P52/$E$52</f>
        <v>1417.2099426729537</v>
      </c>
      <c r="R52" s="6">
        <f>+SUM(R40:R45)</f>
        <v>984.37350000000004</v>
      </c>
      <c r="S52" s="6">
        <f>+R52/$E$52</f>
        <v>420.81450575194191</v>
      </c>
      <c r="T52" s="6">
        <f>+SUM(T40:T45)</f>
        <v>0.227873877</v>
      </c>
      <c r="U52" s="702">
        <f>+T52/$E$52</f>
        <v>9.7414886649766372E-2</v>
      </c>
    </row>
    <row r="54" spans="2:21">
      <c r="H54" s="212"/>
    </row>
    <row r="55" spans="2:21">
      <c r="H55" s="212"/>
    </row>
    <row r="59" spans="2:21">
      <c r="J59" s="203"/>
    </row>
  </sheetData>
  <mergeCells count="43">
    <mergeCell ref="B51:C51"/>
    <mergeCell ref="B52:C52"/>
    <mergeCell ref="M30:M31"/>
    <mergeCell ref="N30:N31"/>
    <mergeCell ref="B47:C47"/>
    <mergeCell ref="D30:D31"/>
    <mergeCell ref="E30:E31"/>
    <mergeCell ref="F30:F31"/>
    <mergeCell ref="G30:G31"/>
    <mergeCell ref="H30:H31"/>
    <mergeCell ref="C30:C32"/>
    <mergeCell ref="B30:B32"/>
    <mergeCell ref="L30:L31"/>
    <mergeCell ref="B29:D29"/>
    <mergeCell ref="B49:C49"/>
    <mergeCell ref="D33:D39"/>
    <mergeCell ref="D40:D45"/>
    <mergeCell ref="M19:M20"/>
    <mergeCell ref="B26:C26"/>
    <mergeCell ref="B18:D18"/>
    <mergeCell ref="B19:B21"/>
    <mergeCell ref="C19:C21"/>
    <mergeCell ref="N19:N20"/>
    <mergeCell ref="D22:D24"/>
    <mergeCell ref="E19:E20"/>
    <mergeCell ref="F19:F20"/>
    <mergeCell ref="G19:G20"/>
    <mergeCell ref="H19:H20"/>
    <mergeCell ref="L19:L20"/>
    <mergeCell ref="D19:D20"/>
    <mergeCell ref="B2:D2"/>
    <mergeCell ref="M3:M4"/>
    <mergeCell ref="N3:N4"/>
    <mergeCell ref="D6:D13"/>
    <mergeCell ref="B15:C15"/>
    <mergeCell ref="E3:E4"/>
    <mergeCell ref="F3:F4"/>
    <mergeCell ref="G3:G4"/>
    <mergeCell ref="H3:H4"/>
    <mergeCell ref="L3:L4"/>
    <mergeCell ref="B3:B5"/>
    <mergeCell ref="C3:C5"/>
    <mergeCell ref="D3:D4"/>
  </mergeCells>
  <phoneticPr fontId="9" type="noConversion"/>
  <pageMargins left="0.75" right="0.75" top="1" bottom="1" header="0.5" footer="0.5"/>
  <pageSetup paperSize="9" firstPageNumber="0" fitToWidth="0" fitToHeight="0" pageOrder="overThenDown"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3C93F-2481-419A-90A8-E744704637C1}">
  <dimension ref="B2:Y54"/>
  <sheetViews>
    <sheetView showGridLines="0" workbookViewId="0">
      <selection activeCell="C36" sqref="B22:C54"/>
    </sheetView>
  </sheetViews>
  <sheetFormatPr defaultColWidth="9.140625" defaultRowHeight="12.75"/>
  <cols>
    <col min="1" max="1" width="1.7109375" style="215" customWidth="1"/>
    <col min="2" max="2" width="33.28515625" style="215" customWidth="1"/>
    <col min="3" max="6" width="14.28515625" style="517" customWidth="1"/>
    <col min="7" max="9" width="12.42578125" style="517" customWidth="1"/>
    <col min="10" max="10" width="23.28515625" style="517" customWidth="1"/>
    <col min="11" max="11" width="33.5703125" bestFit="1" customWidth="1"/>
    <col min="12" max="12" width="1.7109375" customWidth="1"/>
    <col min="13" max="17" width="12.42578125" style="517" customWidth="1"/>
    <col min="18" max="25" width="9.140625" style="517"/>
    <col min="26" max="16384" width="9.140625" style="215"/>
  </cols>
  <sheetData>
    <row r="2" spans="2:25" ht="13.5" customHeight="1">
      <c r="B2" s="1470" t="s">
        <v>753</v>
      </c>
      <c r="C2" s="1469" t="str">
        <f>+'SPV별 DEVEX 현황'!D2</f>
        <v>Capacity (kWp)</v>
      </c>
      <c r="D2" s="1469" t="str">
        <f>+'SPV별 DEVEX 현황'!E2</f>
        <v>DEVEX/MW</v>
      </c>
      <c r="E2" s="1469" t="str">
        <f>+'SPV별 DEVEX 현황'!K2</f>
        <v>Total</v>
      </c>
      <c r="F2" s="1466" t="s">
        <v>754</v>
      </c>
      <c r="G2" s="1087" t="s">
        <v>755</v>
      </c>
      <c r="H2" s="1087" t="s">
        <v>719</v>
      </c>
      <c r="I2" s="1087" t="s">
        <v>370</v>
      </c>
      <c r="J2" s="1087" t="s">
        <v>371</v>
      </c>
      <c r="K2" s="1468" t="s">
        <v>756</v>
      </c>
      <c r="L2" s="1093"/>
    </row>
    <row r="3" spans="2:25" s="216" customFormat="1" ht="13.5">
      <c r="B3" s="1470"/>
      <c r="C3" s="1469"/>
      <c r="D3" s="1469"/>
      <c r="E3" s="1469"/>
      <c r="F3" s="1467"/>
      <c r="G3" s="1062">
        <v>0.3</v>
      </c>
      <c r="H3" s="1062">
        <v>0.1</v>
      </c>
      <c r="I3" s="1062">
        <v>0.5</v>
      </c>
      <c r="J3" s="1062">
        <v>0.1</v>
      </c>
      <c r="K3" s="1468"/>
      <c r="L3" s="1093"/>
      <c r="M3" s="1092" t="s">
        <v>757</v>
      </c>
      <c r="N3" s="1090"/>
      <c r="O3" s="1090"/>
      <c r="P3" s="1090"/>
      <c r="Q3" s="1090"/>
      <c r="R3" s="1090"/>
      <c r="S3" s="1090"/>
      <c r="T3" s="1090"/>
      <c r="U3" s="1090"/>
      <c r="V3" s="1090"/>
      <c r="W3" s="1090"/>
      <c r="X3" s="1090"/>
      <c r="Y3" s="1090"/>
    </row>
    <row r="4" spans="2:25">
      <c r="B4" s="1057"/>
      <c r="C4" s="511" t="e">
        <f>+SUM(C5:C18)</f>
        <v>#REF!</v>
      </c>
      <c r="D4" s="503">
        <f>+SUM(D5:D18)</f>
        <v>5000000</v>
      </c>
      <c r="E4" s="503" t="e">
        <f>+SUM(E5:E18)</f>
        <v>#REF!</v>
      </c>
      <c r="F4" s="503">
        <v>163378</v>
      </c>
      <c r="G4" s="503" t="e">
        <f>+SUM(G5:G18)</f>
        <v>#REF!</v>
      </c>
      <c r="H4" s="503" t="e">
        <f>+SUM(H5:H18)</f>
        <v>#REF!</v>
      </c>
      <c r="I4" s="503" t="e">
        <f>+SUM(I5:I18)</f>
        <v>#REF!</v>
      </c>
      <c r="J4" s="503" t="e">
        <f>+SUM(J5:J18)</f>
        <v>#REF!</v>
      </c>
      <c r="K4" s="25"/>
    </row>
    <row r="5" spans="2:25">
      <c r="B5" s="1058" t="str">
        <f>+'SPV별 DEVEX 현황'!C42</f>
        <v>RMK</v>
      </c>
      <c r="C5" s="511">
        <f>+'SPV별 DEVEX 현황'!D42</f>
        <v>991</v>
      </c>
      <c r="D5" s="503">
        <v>500000</v>
      </c>
      <c r="E5" s="503">
        <f>+C5*D5*1.1</f>
        <v>545050000</v>
      </c>
      <c r="F5" s="503"/>
      <c r="G5" s="503">
        <f>+$E5*G$3</f>
        <v>163515000</v>
      </c>
      <c r="H5" s="503">
        <f>+$E5*H$3</f>
        <v>54505000</v>
      </c>
      <c r="I5" s="503">
        <f>+$E5*I$3</f>
        <v>272525000</v>
      </c>
      <c r="J5" s="503">
        <f>+$E5*J$3</f>
        <v>54505000</v>
      </c>
      <c r="K5" s="25"/>
      <c r="M5" s="517" t="b">
        <f t="shared" ref="M5:M14" si="0">+SUM(G5:J5)=E5</f>
        <v>1</v>
      </c>
    </row>
    <row r="6" spans="2:25" ht="13.5">
      <c r="B6" s="1058" t="str">
        <f>+'SPV별 DEVEX 현황'!C41</f>
        <v>Daesung Fruit Industry</v>
      </c>
      <c r="C6" s="511">
        <f>+'SPV별 DEVEX 현황'!D41</f>
        <v>315</v>
      </c>
      <c r="D6" s="503">
        <v>500000</v>
      </c>
      <c r="E6" s="503">
        <f t="shared" ref="E6:E14" si="1">+C6*D6*1.1</f>
        <v>173250000</v>
      </c>
      <c r="F6" s="503"/>
      <c r="G6" s="503">
        <f t="shared" ref="G6:J14" si="2">+$E6*G$3</f>
        <v>51975000</v>
      </c>
      <c r="H6" s="1068">
        <f t="shared" si="2"/>
        <v>17325000</v>
      </c>
      <c r="I6" s="503">
        <f t="shared" si="2"/>
        <v>86625000</v>
      </c>
      <c r="J6" s="503">
        <f t="shared" si="2"/>
        <v>17325000</v>
      </c>
      <c r="K6" s="25" t="s">
        <v>758</v>
      </c>
      <c r="M6" s="517" t="b">
        <f t="shared" si="0"/>
        <v>1</v>
      </c>
    </row>
    <row r="7" spans="2:25">
      <c r="B7" s="1058" t="str">
        <f>+'SPV별 DEVEX 현황'!C44</f>
        <v>Ilsan Metal</v>
      </c>
      <c r="C7" s="511">
        <f>+'SPV별 DEVEX 현황'!D44</f>
        <v>156</v>
      </c>
      <c r="D7" s="503">
        <v>500000</v>
      </c>
      <c r="E7" s="503">
        <f t="shared" si="1"/>
        <v>85800000</v>
      </c>
      <c r="F7" s="503"/>
      <c r="G7" s="1068">
        <f t="shared" si="2"/>
        <v>25740000</v>
      </c>
      <c r="H7" s="503">
        <f t="shared" si="2"/>
        <v>8580000</v>
      </c>
      <c r="I7" s="503">
        <f t="shared" si="2"/>
        <v>42900000</v>
      </c>
      <c r="J7" s="503">
        <f t="shared" si="2"/>
        <v>8580000</v>
      </c>
      <c r="K7" s="25"/>
      <c r="M7" s="517" t="b">
        <f t="shared" si="0"/>
        <v>1</v>
      </c>
    </row>
    <row r="8" spans="2:25">
      <c r="B8" s="1058" t="str">
        <f>+'SPV별 DEVEX 현황'!C43</f>
        <v>Ilshin Industry(HQ)</v>
      </c>
      <c r="C8" s="511">
        <f>+'SPV별 DEVEX 현황'!D43</f>
        <v>1000</v>
      </c>
      <c r="D8" s="503">
        <v>500000</v>
      </c>
      <c r="E8" s="503">
        <f t="shared" si="1"/>
        <v>550000000</v>
      </c>
      <c r="F8" s="503"/>
      <c r="G8" s="1068">
        <f t="shared" si="2"/>
        <v>165000000</v>
      </c>
      <c r="H8" s="1068">
        <f t="shared" si="2"/>
        <v>55000000</v>
      </c>
      <c r="I8" s="1068">
        <f t="shared" si="2"/>
        <v>275000000</v>
      </c>
      <c r="J8" s="503">
        <f t="shared" si="2"/>
        <v>55000000</v>
      </c>
      <c r="K8" s="25"/>
      <c r="M8" s="517" t="b">
        <f t="shared" si="0"/>
        <v>1</v>
      </c>
    </row>
    <row r="9" spans="2:25" ht="13.5">
      <c r="B9" s="1101" t="e">
        <f>+'SPV별 DEVEX 현황'!#REF!</f>
        <v>#REF!</v>
      </c>
      <c r="C9" s="1102" t="e">
        <f>+'SPV별 DEVEX 현황'!#REF!</f>
        <v>#REF!</v>
      </c>
      <c r="D9" s="1103">
        <v>500000</v>
      </c>
      <c r="E9" s="1103" t="e">
        <f t="shared" si="1"/>
        <v>#REF!</v>
      </c>
      <c r="F9" s="1103"/>
      <c r="G9" s="1103" t="e">
        <f t="shared" si="2"/>
        <v>#REF!</v>
      </c>
      <c r="H9" s="1103" t="e">
        <f t="shared" si="2"/>
        <v>#REF!</v>
      </c>
      <c r="I9" s="1103" t="e">
        <f t="shared" si="2"/>
        <v>#REF!</v>
      </c>
      <c r="J9" s="1103" t="e">
        <f t="shared" si="2"/>
        <v>#REF!</v>
      </c>
      <c r="K9" s="1104" t="s">
        <v>759</v>
      </c>
      <c r="M9" s="517" t="e">
        <f t="shared" si="0"/>
        <v>#REF!</v>
      </c>
    </row>
    <row r="10" spans="2:25">
      <c r="B10" s="1058" t="str">
        <f>+'SPV별 DEVEX 현황'!C45</f>
        <v>LC-Tech</v>
      </c>
      <c r="C10" s="511">
        <f>+'SPV별 DEVEX 현황'!D45</f>
        <v>173</v>
      </c>
      <c r="D10" s="503">
        <v>500000</v>
      </c>
      <c r="E10" s="503">
        <f t="shared" si="1"/>
        <v>95150000.000000015</v>
      </c>
      <c r="F10" s="503"/>
      <c r="G10" s="503">
        <f t="shared" si="2"/>
        <v>28545000.000000004</v>
      </c>
      <c r="H10" s="503">
        <f t="shared" si="2"/>
        <v>9515000.0000000019</v>
      </c>
      <c r="I10" s="503">
        <f t="shared" si="2"/>
        <v>47575000.000000007</v>
      </c>
      <c r="J10" s="503">
        <f t="shared" si="2"/>
        <v>9515000.0000000019</v>
      </c>
      <c r="K10" s="25"/>
      <c r="M10" s="517" t="b">
        <f t="shared" si="0"/>
        <v>1</v>
      </c>
    </row>
    <row r="11" spans="2:25" ht="13.5">
      <c r="B11" s="1105" t="str">
        <f>+'SPV별 DEVEX 현황'!C48</f>
        <v>kinam Metal</v>
      </c>
      <c r="C11" s="1106">
        <f>+'SPV별 DEVEX 현황'!D48</f>
        <v>237</v>
      </c>
      <c r="D11" s="1107">
        <v>500000</v>
      </c>
      <c r="E11" s="1107">
        <f t="shared" si="1"/>
        <v>130350000.00000001</v>
      </c>
      <c r="F11" s="1107"/>
      <c r="G11" s="1107">
        <f t="shared" si="2"/>
        <v>39105000</v>
      </c>
      <c r="H11" s="1107">
        <f t="shared" si="2"/>
        <v>13035000.000000002</v>
      </c>
      <c r="I11" s="1107">
        <f t="shared" si="2"/>
        <v>65175000.000000007</v>
      </c>
      <c r="J11" s="1107">
        <f t="shared" si="2"/>
        <v>13035000.000000002</v>
      </c>
      <c r="K11" s="1108" t="s">
        <v>760</v>
      </c>
      <c r="L11" s="361"/>
      <c r="M11" s="517" t="b">
        <f t="shared" si="0"/>
        <v>1</v>
      </c>
    </row>
    <row r="12" spans="2:25" ht="13.5">
      <c r="B12" s="1105" t="str">
        <f>+'SPV별 DEVEX 현황'!C49</f>
        <v>JK Fiber</v>
      </c>
      <c r="C12" s="1106">
        <f>+'SPV별 DEVEX 현황'!D49</f>
        <v>165</v>
      </c>
      <c r="D12" s="1107">
        <v>500000</v>
      </c>
      <c r="E12" s="1107">
        <f t="shared" si="1"/>
        <v>90750000</v>
      </c>
      <c r="F12" s="1107"/>
      <c r="G12" s="1107">
        <f t="shared" si="2"/>
        <v>27225000</v>
      </c>
      <c r="H12" s="1107">
        <f t="shared" si="2"/>
        <v>9075000</v>
      </c>
      <c r="I12" s="1107">
        <f t="shared" si="2"/>
        <v>45375000</v>
      </c>
      <c r="J12" s="1107">
        <f t="shared" si="2"/>
        <v>9075000</v>
      </c>
      <c r="K12" s="1108" t="s">
        <v>760</v>
      </c>
      <c r="L12" s="361"/>
      <c r="M12" s="517" t="b">
        <f t="shared" si="0"/>
        <v>1</v>
      </c>
    </row>
    <row r="13" spans="2:25" ht="13.5">
      <c r="B13" s="1058" t="str">
        <f>+'SPV별 DEVEX 현황'!C46</f>
        <v>Lijin Factory 1</v>
      </c>
      <c r="C13" s="511">
        <v>227</v>
      </c>
      <c r="D13" s="503">
        <v>500000</v>
      </c>
      <c r="E13" s="503">
        <f t="shared" si="1"/>
        <v>124850000.00000001</v>
      </c>
      <c r="F13" s="503"/>
      <c r="G13" s="1068">
        <f t="shared" si="2"/>
        <v>37455000</v>
      </c>
      <c r="H13" s="1068">
        <f t="shared" si="2"/>
        <v>12485000.000000002</v>
      </c>
      <c r="I13" s="503">
        <f t="shared" si="2"/>
        <v>62425000.000000007</v>
      </c>
      <c r="J13" s="503">
        <f t="shared" si="2"/>
        <v>12485000.000000002</v>
      </c>
      <c r="K13" s="1094" t="s">
        <v>761</v>
      </c>
      <c r="M13" s="517" t="b">
        <f t="shared" si="0"/>
        <v>1</v>
      </c>
    </row>
    <row r="14" spans="2:25" ht="13.5">
      <c r="B14" s="1058" t="str">
        <f>+'SPV별 DEVEX 현황'!C47</f>
        <v>Lijin Factory 2</v>
      </c>
      <c r="C14" s="511">
        <v>233</v>
      </c>
      <c r="D14" s="503">
        <v>500000</v>
      </c>
      <c r="E14" s="503">
        <f t="shared" si="1"/>
        <v>128150000.00000001</v>
      </c>
      <c r="F14" s="503"/>
      <c r="G14" s="1068">
        <f t="shared" si="2"/>
        <v>38445000</v>
      </c>
      <c r="H14" s="1068">
        <f t="shared" si="2"/>
        <v>12815000.000000002</v>
      </c>
      <c r="I14" s="503">
        <f t="shared" si="2"/>
        <v>64075000.000000007</v>
      </c>
      <c r="J14" s="503">
        <f t="shared" si="2"/>
        <v>12815000.000000002</v>
      </c>
      <c r="K14" s="1094" t="s">
        <v>762</v>
      </c>
      <c r="M14" s="517" t="b">
        <f t="shared" si="0"/>
        <v>1</v>
      </c>
    </row>
    <row r="16" spans="2:25" ht="13.5">
      <c r="B16" s="1098" t="s">
        <v>763</v>
      </c>
      <c r="C16" s="1099">
        <f>+H6+G7+G8+H8+I8+G13+G14+H14+H13</f>
        <v>639265000</v>
      </c>
    </row>
    <row r="18" spans="2:13" ht="13.5">
      <c r="B18" s="1470" t="s">
        <v>764</v>
      </c>
      <c r="C18" s="1469" t="str">
        <f>+C2</f>
        <v>Capacity (kWp)</v>
      </c>
      <c r="D18" s="1469" t="str">
        <f t="shared" ref="D18:E18" si="3">+D2</f>
        <v>DEVEX/MW</v>
      </c>
      <c r="E18" s="1469" t="str">
        <f t="shared" si="3"/>
        <v>Total</v>
      </c>
      <c r="F18" s="1466" t="s">
        <v>754</v>
      </c>
      <c r="G18" s="1087" t="s">
        <v>755</v>
      </c>
      <c r="H18" s="1087" t="s">
        <v>719</v>
      </c>
      <c r="I18" s="1087" t="s">
        <v>370</v>
      </c>
      <c r="J18" s="1087" t="s">
        <v>371</v>
      </c>
      <c r="K18" s="1468" t="s">
        <v>756</v>
      </c>
      <c r="L18" s="1093"/>
    </row>
    <row r="19" spans="2:13" ht="13.5">
      <c r="B19" s="1470"/>
      <c r="C19" s="1469"/>
      <c r="D19" s="1469"/>
      <c r="E19" s="1469"/>
      <c r="F19" s="1467"/>
      <c r="G19" s="1062">
        <v>0.3</v>
      </c>
      <c r="H19" s="1062">
        <v>0.1</v>
      </c>
      <c r="I19" s="1062">
        <v>0.5</v>
      </c>
      <c r="J19" s="1062">
        <v>0.1</v>
      </c>
      <c r="K19" s="1468"/>
      <c r="L19" s="1093"/>
      <c r="M19" s="1092" t="s">
        <v>757</v>
      </c>
    </row>
    <row r="20" spans="2:13">
      <c r="B20" s="1057"/>
      <c r="C20" s="511">
        <f>+SUM(C21:C32)</f>
        <v>158005031</v>
      </c>
      <c r="D20" s="503">
        <f t="shared" ref="D20" si="4">+SUM(D21:D32)</f>
        <v>4800000</v>
      </c>
      <c r="E20" s="503">
        <f t="shared" ref="E20" si="5">+SUM(E21:E32)</f>
        <v>510345000</v>
      </c>
      <c r="F20" s="503">
        <v>21485943</v>
      </c>
      <c r="G20" s="503">
        <f t="shared" ref="G20" si="6">+SUM(G21:G32)</f>
        <v>413209500</v>
      </c>
      <c r="H20" s="503">
        <f t="shared" ref="H20" si="7">+SUM(H21:H32)</f>
        <v>146481500</v>
      </c>
      <c r="I20" s="503">
        <f t="shared" ref="I20" si="8">+SUM(I21:I32)</f>
        <v>538884500</v>
      </c>
      <c r="J20" s="503">
        <f t="shared" ref="J20" si="9">+SUM(J21:J32)</f>
        <v>415299500</v>
      </c>
      <c r="K20" s="25"/>
    </row>
    <row r="21" spans="2:13">
      <c r="B21" s="1058" t="str">
        <f>+'BT 2HO'!C71</f>
        <v>Wolchool Metal</v>
      </c>
      <c r="C21" s="511">
        <f>+'BT 2HO'!D71</f>
        <v>161</v>
      </c>
      <c r="D21" s="503">
        <v>450000</v>
      </c>
      <c r="E21" s="503">
        <f>+C21*D21*1.1</f>
        <v>79695000</v>
      </c>
      <c r="F21" s="503"/>
      <c r="G21" s="503">
        <f>+$E21*G$3</f>
        <v>23908500</v>
      </c>
      <c r="H21" s="1068">
        <f>+$E21*H$3</f>
        <v>7969500</v>
      </c>
      <c r="I21" s="503">
        <f>+$E21*I$3</f>
        <v>39847500</v>
      </c>
      <c r="J21" s="503">
        <f>+$E21*J$3</f>
        <v>7969500</v>
      </c>
      <c r="K21" s="25"/>
      <c r="M21" s="517" t="b">
        <f t="shared" ref="M21:M30" si="10">+SUM(G21:J21)=E21</f>
        <v>1</v>
      </c>
    </row>
    <row r="22" spans="2:13" ht="13.5">
      <c r="B22" s="1058" t="str">
        <f>+'BT 2HO'!C51</f>
        <v>Fusei Menix 1 &amp; 2</v>
      </c>
      <c r="C22" s="511">
        <v>571</v>
      </c>
      <c r="D22" s="503">
        <v>450000</v>
      </c>
      <c r="E22" s="503">
        <f t="shared" ref="E22:E30" si="11">+C22*D22*1.1</f>
        <v>282645000</v>
      </c>
      <c r="F22" s="503"/>
      <c r="G22" s="503">
        <f>+'BT 2HO'!R53+'BT 2HO'!R52</f>
        <v>78259500</v>
      </c>
      <c r="H22" s="503">
        <f>+'BT 2HO'!Y52+'BT 2HO'!Y53</f>
        <v>26086500</v>
      </c>
      <c r="I22" s="1068">
        <f>+$E22*I$3+E22*(G3+H3)-G22-H22</f>
        <v>150034500</v>
      </c>
      <c r="J22" s="503">
        <f t="shared" ref="G22:J30" si="12">+$E22*J$3</f>
        <v>28264500</v>
      </c>
      <c r="K22" s="1094" t="s">
        <v>765</v>
      </c>
      <c r="M22" s="517" t="b">
        <f t="shared" si="10"/>
        <v>1</v>
      </c>
    </row>
    <row r="23" spans="2:13">
      <c r="B23" s="1058" t="str">
        <f>+'BT 2HO'!C36</f>
        <v>Epyeonan nursing home(Drop)</v>
      </c>
      <c r="C23" s="511">
        <f>+'BT 2HO'!D36</f>
        <v>172</v>
      </c>
      <c r="D23" s="503">
        <v>450000</v>
      </c>
      <c r="E23" s="503">
        <f t="shared" si="11"/>
        <v>85140000</v>
      </c>
      <c r="F23" s="503"/>
      <c r="G23" s="1095">
        <f t="shared" si="12"/>
        <v>25542000</v>
      </c>
      <c r="H23" s="503">
        <f t="shared" si="12"/>
        <v>8514000</v>
      </c>
      <c r="I23" s="503">
        <f t="shared" si="12"/>
        <v>42570000</v>
      </c>
      <c r="J23" s="503">
        <f t="shared" si="12"/>
        <v>8514000</v>
      </c>
      <c r="K23" s="25" t="s">
        <v>766</v>
      </c>
      <c r="M23" s="517" t="b">
        <f t="shared" si="10"/>
        <v>1</v>
      </c>
    </row>
    <row r="24" spans="2:13">
      <c r="B24" s="1058" t="s">
        <v>767</v>
      </c>
      <c r="C24" s="511">
        <f>+'BT 2HO'!D66</f>
        <v>127</v>
      </c>
      <c r="D24" s="503">
        <v>450000</v>
      </c>
      <c r="E24" s="503">
        <f t="shared" si="11"/>
        <v>62865000.000000007</v>
      </c>
      <c r="F24" s="503"/>
      <c r="G24" s="1095">
        <f t="shared" si="12"/>
        <v>18859500</v>
      </c>
      <c r="H24" s="503">
        <f t="shared" si="12"/>
        <v>6286500.0000000009</v>
      </c>
      <c r="I24" s="503">
        <f t="shared" si="12"/>
        <v>31432500.000000004</v>
      </c>
      <c r="J24" s="503">
        <f t="shared" si="12"/>
        <v>6286500.0000000009</v>
      </c>
      <c r="K24" s="25" t="s">
        <v>766</v>
      </c>
      <c r="M24" s="517" t="b">
        <f t="shared" si="10"/>
        <v>1</v>
      </c>
    </row>
    <row r="25" spans="2:13" ht="13.5" hidden="1">
      <c r="B25" s="1058"/>
      <c r="C25" s="511"/>
      <c r="D25" s="503">
        <v>500000</v>
      </c>
      <c r="E25" s="503">
        <f t="shared" si="11"/>
        <v>0</v>
      </c>
      <c r="F25" s="503"/>
      <c r="G25" s="503">
        <f t="shared" si="12"/>
        <v>0</v>
      </c>
      <c r="H25" s="503">
        <f t="shared" si="12"/>
        <v>0</v>
      </c>
      <c r="I25" s="503">
        <f t="shared" si="12"/>
        <v>0</v>
      </c>
      <c r="J25" s="503">
        <f t="shared" si="12"/>
        <v>0</v>
      </c>
      <c r="K25" s="1094"/>
      <c r="M25" s="517" t="b">
        <f t="shared" si="10"/>
        <v>1</v>
      </c>
    </row>
    <row r="26" spans="2:13" hidden="1">
      <c r="B26" s="1058"/>
      <c r="C26" s="511"/>
      <c r="D26" s="503">
        <v>500000</v>
      </c>
      <c r="E26" s="503">
        <f t="shared" si="11"/>
        <v>0</v>
      </c>
      <c r="F26" s="503"/>
      <c r="G26" s="503">
        <f t="shared" si="12"/>
        <v>0</v>
      </c>
      <c r="H26" s="503">
        <f t="shared" si="12"/>
        <v>0</v>
      </c>
      <c r="I26" s="503">
        <f t="shared" si="12"/>
        <v>0</v>
      </c>
      <c r="J26" s="503">
        <f t="shared" si="12"/>
        <v>0</v>
      </c>
      <c r="K26" s="25"/>
      <c r="M26" s="517" t="b">
        <f t="shared" si="10"/>
        <v>1</v>
      </c>
    </row>
    <row r="27" spans="2:13" ht="13.5" hidden="1">
      <c r="B27" s="1058"/>
      <c r="C27" s="511"/>
      <c r="D27" s="503">
        <v>500000</v>
      </c>
      <c r="E27" s="503">
        <f t="shared" si="11"/>
        <v>0</v>
      </c>
      <c r="F27" s="503"/>
      <c r="G27" s="503">
        <f t="shared" si="12"/>
        <v>0</v>
      </c>
      <c r="H27" s="503">
        <f t="shared" si="12"/>
        <v>0</v>
      </c>
      <c r="I27" s="503">
        <f t="shared" si="12"/>
        <v>0</v>
      </c>
      <c r="J27" s="503">
        <f t="shared" si="12"/>
        <v>0</v>
      </c>
      <c r="K27" s="1094"/>
      <c r="L27" s="361"/>
      <c r="M27" s="517" t="b">
        <f t="shared" si="10"/>
        <v>1</v>
      </c>
    </row>
    <row r="28" spans="2:13" ht="13.5" hidden="1">
      <c r="B28" s="1058"/>
      <c r="C28" s="511"/>
      <c r="D28" s="503">
        <v>500000</v>
      </c>
      <c r="E28" s="503">
        <f t="shared" si="11"/>
        <v>0</v>
      </c>
      <c r="F28" s="503"/>
      <c r="G28" s="503">
        <f t="shared" si="12"/>
        <v>0</v>
      </c>
      <c r="H28" s="503">
        <f t="shared" si="12"/>
        <v>0</v>
      </c>
      <c r="I28" s="503">
        <f t="shared" si="12"/>
        <v>0</v>
      </c>
      <c r="J28" s="503">
        <f t="shared" si="12"/>
        <v>0</v>
      </c>
      <c r="K28" s="1094"/>
      <c r="L28" s="361"/>
      <c r="M28" s="517" t="b">
        <f t="shared" si="10"/>
        <v>1</v>
      </c>
    </row>
    <row r="29" spans="2:13" hidden="1">
      <c r="B29" s="1058"/>
      <c r="C29" s="511"/>
      <c r="D29" s="503">
        <v>500000</v>
      </c>
      <c r="E29" s="503">
        <f t="shared" si="11"/>
        <v>0</v>
      </c>
      <c r="F29" s="503"/>
      <c r="G29" s="503">
        <f t="shared" si="12"/>
        <v>0</v>
      </c>
      <c r="H29" s="503">
        <f t="shared" si="12"/>
        <v>0</v>
      </c>
      <c r="I29" s="503">
        <f t="shared" si="12"/>
        <v>0</v>
      </c>
      <c r="J29" s="503">
        <f t="shared" si="12"/>
        <v>0</v>
      </c>
      <c r="K29" s="25"/>
      <c r="M29" s="517" t="b">
        <f t="shared" si="10"/>
        <v>1</v>
      </c>
    </row>
    <row r="30" spans="2:13" hidden="1">
      <c r="B30" s="1058"/>
      <c r="C30" s="511"/>
      <c r="D30" s="503">
        <v>500000</v>
      </c>
      <c r="E30" s="503">
        <f t="shared" si="11"/>
        <v>0</v>
      </c>
      <c r="F30" s="503"/>
      <c r="G30" s="503">
        <f t="shared" si="12"/>
        <v>0</v>
      </c>
      <c r="H30" s="503">
        <f t="shared" si="12"/>
        <v>0</v>
      </c>
      <c r="I30" s="503">
        <f t="shared" si="12"/>
        <v>0</v>
      </c>
      <c r="J30" s="503">
        <f t="shared" si="12"/>
        <v>0</v>
      </c>
      <c r="K30" s="25"/>
      <c r="M30" s="517" t="b">
        <f t="shared" si="10"/>
        <v>1</v>
      </c>
    </row>
    <row r="31" spans="2:13" ht="13.5">
      <c r="G31" s="1109"/>
      <c r="H31" s="1109"/>
      <c r="I31" s="1109"/>
      <c r="J31" s="1110" t="s">
        <v>768</v>
      </c>
      <c r="K31" s="1111"/>
    </row>
    <row r="32" spans="2:13" ht="13.5">
      <c r="B32" s="1098" t="s">
        <v>763</v>
      </c>
      <c r="C32" s="1100">
        <f>+H21+I22</f>
        <v>158004000</v>
      </c>
      <c r="G32" s="1109">
        <f>+G7+G8+G13+G14</f>
        <v>266640000</v>
      </c>
      <c r="H32" s="1109">
        <f>+H6+H8+H13+H14</f>
        <v>97625000</v>
      </c>
      <c r="I32" s="1109">
        <f>+I8</f>
        <v>275000000</v>
      </c>
      <c r="J32" s="1109">
        <f>+G32+H32</f>
        <v>364265000</v>
      </c>
      <c r="K32" s="1112" t="s">
        <v>769</v>
      </c>
    </row>
    <row r="33" spans="2:11" ht="13.5">
      <c r="B33" s="215" t="s">
        <v>770</v>
      </c>
      <c r="C33" s="517">
        <f>-G23-G24</f>
        <v>-44401500</v>
      </c>
      <c r="G33" s="1109"/>
      <c r="H33" s="1109">
        <f>+H21</f>
        <v>7969500</v>
      </c>
      <c r="I33" s="1109">
        <f>+I22</f>
        <v>150034500</v>
      </c>
      <c r="J33" s="1109">
        <f>+H33+I33</f>
        <v>158004000</v>
      </c>
      <c r="K33" s="1115">
        <f>J33+C36</f>
        <v>224531120</v>
      </c>
    </row>
    <row r="34" spans="2:11" ht="13.5">
      <c r="B34" s="43" t="s">
        <v>771</v>
      </c>
      <c r="C34" s="1096">
        <f>+C32+C33</f>
        <v>113602500</v>
      </c>
      <c r="G34" s="1109"/>
      <c r="H34" s="1109"/>
      <c r="I34" s="1113"/>
      <c r="J34" s="1109"/>
      <c r="K34" s="1111"/>
    </row>
    <row r="35" spans="2:11" ht="13.5">
      <c r="B35" s="215" t="s">
        <v>772</v>
      </c>
      <c r="G35" s="1109"/>
      <c r="H35" s="1109"/>
      <c r="I35" s="1113" t="s">
        <v>773</v>
      </c>
      <c r="J35" s="1109"/>
      <c r="K35" s="1111"/>
    </row>
    <row r="36" spans="2:11" ht="13.5">
      <c r="B36" s="43" t="s">
        <v>774</v>
      </c>
      <c r="C36" s="517">
        <v>66527120</v>
      </c>
      <c r="G36" s="1109"/>
      <c r="H36" s="1109"/>
      <c r="I36" s="1109" t="s">
        <v>775</v>
      </c>
      <c r="J36" s="1109"/>
      <c r="K36" s="1111"/>
    </row>
    <row r="37" spans="2:11">
      <c r="G37" s="1109"/>
      <c r="H37" s="1109"/>
      <c r="I37" s="1114">
        <f>1.4+3.65</f>
        <v>5.05</v>
      </c>
      <c r="J37" s="1109"/>
      <c r="K37" s="1111"/>
    </row>
    <row r="38" spans="2:11" ht="13.5">
      <c r="B38" s="43" t="s">
        <v>776</v>
      </c>
      <c r="C38" s="1099">
        <f>+C34+C36</f>
        <v>180129620</v>
      </c>
    </row>
    <row r="39" spans="2:11">
      <c r="I39" s="517" t="s">
        <v>777</v>
      </c>
      <c r="J39" s="474">
        <v>1005904721399</v>
      </c>
    </row>
    <row r="40" spans="2:11">
      <c r="J40" s="517">
        <v>1005904721399</v>
      </c>
    </row>
    <row r="41" spans="2:11" ht="13.5">
      <c r="C41" s="1097" t="s">
        <v>754</v>
      </c>
      <c r="D41" s="1097" t="s">
        <v>778</v>
      </c>
      <c r="E41" s="1075" t="s">
        <v>779</v>
      </c>
    </row>
    <row r="42" spans="2:11" ht="13.5">
      <c r="B42" s="43" t="s">
        <v>780</v>
      </c>
      <c r="C42" s="517">
        <v>714877497</v>
      </c>
      <c r="E42" s="517">
        <f>+C42-D42</f>
        <v>714877497</v>
      </c>
      <c r="F42" s="1075" t="s">
        <v>781</v>
      </c>
    </row>
    <row r="43" spans="2:11" ht="13.5">
      <c r="B43" s="43" t="s">
        <v>782</v>
      </c>
      <c r="C43" s="517">
        <f>+F20</f>
        <v>21485943</v>
      </c>
      <c r="D43" s="517">
        <v>3072990</v>
      </c>
      <c r="E43" s="517">
        <f t="shared" ref="E43:E48" si="13">+C43-D43</f>
        <v>18412953</v>
      </c>
    </row>
    <row r="44" spans="2:11" ht="13.5">
      <c r="B44" s="43" t="s">
        <v>783</v>
      </c>
      <c r="C44" s="517">
        <v>88781431</v>
      </c>
      <c r="D44" s="517">
        <v>3735060</v>
      </c>
      <c r="E44" s="517">
        <f t="shared" si="13"/>
        <v>85046371</v>
      </c>
      <c r="F44" s="1075" t="s">
        <v>784</v>
      </c>
    </row>
    <row r="45" spans="2:11" ht="13.5">
      <c r="B45" s="43" t="s">
        <v>785</v>
      </c>
      <c r="C45" s="517">
        <f>+F4</f>
        <v>163378</v>
      </c>
      <c r="D45" s="517">
        <v>1117510</v>
      </c>
      <c r="E45" s="517">
        <f t="shared" si="13"/>
        <v>-954132</v>
      </c>
    </row>
    <row r="46" spans="2:11" ht="13.5">
      <c r="B46" s="43" t="s">
        <v>786</v>
      </c>
      <c r="E46" s="517">
        <f t="shared" si="13"/>
        <v>0</v>
      </c>
    </row>
    <row r="47" spans="2:11" ht="13.5">
      <c r="B47" s="43" t="s">
        <v>787</v>
      </c>
      <c r="C47" s="517">
        <v>509344242</v>
      </c>
      <c r="E47" s="517">
        <f t="shared" si="13"/>
        <v>509344242</v>
      </c>
      <c r="F47" s="517" t="s">
        <v>788</v>
      </c>
    </row>
    <row r="48" spans="2:11" ht="13.5">
      <c r="B48" s="43" t="s">
        <v>789</v>
      </c>
      <c r="C48" s="517">
        <v>328634739</v>
      </c>
      <c r="D48" s="517">
        <v>617380</v>
      </c>
      <c r="E48" s="517">
        <f t="shared" si="13"/>
        <v>328017359</v>
      </c>
    </row>
    <row r="50" spans="2:4" ht="13.5">
      <c r="B50" s="43" t="s">
        <v>790</v>
      </c>
    </row>
    <row r="51" spans="2:4" ht="13.5">
      <c r="B51" s="43" t="s">
        <v>791</v>
      </c>
      <c r="C51" s="1091">
        <v>318214.28999999998</v>
      </c>
      <c r="D51" s="517">
        <f>+C51*1720</f>
        <v>547328578.79999995</v>
      </c>
    </row>
    <row r="52" spans="2:4" ht="13.5">
      <c r="B52" s="43" t="s">
        <v>792</v>
      </c>
      <c r="C52" s="1091">
        <v>1339370.47</v>
      </c>
      <c r="D52" s="517">
        <f>+C52*1720</f>
        <v>2303717208.4000001</v>
      </c>
    </row>
    <row r="54" spans="2:4" ht="13.5">
      <c r="B54" s="215" t="s">
        <v>793</v>
      </c>
    </row>
  </sheetData>
  <mergeCells count="12">
    <mergeCell ref="C2:C3"/>
    <mergeCell ref="B2:B3"/>
    <mergeCell ref="B18:B19"/>
    <mergeCell ref="C18:C19"/>
    <mergeCell ref="D18:D19"/>
    <mergeCell ref="F2:F3"/>
    <mergeCell ref="F18:F19"/>
    <mergeCell ref="K2:K3"/>
    <mergeCell ref="E2:E3"/>
    <mergeCell ref="D2:D3"/>
    <mergeCell ref="E18:E19"/>
    <mergeCell ref="K18:K19"/>
  </mergeCells>
  <phoneticPr fontId="9" type="noConversion"/>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2FF77-854B-41EA-BE9B-81C42E14D697}">
  <dimension ref="B2:AZ90"/>
  <sheetViews>
    <sheetView showGridLines="0" workbookViewId="0">
      <pane xSplit="7" ySplit="3" topLeftCell="H4" activePane="bottomRight" state="frozen"/>
      <selection activeCell="C36" sqref="B36:C50"/>
      <selection pane="topRight" activeCell="C36" sqref="B36:C50"/>
      <selection pane="bottomLeft" activeCell="C36" sqref="B36:C50"/>
      <selection pane="bottomRight" activeCell="C36" sqref="B22:C54"/>
    </sheetView>
  </sheetViews>
  <sheetFormatPr defaultColWidth="9.140625" defaultRowHeight="12.75"/>
  <cols>
    <col min="1" max="1" width="1.7109375" style="215" customWidth="1"/>
    <col min="2" max="2" width="9.140625" style="215"/>
    <col min="3" max="3" width="27.28515625" style="215" bestFit="1" customWidth="1"/>
    <col min="4" max="4" width="9.28515625" style="215" customWidth="1"/>
    <col min="5" max="5" width="10.5703125" style="517" bestFit="1" customWidth="1"/>
    <col min="6" max="6" width="10.5703125" style="517" customWidth="1"/>
    <col min="7" max="7" width="15.5703125" style="320" bestFit="1" customWidth="1"/>
    <col min="8" max="14" width="15.5703125" style="320" customWidth="1"/>
    <col min="15" max="15" width="15.5703125" style="1136" customWidth="1"/>
    <col min="16" max="17" width="15.5703125" style="320" customWidth="1"/>
    <col min="18" max="37" width="12.7109375" style="320" customWidth="1"/>
    <col min="38" max="52" width="9.140625" style="320"/>
    <col min="53" max="16384" width="9.140625" style="215"/>
  </cols>
  <sheetData>
    <row r="2" spans="2:52" ht="13.5">
      <c r="B2" s="1470" t="s">
        <v>165</v>
      </c>
      <c r="C2" s="1470" t="s">
        <v>715</v>
      </c>
      <c r="D2" s="1473" t="s">
        <v>270</v>
      </c>
      <c r="E2" s="1474" t="s">
        <v>1055</v>
      </c>
      <c r="F2" s="1474" t="s">
        <v>1054</v>
      </c>
      <c r="G2" s="1471" t="s">
        <v>17</v>
      </c>
      <c r="H2" s="1475" t="s">
        <v>716</v>
      </c>
      <c r="I2" s="1475" t="s">
        <v>717</v>
      </c>
      <c r="J2" s="1477" t="s">
        <v>1050</v>
      </c>
      <c r="K2" s="1478"/>
      <c r="L2" s="1478"/>
      <c r="M2" s="1478"/>
      <c r="N2" s="1478"/>
      <c r="O2" s="1478"/>
      <c r="P2" s="1478"/>
      <c r="Q2" s="1479"/>
      <c r="R2" s="1471" t="s">
        <v>1040</v>
      </c>
      <c r="S2" s="1471"/>
      <c r="T2" s="1471"/>
      <c r="U2" s="1471"/>
      <c r="V2" s="1471"/>
      <c r="W2" s="1471" t="s">
        <v>1041</v>
      </c>
      <c r="X2" s="1471"/>
      <c r="Y2" s="1471"/>
      <c r="Z2" s="1471"/>
      <c r="AA2" s="1471"/>
      <c r="AB2" s="1471" t="s">
        <v>1042</v>
      </c>
      <c r="AC2" s="1471"/>
      <c r="AD2" s="1471"/>
      <c r="AE2" s="1471"/>
      <c r="AF2" s="1471"/>
      <c r="AG2" s="1471" t="s">
        <v>371</v>
      </c>
      <c r="AH2" s="1471"/>
      <c r="AI2" s="1471"/>
      <c r="AJ2" s="1471"/>
      <c r="AK2" s="1471"/>
    </row>
    <row r="3" spans="2:52" ht="13.5">
      <c r="B3" s="1470"/>
      <c r="C3" s="1470"/>
      <c r="D3" s="1473"/>
      <c r="E3" s="1474"/>
      <c r="F3" s="1474"/>
      <c r="G3" s="1471"/>
      <c r="H3" s="1476"/>
      <c r="I3" s="1476"/>
      <c r="J3" s="1131" t="s">
        <v>1043</v>
      </c>
      <c r="K3" s="1131" t="s">
        <v>1044</v>
      </c>
      <c r="L3" s="1131" t="s">
        <v>1045</v>
      </c>
      <c r="M3" s="1131" t="s">
        <v>890</v>
      </c>
      <c r="N3" s="1131" t="s">
        <v>1046</v>
      </c>
      <c r="O3" s="1132" t="s">
        <v>1047</v>
      </c>
      <c r="P3" s="1131" t="s">
        <v>1048</v>
      </c>
      <c r="Q3" s="1131" t="s">
        <v>1049</v>
      </c>
      <c r="R3" s="1061" t="s">
        <v>188</v>
      </c>
      <c r="S3" s="1062">
        <v>0.5</v>
      </c>
      <c r="T3" s="1061" t="s">
        <v>188</v>
      </c>
      <c r="U3" s="1063" t="s">
        <v>720</v>
      </c>
      <c r="V3" s="1063" t="s">
        <v>721</v>
      </c>
      <c r="W3" s="1061" t="s">
        <v>188</v>
      </c>
      <c r="X3" s="1062">
        <v>0.4</v>
      </c>
      <c r="Y3" s="1061" t="s">
        <v>188</v>
      </c>
      <c r="Z3" s="1063" t="s">
        <v>720</v>
      </c>
      <c r="AA3" s="1063" t="s">
        <v>721</v>
      </c>
      <c r="AB3" s="1061" t="s">
        <v>188</v>
      </c>
      <c r="AC3" s="1062">
        <v>0.1</v>
      </c>
      <c r="AD3" s="1061" t="s">
        <v>188</v>
      </c>
      <c r="AE3" s="1063" t="s">
        <v>720</v>
      </c>
      <c r="AF3" s="1063" t="s">
        <v>721</v>
      </c>
      <c r="AG3" s="1061" t="s">
        <v>188</v>
      </c>
      <c r="AH3" s="1062">
        <v>0</v>
      </c>
      <c r="AI3" s="1061" t="s">
        <v>188</v>
      </c>
      <c r="AJ3" s="1063" t="s">
        <v>720</v>
      </c>
      <c r="AK3" s="1063" t="s">
        <v>721</v>
      </c>
    </row>
    <row r="4" spans="2:52">
      <c r="B4" s="1472" t="s">
        <v>722</v>
      </c>
      <c r="C4" s="1057"/>
      <c r="D4" s="1058">
        <f>+SUM(D5:D18)</f>
        <v>4401.1400000000003</v>
      </c>
      <c r="E4" s="503">
        <v>950000</v>
      </c>
      <c r="F4" s="503">
        <v>1050000</v>
      </c>
      <c r="G4" s="1059">
        <f t="shared" ref="G4:N4" si="0">+SUM(G5:G18)</f>
        <v>4599191300</v>
      </c>
      <c r="H4" s="1059">
        <f t="shared" si="0"/>
        <v>0</v>
      </c>
      <c r="I4" s="1059">
        <f t="shared" si="0"/>
        <v>0</v>
      </c>
      <c r="J4" s="1059">
        <f t="shared" si="0"/>
        <v>329269810</v>
      </c>
      <c r="K4" s="1059">
        <f t="shared" si="0"/>
        <v>19594040</v>
      </c>
      <c r="L4" s="1059">
        <f t="shared" si="0"/>
        <v>22410590</v>
      </c>
      <c r="M4" s="1059">
        <f t="shared" si="0"/>
        <v>1100000</v>
      </c>
      <c r="N4" s="1059">
        <f t="shared" si="0"/>
        <v>286165180</v>
      </c>
      <c r="O4" s="1059"/>
      <c r="P4" s="1059">
        <f>+SUM(P5:P18)</f>
        <v>262742690</v>
      </c>
      <c r="Q4" s="1059">
        <f>+SUM(Q5:Q18)</f>
        <v>66527120</v>
      </c>
      <c r="R4" s="1060"/>
      <c r="S4" s="1059">
        <f>+SUM(S5:S18)</f>
        <v>2299595650</v>
      </c>
      <c r="T4" s="1060"/>
      <c r="U4" s="1059">
        <f>+SUM(U5:U18)</f>
        <v>0</v>
      </c>
      <c r="V4" s="1059">
        <f>+SUM(V5:V18)</f>
        <v>2299595650</v>
      </c>
      <c r="W4" s="1059"/>
      <c r="X4" s="1059">
        <f t="shared" ref="X4:AH4" si="1">+SUM(X5:X18)</f>
        <v>1839676520</v>
      </c>
      <c r="Y4" s="1059"/>
      <c r="Z4" s="1059">
        <f>+SUM(Z5:Z18)</f>
        <v>0</v>
      </c>
      <c r="AA4" s="1059">
        <f>+SUM(AA5:AA18)</f>
        <v>1839676520</v>
      </c>
      <c r="AB4" s="1059"/>
      <c r="AC4" s="1059">
        <f t="shared" si="1"/>
        <v>614774720</v>
      </c>
      <c r="AD4" s="1059"/>
      <c r="AE4" s="1059">
        <f>+SUM(AE5:AE18)</f>
        <v>0</v>
      </c>
      <c r="AF4" s="1059">
        <f>+SUM(AF5:AF18)</f>
        <v>614774720</v>
      </c>
      <c r="AG4" s="1059"/>
      <c r="AH4" s="1059">
        <f t="shared" si="1"/>
        <v>0</v>
      </c>
      <c r="AI4" s="1059"/>
      <c r="AJ4" s="1059"/>
      <c r="AK4" s="1059">
        <f>+SUM(AK5:AK18)</f>
        <v>0</v>
      </c>
      <c r="AM4" s="320" t="b">
        <f t="shared" ref="AM4:AM19" si="2">S4+X4+AC4+AH4+J4=D4*F4*1.1</f>
        <v>1</v>
      </c>
    </row>
    <row r="5" spans="2:52">
      <c r="B5" s="1472"/>
      <c r="C5" s="1058" t="s">
        <v>723</v>
      </c>
      <c r="D5" s="1058">
        <v>817.21</v>
      </c>
      <c r="E5" s="503">
        <v>950000</v>
      </c>
      <c r="F5" s="503">
        <v>1050000</v>
      </c>
      <c r="G5" s="1059">
        <f>+E5*D5*1.1</f>
        <v>853984450.00000012</v>
      </c>
      <c r="H5" s="1059">
        <f t="shared" ref="H5:H12" si="3">+U5+Z5+AE5+AJ5</f>
        <v>0</v>
      </c>
      <c r="I5" s="1059"/>
      <c r="J5" s="1059">
        <f t="shared" ref="J5:J18" si="4">+SUM(K5:N5)</f>
        <v>53000580</v>
      </c>
      <c r="K5" s="1059">
        <v>2556940</v>
      </c>
      <c r="L5" s="1059">
        <v>4408640</v>
      </c>
      <c r="M5" s="1059">
        <v>1100000</v>
      </c>
      <c r="N5" s="1059">
        <v>44935000</v>
      </c>
      <c r="O5" s="1134">
        <v>45975</v>
      </c>
      <c r="P5" s="1059">
        <v>53000580</v>
      </c>
      <c r="Q5" s="1059">
        <f t="shared" ref="Q5:Q18" si="5">+J5-P5</f>
        <v>0</v>
      </c>
      <c r="R5" s="1060"/>
      <c r="S5" s="1059">
        <f>+ROUND(D5*E5*1.1*S$3,)</f>
        <v>426992225</v>
      </c>
      <c r="T5" s="1060"/>
      <c r="U5" s="1059"/>
      <c r="V5" s="1059">
        <f>+S5-U5</f>
        <v>426992225</v>
      </c>
      <c r="W5" s="1060"/>
      <c r="X5" s="1059">
        <f>+ROUND(D5*E5*1.1*X$3,)</f>
        <v>341593780</v>
      </c>
      <c r="Y5" s="1060"/>
      <c r="Z5" s="1059"/>
      <c r="AA5" s="1059">
        <f>+X5-Z5</f>
        <v>341593780</v>
      </c>
      <c r="AB5" s="1060"/>
      <c r="AC5" s="1059">
        <f t="shared" ref="AC5:AC18" si="6">+ROUND(D5*F5*1.1-X5-S5-J5,)</f>
        <v>122290965</v>
      </c>
      <c r="AD5" s="1060"/>
      <c r="AE5" s="1059"/>
      <c r="AF5" s="1059">
        <f>+AC5-AE5</f>
        <v>122290965</v>
      </c>
      <c r="AG5" s="1060"/>
      <c r="AH5" s="1059">
        <f t="shared" ref="X5:AH18" si="7">+ROUND($G5*AH$3,)</f>
        <v>0</v>
      </c>
      <c r="AI5" s="1060"/>
      <c r="AJ5" s="1059"/>
      <c r="AK5" s="1059">
        <f>+AH5-AJ5</f>
        <v>0</v>
      </c>
      <c r="AM5" s="320" t="b">
        <f t="shared" si="2"/>
        <v>1</v>
      </c>
    </row>
    <row r="6" spans="2:52" s="1071" customFormat="1">
      <c r="B6" s="1472"/>
      <c r="C6" s="1067" t="s">
        <v>724</v>
      </c>
      <c r="D6" s="1067">
        <v>240.69</v>
      </c>
      <c r="E6" s="1068">
        <v>950000</v>
      </c>
      <c r="F6" s="1068">
        <v>1050000</v>
      </c>
      <c r="G6" s="1064">
        <f t="shared" ref="G6:G18" si="8">+E6*D6*1.1</f>
        <v>251521050.00000003</v>
      </c>
      <c r="H6" s="1064">
        <f t="shared" si="3"/>
        <v>0</v>
      </c>
      <c r="I6" s="1064">
        <f>+U6+Z6+AE6</f>
        <v>0</v>
      </c>
      <c r="J6" s="1064">
        <f t="shared" si="4"/>
        <v>43091290</v>
      </c>
      <c r="K6" s="1064">
        <v>2556940</v>
      </c>
      <c r="L6" s="1064">
        <v>2999000</v>
      </c>
      <c r="M6" s="1064"/>
      <c r="N6" s="1064">
        <v>37535350</v>
      </c>
      <c r="O6" s="1135">
        <v>45975</v>
      </c>
      <c r="P6" s="1064">
        <v>43091290</v>
      </c>
      <c r="Q6" s="1064">
        <f t="shared" si="5"/>
        <v>0</v>
      </c>
      <c r="R6" s="1069"/>
      <c r="S6" s="1064">
        <f t="shared" ref="S6:S18" si="9">+ROUND($G6*S$3,)</f>
        <v>125760525</v>
      </c>
      <c r="T6" s="1069"/>
      <c r="U6" s="1064"/>
      <c r="V6" s="1064">
        <f t="shared" ref="V6:V18" si="10">+S6-U6</f>
        <v>125760525</v>
      </c>
      <c r="W6" s="1069"/>
      <c r="X6" s="1064">
        <f t="shared" si="7"/>
        <v>100608420</v>
      </c>
      <c r="Y6" s="1069"/>
      <c r="Z6" s="1064"/>
      <c r="AA6" s="1064">
        <f t="shared" ref="AA6:AA18" si="11">+X6-Z6</f>
        <v>100608420</v>
      </c>
      <c r="AB6" s="1069"/>
      <c r="AC6" s="1064">
        <f t="shared" si="6"/>
        <v>8536715</v>
      </c>
      <c r="AD6" s="1069"/>
      <c r="AE6" s="1064"/>
      <c r="AF6" s="1064">
        <f t="shared" ref="AF6:AF18" si="12">+AC6-AE6</f>
        <v>8536715</v>
      </c>
      <c r="AG6" s="1069"/>
      <c r="AH6" s="1064">
        <f t="shared" si="7"/>
        <v>0</v>
      </c>
      <c r="AI6" s="1069"/>
      <c r="AJ6" s="1064"/>
      <c r="AK6" s="1064">
        <f t="shared" ref="AK6:AK18" si="13">+AH6-AJ6</f>
        <v>0</v>
      </c>
      <c r="AL6" s="1070"/>
      <c r="AM6" s="1070" t="b">
        <f t="shared" si="2"/>
        <v>1</v>
      </c>
      <c r="AN6" s="1070"/>
      <c r="AO6" s="1070"/>
      <c r="AP6" s="1070"/>
      <c r="AQ6" s="1070"/>
      <c r="AR6" s="1070"/>
      <c r="AS6" s="1070"/>
      <c r="AT6" s="1070"/>
      <c r="AU6" s="1070"/>
      <c r="AV6" s="1070"/>
      <c r="AW6" s="1070"/>
      <c r="AX6" s="1070"/>
      <c r="AY6" s="1070"/>
      <c r="AZ6" s="1070"/>
    </row>
    <row r="7" spans="2:52">
      <c r="B7" s="1472"/>
      <c r="C7" s="1058" t="s">
        <v>652</v>
      </c>
      <c r="D7" s="1058">
        <v>386.24</v>
      </c>
      <c r="E7" s="503">
        <v>950000</v>
      </c>
      <c r="F7" s="503">
        <v>1050000</v>
      </c>
      <c r="G7" s="1059">
        <f t="shared" si="8"/>
        <v>403620800.00000006</v>
      </c>
      <c r="H7" s="1059">
        <f t="shared" si="3"/>
        <v>0</v>
      </c>
      <c r="I7" s="1059"/>
      <c r="J7" s="1059">
        <f t="shared" si="4"/>
        <v>61109870</v>
      </c>
      <c r="K7" s="1059">
        <v>3034990</v>
      </c>
      <c r="L7" s="1059">
        <v>2646180</v>
      </c>
      <c r="M7" s="1059"/>
      <c r="N7" s="1059">
        <f>51347700+4081000</f>
        <v>55428700</v>
      </c>
      <c r="O7" s="1134">
        <v>45975</v>
      </c>
      <c r="P7" s="1059">
        <v>61109870</v>
      </c>
      <c r="Q7" s="1059">
        <f t="shared" si="5"/>
        <v>0</v>
      </c>
      <c r="R7" s="1060"/>
      <c r="S7" s="1059">
        <f t="shared" si="9"/>
        <v>201810400</v>
      </c>
      <c r="T7" s="1060"/>
      <c r="U7" s="1059"/>
      <c r="V7" s="1059">
        <f t="shared" si="10"/>
        <v>201810400</v>
      </c>
      <c r="W7" s="1060"/>
      <c r="X7" s="1059">
        <f t="shared" si="7"/>
        <v>161448320</v>
      </c>
      <c r="Y7" s="1060"/>
      <c r="Z7" s="1059"/>
      <c r="AA7" s="1059">
        <f t="shared" si="11"/>
        <v>161448320</v>
      </c>
      <c r="AB7" s="1060"/>
      <c r="AC7" s="1059">
        <f t="shared" si="6"/>
        <v>21738610</v>
      </c>
      <c r="AD7" s="1060"/>
      <c r="AE7" s="1059"/>
      <c r="AF7" s="1059">
        <f t="shared" si="12"/>
        <v>21738610</v>
      </c>
      <c r="AG7" s="1060"/>
      <c r="AH7" s="1059">
        <f t="shared" si="7"/>
        <v>0</v>
      </c>
      <c r="AI7" s="1060"/>
      <c r="AJ7" s="1059"/>
      <c r="AK7" s="1059">
        <f t="shared" si="13"/>
        <v>0</v>
      </c>
      <c r="AM7" s="320" t="b">
        <f t="shared" si="2"/>
        <v>1</v>
      </c>
    </row>
    <row r="8" spans="2:52">
      <c r="B8" s="1472"/>
      <c r="C8" s="1058" t="s">
        <v>394</v>
      </c>
      <c r="D8" s="1058">
        <v>210</v>
      </c>
      <c r="E8" s="503">
        <v>950000</v>
      </c>
      <c r="F8" s="503">
        <v>1050000</v>
      </c>
      <c r="G8" s="1059">
        <f t="shared" si="8"/>
        <v>219450000.00000003</v>
      </c>
      <c r="H8" s="1059">
        <f t="shared" si="3"/>
        <v>0</v>
      </c>
      <c r="I8" s="1059"/>
      <c r="J8" s="1059">
        <f t="shared" si="4"/>
        <v>34240780</v>
      </c>
      <c r="K8" s="1059">
        <v>2835130</v>
      </c>
      <c r="L8" s="1059">
        <v>3496350</v>
      </c>
      <c r="M8" s="1059"/>
      <c r="N8" s="1059">
        <v>27909300</v>
      </c>
      <c r="O8" s="1134">
        <v>45975</v>
      </c>
      <c r="P8" s="1059">
        <v>34240780</v>
      </c>
      <c r="Q8" s="1059">
        <f t="shared" si="5"/>
        <v>0</v>
      </c>
      <c r="R8" s="1060"/>
      <c r="S8" s="1059">
        <f t="shared" si="9"/>
        <v>109725000</v>
      </c>
      <c r="T8" s="1060"/>
      <c r="U8" s="1059"/>
      <c r="V8" s="1059">
        <f t="shared" si="10"/>
        <v>109725000</v>
      </c>
      <c r="W8" s="1060"/>
      <c r="X8" s="1059">
        <f t="shared" si="7"/>
        <v>87780000</v>
      </c>
      <c r="Y8" s="1060"/>
      <c r="Z8" s="1059"/>
      <c r="AA8" s="1059">
        <f t="shared" si="11"/>
        <v>87780000</v>
      </c>
      <c r="AB8" s="1060"/>
      <c r="AC8" s="1059">
        <f t="shared" si="6"/>
        <v>10804220</v>
      </c>
      <c r="AD8" s="1060"/>
      <c r="AE8" s="1059"/>
      <c r="AF8" s="1059">
        <f t="shared" si="12"/>
        <v>10804220</v>
      </c>
      <c r="AG8" s="1060"/>
      <c r="AH8" s="1059">
        <f t="shared" si="7"/>
        <v>0</v>
      </c>
      <c r="AI8" s="1060"/>
      <c r="AJ8" s="1059"/>
      <c r="AK8" s="1059">
        <f t="shared" si="13"/>
        <v>0</v>
      </c>
      <c r="AM8" s="320" t="b">
        <f t="shared" si="2"/>
        <v>1</v>
      </c>
    </row>
    <row r="9" spans="2:52">
      <c r="B9" s="1472"/>
      <c r="C9" s="1058" t="s">
        <v>654</v>
      </c>
      <c r="D9" s="1058">
        <v>122</v>
      </c>
      <c r="E9" s="503">
        <v>950000</v>
      </c>
      <c r="F9" s="503">
        <v>1050000</v>
      </c>
      <c r="G9" s="1059">
        <f t="shared" si="8"/>
        <v>127490000.00000001</v>
      </c>
      <c r="H9" s="1059">
        <f t="shared" si="3"/>
        <v>0</v>
      </c>
      <c r="I9" s="1059"/>
      <c r="J9" s="1059">
        <f t="shared" si="4"/>
        <v>0</v>
      </c>
      <c r="K9" s="1059"/>
      <c r="L9" s="1059"/>
      <c r="M9" s="1059"/>
      <c r="N9" s="1059"/>
      <c r="O9" s="1134"/>
      <c r="P9" s="1059"/>
      <c r="Q9" s="1059">
        <f t="shared" si="5"/>
        <v>0</v>
      </c>
      <c r="R9" s="1060"/>
      <c r="S9" s="1059">
        <f t="shared" si="9"/>
        <v>63745000</v>
      </c>
      <c r="T9" s="1060"/>
      <c r="U9" s="1059"/>
      <c r="V9" s="1059">
        <f t="shared" si="10"/>
        <v>63745000</v>
      </c>
      <c r="W9" s="1060"/>
      <c r="X9" s="1059">
        <f t="shared" si="7"/>
        <v>50996000</v>
      </c>
      <c r="Y9" s="1060"/>
      <c r="Z9" s="1059"/>
      <c r="AA9" s="1059">
        <f t="shared" si="11"/>
        <v>50996000</v>
      </c>
      <c r="AB9" s="1060"/>
      <c r="AC9" s="1059">
        <f t="shared" si="6"/>
        <v>26169000</v>
      </c>
      <c r="AD9" s="1060"/>
      <c r="AE9" s="1059"/>
      <c r="AF9" s="1059">
        <f t="shared" si="12"/>
        <v>26169000</v>
      </c>
      <c r="AG9" s="1060"/>
      <c r="AH9" s="1059">
        <f t="shared" si="7"/>
        <v>0</v>
      </c>
      <c r="AI9" s="1060"/>
      <c r="AJ9" s="1059"/>
      <c r="AK9" s="1059">
        <f t="shared" si="13"/>
        <v>0</v>
      </c>
      <c r="AM9" s="320" t="b">
        <f t="shared" si="2"/>
        <v>1</v>
      </c>
    </row>
    <row r="10" spans="2:52" s="1071" customFormat="1">
      <c r="B10" s="1472"/>
      <c r="C10" s="1067" t="s">
        <v>725</v>
      </c>
      <c r="D10" s="1067">
        <v>172</v>
      </c>
      <c r="E10" s="1068">
        <v>950000</v>
      </c>
      <c r="F10" s="1068">
        <v>1050000</v>
      </c>
      <c r="G10" s="1064">
        <f t="shared" si="8"/>
        <v>179740000</v>
      </c>
      <c r="H10" s="1064">
        <f t="shared" si="3"/>
        <v>0</v>
      </c>
      <c r="I10" s="1064">
        <f>+U10</f>
        <v>0</v>
      </c>
      <c r="J10" s="1064">
        <f t="shared" si="4"/>
        <v>0</v>
      </c>
      <c r="K10" s="1064"/>
      <c r="L10" s="1064"/>
      <c r="M10" s="1064"/>
      <c r="N10" s="1064"/>
      <c r="O10" s="1135"/>
      <c r="P10" s="1064"/>
      <c r="Q10" s="1064">
        <f t="shared" si="5"/>
        <v>0</v>
      </c>
      <c r="R10" s="1069"/>
      <c r="S10" s="1064">
        <f t="shared" si="9"/>
        <v>89870000</v>
      </c>
      <c r="T10" s="1069"/>
      <c r="U10" s="1064"/>
      <c r="V10" s="1064">
        <f t="shared" si="10"/>
        <v>89870000</v>
      </c>
      <c r="W10" s="1069"/>
      <c r="X10" s="1064">
        <f t="shared" si="7"/>
        <v>71896000</v>
      </c>
      <c r="Y10" s="1069"/>
      <c r="Z10" s="1064"/>
      <c r="AA10" s="1064">
        <f t="shared" si="11"/>
        <v>71896000</v>
      </c>
      <c r="AB10" s="1069"/>
      <c r="AC10" s="1064">
        <f t="shared" si="6"/>
        <v>36894000</v>
      </c>
      <c r="AD10" s="1069"/>
      <c r="AE10" s="1064"/>
      <c r="AF10" s="1064">
        <f t="shared" si="12"/>
        <v>36894000</v>
      </c>
      <c r="AG10" s="1069"/>
      <c r="AH10" s="1064">
        <f t="shared" si="7"/>
        <v>0</v>
      </c>
      <c r="AI10" s="1069"/>
      <c r="AJ10" s="1064"/>
      <c r="AK10" s="1064">
        <f t="shared" si="13"/>
        <v>0</v>
      </c>
      <c r="AL10" s="1070"/>
      <c r="AM10" s="1070" t="b">
        <f t="shared" si="2"/>
        <v>1</v>
      </c>
      <c r="AN10" s="1070"/>
      <c r="AO10" s="1070"/>
      <c r="AP10" s="1070"/>
      <c r="AQ10" s="1070"/>
      <c r="AR10" s="1070"/>
      <c r="AS10" s="1070"/>
      <c r="AT10" s="1070"/>
      <c r="AU10" s="1070"/>
      <c r="AV10" s="1070"/>
      <c r="AW10" s="1070"/>
      <c r="AX10" s="1070"/>
      <c r="AY10" s="1070"/>
      <c r="AZ10" s="1070"/>
    </row>
    <row r="11" spans="2:52">
      <c r="B11" s="1472"/>
      <c r="C11" s="1058" t="s">
        <v>659</v>
      </c>
      <c r="D11" s="1058">
        <v>438</v>
      </c>
      <c r="E11" s="503">
        <v>950000</v>
      </c>
      <c r="F11" s="503">
        <v>1050000</v>
      </c>
      <c r="G11" s="1059">
        <f t="shared" si="8"/>
        <v>457710000.00000006</v>
      </c>
      <c r="H11" s="1059">
        <f t="shared" si="3"/>
        <v>0</v>
      </c>
      <c r="I11" s="1059"/>
      <c r="J11" s="1059">
        <f t="shared" si="4"/>
        <v>0</v>
      </c>
      <c r="K11" s="1059"/>
      <c r="L11" s="1059"/>
      <c r="M11" s="1059"/>
      <c r="N11" s="1059"/>
      <c r="O11" s="1134"/>
      <c r="P11" s="1059"/>
      <c r="Q11" s="1059">
        <f t="shared" si="5"/>
        <v>0</v>
      </c>
      <c r="R11" s="1060"/>
      <c r="S11" s="1059">
        <f t="shared" si="9"/>
        <v>228855000</v>
      </c>
      <c r="T11" s="1060"/>
      <c r="U11" s="1059"/>
      <c r="V11" s="1059">
        <f t="shared" si="10"/>
        <v>228855000</v>
      </c>
      <c r="W11" s="1060"/>
      <c r="X11" s="1059">
        <f t="shared" si="7"/>
        <v>183084000</v>
      </c>
      <c r="Y11" s="1060"/>
      <c r="Z11" s="1059"/>
      <c r="AA11" s="1059">
        <f t="shared" si="11"/>
        <v>183084000</v>
      </c>
      <c r="AB11" s="1060"/>
      <c r="AC11" s="1059">
        <f t="shared" si="6"/>
        <v>93951000</v>
      </c>
      <c r="AD11" s="1060"/>
      <c r="AE11" s="1059"/>
      <c r="AF11" s="1059">
        <f t="shared" si="12"/>
        <v>93951000</v>
      </c>
      <c r="AG11" s="1060"/>
      <c r="AH11" s="1059">
        <f t="shared" si="7"/>
        <v>0</v>
      </c>
      <c r="AI11" s="1060"/>
      <c r="AJ11" s="1059"/>
      <c r="AK11" s="1059">
        <f t="shared" si="13"/>
        <v>0</v>
      </c>
      <c r="AM11" s="320" t="b">
        <f t="shared" si="2"/>
        <v>1</v>
      </c>
    </row>
    <row r="12" spans="2:52">
      <c r="B12" s="1472"/>
      <c r="C12" s="1058" t="s">
        <v>653</v>
      </c>
      <c r="D12" s="1058">
        <v>171</v>
      </c>
      <c r="E12" s="503">
        <v>950000</v>
      </c>
      <c r="F12" s="503">
        <v>1050000</v>
      </c>
      <c r="G12" s="1059">
        <f t="shared" si="8"/>
        <v>178695000</v>
      </c>
      <c r="H12" s="1059">
        <f t="shared" si="3"/>
        <v>0</v>
      </c>
      <c r="I12" s="1059"/>
      <c r="J12" s="1059">
        <f t="shared" si="4"/>
        <v>28639300</v>
      </c>
      <c r="K12" s="1059">
        <v>2828890</v>
      </c>
      <c r="L12" s="1059">
        <v>3084890</v>
      </c>
      <c r="M12" s="1059"/>
      <c r="N12" s="1059">
        <v>22725520</v>
      </c>
      <c r="O12" s="1134">
        <v>45975</v>
      </c>
      <c r="P12" s="1059">
        <v>28639300</v>
      </c>
      <c r="Q12" s="1059">
        <f t="shared" si="5"/>
        <v>0</v>
      </c>
      <c r="R12" s="1060"/>
      <c r="S12" s="1059">
        <f t="shared" si="9"/>
        <v>89347500</v>
      </c>
      <c r="T12" s="1060"/>
      <c r="U12" s="1059"/>
      <c r="V12" s="1059">
        <f t="shared" si="10"/>
        <v>89347500</v>
      </c>
      <c r="W12" s="1060"/>
      <c r="X12" s="1059">
        <f t="shared" si="7"/>
        <v>71478000</v>
      </c>
      <c r="Y12" s="1060"/>
      <c r="Z12" s="1059"/>
      <c r="AA12" s="1059">
        <f t="shared" si="11"/>
        <v>71478000</v>
      </c>
      <c r="AB12" s="1060"/>
      <c r="AC12" s="1059">
        <f t="shared" si="6"/>
        <v>8040200</v>
      </c>
      <c r="AD12" s="1060"/>
      <c r="AE12" s="1059"/>
      <c r="AF12" s="1059">
        <f t="shared" si="12"/>
        <v>8040200</v>
      </c>
      <c r="AG12" s="1060"/>
      <c r="AH12" s="1059">
        <f t="shared" si="7"/>
        <v>0</v>
      </c>
      <c r="AI12" s="1060"/>
      <c r="AJ12" s="1059"/>
      <c r="AK12" s="1059">
        <f t="shared" si="13"/>
        <v>0</v>
      </c>
      <c r="AM12" s="320" t="b">
        <f t="shared" si="2"/>
        <v>1</v>
      </c>
    </row>
    <row r="13" spans="2:52">
      <c r="B13" s="1472"/>
      <c r="C13" s="1058" t="s">
        <v>726</v>
      </c>
      <c r="D13" s="1058">
        <v>527</v>
      </c>
      <c r="E13" s="503">
        <v>950000</v>
      </c>
      <c r="F13" s="503">
        <v>1050000</v>
      </c>
      <c r="G13" s="1059">
        <f t="shared" si="8"/>
        <v>550715000</v>
      </c>
      <c r="H13" s="1059">
        <f t="shared" ref="H13:H18" si="14">+U13+Z13+AE13+AJ13</f>
        <v>0</v>
      </c>
      <c r="I13" s="1059"/>
      <c r="J13" s="1059">
        <f t="shared" si="4"/>
        <v>0</v>
      </c>
      <c r="K13" s="1059"/>
      <c r="L13" s="1059"/>
      <c r="M13" s="1059"/>
      <c r="N13" s="1059"/>
      <c r="O13" s="1134"/>
      <c r="P13" s="1059"/>
      <c r="Q13" s="1059">
        <f t="shared" si="5"/>
        <v>0</v>
      </c>
      <c r="R13" s="1060"/>
      <c r="S13" s="1059">
        <f t="shared" si="9"/>
        <v>275357500</v>
      </c>
      <c r="T13" s="1060"/>
      <c r="U13" s="1059"/>
      <c r="V13" s="1059">
        <f t="shared" si="10"/>
        <v>275357500</v>
      </c>
      <c r="W13" s="1060"/>
      <c r="X13" s="1059">
        <f t="shared" si="7"/>
        <v>220286000</v>
      </c>
      <c r="Y13" s="1060"/>
      <c r="Z13" s="1059"/>
      <c r="AA13" s="1059">
        <f t="shared" si="11"/>
        <v>220286000</v>
      </c>
      <c r="AB13" s="1060"/>
      <c r="AC13" s="1059">
        <f t="shared" si="6"/>
        <v>113041500</v>
      </c>
      <c r="AD13" s="1060"/>
      <c r="AE13" s="1059"/>
      <c r="AF13" s="1059">
        <f t="shared" si="12"/>
        <v>113041500</v>
      </c>
      <c r="AG13" s="1060"/>
      <c r="AH13" s="1059">
        <f t="shared" si="7"/>
        <v>0</v>
      </c>
      <c r="AI13" s="1060"/>
      <c r="AJ13" s="1059"/>
      <c r="AK13" s="1059">
        <f t="shared" si="13"/>
        <v>0</v>
      </c>
      <c r="AM13" s="320" t="b">
        <f t="shared" si="2"/>
        <v>1</v>
      </c>
    </row>
    <row r="14" spans="2:52">
      <c r="B14" s="1472"/>
      <c r="C14" s="1058" t="s">
        <v>655</v>
      </c>
      <c r="D14" s="1058">
        <v>234</v>
      </c>
      <c r="E14" s="503">
        <v>950000</v>
      </c>
      <c r="F14" s="503">
        <v>1050000</v>
      </c>
      <c r="G14" s="1059">
        <f t="shared" si="8"/>
        <v>244530000.00000003</v>
      </c>
      <c r="H14" s="1059">
        <f t="shared" si="14"/>
        <v>0</v>
      </c>
      <c r="I14" s="1059"/>
      <c r="J14" s="1059">
        <f t="shared" si="4"/>
        <v>36744570</v>
      </c>
      <c r="K14" s="1059">
        <v>2782150</v>
      </c>
      <c r="L14" s="1059">
        <v>2858230</v>
      </c>
      <c r="M14" s="1059"/>
      <c r="N14" s="1059">
        <v>31104190</v>
      </c>
      <c r="O14" s="1134">
        <v>45975</v>
      </c>
      <c r="P14" s="1059">
        <v>36744570</v>
      </c>
      <c r="Q14" s="1059">
        <f t="shared" si="5"/>
        <v>0</v>
      </c>
      <c r="R14" s="1060"/>
      <c r="S14" s="1059">
        <f t="shared" si="9"/>
        <v>122265000</v>
      </c>
      <c r="T14" s="1060"/>
      <c r="U14" s="1059"/>
      <c r="V14" s="1059">
        <f t="shared" si="10"/>
        <v>122265000</v>
      </c>
      <c r="W14" s="1060"/>
      <c r="X14" s="1059">
        <f t="shared" si="7"/>
        <v>97812000</v>
      </c>
      <c r="Y14" s="1060"/>
      <c r="Z14" s="1059"/>
      <c r="AA14" s="1059">
        <f t="shared" si="11"/>
        <v>97812000</v>
      </c>
      <c r="AB14" s="1060"/>
      <c r="AC14" s="1059">
        <f t="shared" si="6"/>
        <v>13448430</v>
      </c>
      <c r="AD14" s="1060"/>
      <c r="AE14" s="1059"/>
      <c r="AF14" s="1059">
        <f t="shared" si="12"/>
        <v>13448430</v>
      </c>
      <c r="AG14" s="1060"/>
      <c r="AH14" s="1059">
        <f t="shared" si="7"/>
        <v>0</v>
      </c>
      <c r="AI14" s="1060"/>
      <c r="AJ14" s="1059"/>
      <c r="AK14" s="1059">
        <f t="shared" si="13"/>
        <v>0</v>
      </c>
      <c r="AM14" s="320" t="b">
        <f t="shared" si="2"/>
        <v>1</v>
      </c>
      <c r="AN14" s="1066"/>
    </row>
    <row r="15" spans="2:52">
      <c r="B15" s="1472"/>
      <c r="C15" s="1058" t="s">
        <v>727</v>
      </c>
      <c r="D15" s="1058">
        <v>500</v>
      </c>
      <c r="E15" s="503">
        <v>950000</v>
      </c>
      <c r="F15" s="503">
        <v>1050000</v>
      </c>
      <c r="G15" s="1059">
        <f t="shared" si="8"/>
        <v>522500000.00000006</v>
      </c>
      <c r="H15" s="1059">
        <f t="shared" si="14"/>
        <v>0</v>
      </c>
      <c r="I15" s="1059"/>
      <c r="J15" s="1059">
        <f t="shared" si="4"/>
        <v>72443420</v>
      </c>
      <c r="K15" s="1059">
        <v>2999000</v>
      </c>
      <c r="L15" s="1059">
        <v>2917300</v>
      </c>
      <c r="M15" s="1059"/>
      <c r="N15" s="1059">
        <v>66527120</v>
      </c>
      <c r="O15" s="1134">
        <v>45995</v>
      </c>
      <c r="P15" s="1059">
        <f>2999000+2917300</f>
        <v>5916300</v>
      </c>
      <c r="Q15" s="1059">
        <f t="shared" si="5"/>
        <v>66527120</v>
      </c>
      <c r="R15" s="1060"/>
      <c r="S15" s="1059">
        <f t="shared" si="9"/>
        <v>261250000</v>
      </c>
      <c r="T15" s="1060"/>
      <c r="U15" s="1059"/>
      <c r="V15" s="1059">
        <f t="shared" si="10"/>
        <v>261250000</v>
      </c>
      <c r="W15" s="1060"/>
      <c r="X15" s="1059">
        <f t="shared" si="7"/>
        <v>209000000</v>
      </c>
      <c r="Y15" s="1060"/>
      <c r="Z15" s="1059"/>
      <c r="AA15" s="1059">
        <f t="shared" si="11"/>
        <v>209000000</v>
      </c>
      <c r="AB15" s="1060"/>
      <c r="AC15" s="1059">
        <f t="shared" si="6"/>
        <v>34806580</v>
      </c>
      <c r="AD15" s="1060"/>
      <c r="AE15" s="1059"/>
      <c r="AF15" s="1059">
        <f t="shared" si="12"/>
        <v>34806580</v>
      </c>
      <c r="AG15" s="1060"/>
      <c r="AH15" s="1059">
        <f t="shared" si="7"/>
        <v>0</v>
      </c>
      <c r="AI15" s="1060"/>
      <c r="AJ15" s="1059"/>
      <c r="AK15" s="1059">
        <f t="shared" si="13"/>
        <v>0</v>
      </c>
      <c r="AM15" s="320" t="b">
        <f t="shared" si="2"/>
        <v>1</v>
      </c>
    </row>
    <row r="16" spans="2:52" s="1071" customFormat="1">
      <c r="B16" s="1472"/>
      <c r="C16" s="1067" t="s">
        <v>661</v>
      </c>
      <c r="D16" s="1067">
        <v>127</v>
      </c>
      <c r="E16" s="1068">
        <v>950000</v>
      </c>
      <c r="F16" s="1068">
        <v>1050000</v>
      </c>
      <c r="G16" s="1064">
        <f t="shared" si="8"/>
        <v>132715000.00000001</v>
      </c>
      <c r="H16" s="1064">
        <f t="shared" si="14"/>
        <v>0</v>
      </c>
      <c r="I16" s="1064"/>
      <c r="J16" s="1064">
        <f t="shared" si="4"/>
        <v>0</v>
      </c>
      <c r="K16" s="1064"/>
      <c r="L16" s="1064"/>
      <c r="M16" s="1064"/>
      <c r="N16" s="1064"/>
      <c r="O16" s="1135"/>
      <c r="P16" s="1064"/>
      <c r="Q16" s="1064">
        <f t="shared" si="5"/>
        <v>0</v>
      </c>
      <c r="R16" s="1069"/>
      <c r="S16" s="1064">
        <f t="shared" si="9"/>
        <v>66357500</v>
      </c>
      <c r="T16" s="1069"/>
      <c r="U16" s="1064"/>
      <c r="V16" s="1064">
        <f t="shared" si="10"/>
        <v>66357500</v>
      </c>
      <c r="W16" s="1069"/>
      <c r="X16" s="1064">
        <f t="shared" si="7"/>
        <v>53086000</v>
      </c>
      <c r="Y16" s="1069"/>
      <c r="Z16" s="1064"/>
      <c r="AA16" s="1064">
        <f t="shared" si="11"/>
        <v>53086000</v>
      </c>
      <c r="AB16" s="1069"/>
      <c r="AC16" s="1064">
        <f t="shared" si="6"/>
        <v>27241500</v>
      </c>
      <c r="AD16" s="1069"/>
      <c r="AE16" s="1064"/>
      <c r="AF16" s="1064">
        <f t="shared" si="12"/>
        <v>27241500</v>
      </c>
      <c r="AG16" s="1069"/>
      <c r="AH16" s="1064">
        <f t="shared" si="7"/>
        <v>0</v>
      </c>
      <c r="AI16" s="1069"/>
      <c r="AJ16" s="1064"/>
      <c r="AK16" s="1064">
        <f t="shared" si="13"/>
        <v>0</v>
      </c>
      <c r="AL16" s="1070"/>
      <c r="AM16" s="1070" t="b">
        <f t="shared" si="2"/>
        <v>1</v>
      </c>
      <c r="AN16" s="1070"/>
      <c r="AO16" s="1070"/>
      <c r="AP16" s="1070"/>
      <c r="AQ16" s="1070"/>
      <c r="AR16" s="1070"/>
      <c r="AS16" s="1070"/>
      <c r="AT16" s="1070"/>
      <c r="AU16" s="1070"/>
      <c r="AV16" s="1070"/>
      <c r="AW16" s="1070"/>
      <c r="AX16" s="1070"/>
      <c r="AY16" s="1070"/>
      <c r="AZ16" s="1070"/>
    </row>
    <row r="17" spans="2:39">
      <c r="B17" s="1472"/>
      <c r="C17" s="1058" t="s">
        <v>663</v>
      </c>
      <c r="D17" s="1058">
        <v>161</v>
      </c>
      <c r="E17" s="503">
        <v>950000</v>
      </c>
      <c r="F17" s="503">
        <v>1050000</v>
      </c>
      <c r="G17" s="1059">
        <f t="shared" si="8"/>
        <v>168245000</v>
      </c>
      <c r="H17" s="1059">
        <f t="shared" si="14"/>
        <v>0</v>
      </c>
      <c r="I17" s="1059"/>
      <c r="J17" s="1059">
        <f t="shared" si="4"/>
        <v>0</v>
      </c>
      <c r="K17" s="1059"/>
      <c r="L17" s="1059"/>
      <c r="M17" s="1059"/>
      <c r="N17" s="1059"/>
      <c r="O17" s="1134"/>
      <c r="P17" s="1059"/>
      <c r="Q17" s="1059">
        <f t="shared" si="5"/>
        <v>0</v>
      </c>
      <c r="R17" s="1060"/>
      <c r="S17" s="1059">
        <f t="shared" si="9"/>
        <v>84122500</v>
      </c>
      <c r="T17" s="1060"/>
      <c r="U17" s="1059"/>
      <c r="V17" s="1059">
        <f t="shared" si="10"/>
        <v>84122500</v>
      </c>
      <c r="W17" s="1060"/>
      <c r="X17" s="1059">
        <f t="shared" si="7"/>
        <v>67298000</v>
      </c>
      <c r="Y17" s="1060"/>
      <c r="Z17" s="1059"/>
      <c r="AA17" s="1059">
        <f t="shared" si="11"/>
        <v>67298000</v>
      </c>
      <c r="AB17" s="1060"/>
      <c r="AC17" s="1059">
        <f t="shared" si="6"/>
        <v>34534500</v>
      </c>
      <c r="AD17" s="1060"/>
      <c r="AE17" s="1059"/>
      <c r="AF17" s="1059">
        <f t="shared" si="12"/>
        <v>34534500</v>
      </c>
      <c r="AG17" s="1060"/>
      <c r="AH17" s="1059">
        <f t="shared" si="7"/>
        <v>0</v>
      </c>
      <c r="AI17" s="1060"/>
      <c r="AJ17" s="1059"/>
      <c r="AK17" s="1059">
        <f t="shared" si="13"/>
        <v>0</v>
      </c>
      <c r="AM17" s="320" t="b">
        <f t="shared" si="2"/>
        <v>1</v>
      </c>
    </row>
    <row r="18" spans="2:39">
      <c r="B18" s="1472"/>
      <c r="C18" s="1058" t="s">
        <v>662</v>
      </c>
      <c r="D18" s="1058">
        <f>+'SPV별 DEVEX 현황'!D18</f>
        <v>295</v>
      </c>
      <c r="E18" s="503">
        <v>950000</v>
      </c>
      <c r="F18" s="503">
        <v>1050000</v>
      </c>
      <c r="G18" s="1059">
        <f t="shared" si="8"/>
        <v>308275000</v>
      </c>
      <c r="H18" s="1059">
        <f t="shared" si="14"/>
        <v>0</v>
      </c>
      <c r="I18" s="1059"/>
      <c r="J18" s="1059">
        <f t="shared" si="4"/>
        <v>0</v>
      </c>
      <c r="K18" s="1059"/>
      <c r="L18" s="1059"/>
      <c r="M18" s="1059"/>
      <c r="N18" s="1059"/>
      <c r="O18" s="1134"/>
      <c r="P18" s="1059"/>
      <c r="Q18" s="1059">
        <f t="shared" si="5"/>
        <v>0</v>
      </c>
      <c r="R18" s="1060"/>
      <c r="S18" s="1059">
        <f t="shared" si="9"/>
        <v>154137500</v>
      </c>
      <c r="T18" s="1060"/>
      <c r="U18" s="1059"/>
      <c r="V18" s="1059">
        <f t="shared" si="10"/>
        <v>154137500</v>
      </c>
      <c r="W18" s="1060"/>
      <c r="X18" s="1059">
        <f t="shared" si="7"/>
        <v>123310000</v>
      </c>
      <c r="Y18" s="1060"/>
      <c r="Z18" s="1059"/>
      <c r="AA18" s="1059">
        <f t="shared" si="11"/>
        <v>123310000</v>
      </c>
      <c r="AB18" s="1060"/>
      <c r="AC18" s="1059">
        <f t="shared" si="6"/>
        <v>63277500</v>
      </c>
      <c r="AD18" s="1060"/>
      <c r="AE18" s="1059"/>
      <c r="AF18" s="1059">
        <f t="shared" si="12"/>
        <v>63277500</v>
      </c>
      <c r="AG18" s="1060"/>
      <c r="AH18" s="1059">
        <f t="shared" si="7"/>
        <v>0</v>
      </c>
      <c r="AI18" s="1060"/>
      <c r="AJ18" s="1059"/>
      <c r="AK18" s="1059">
        <f t="shared" si="13"/>
        <v>0</v>
      </c>
      <c r="AM18" s="320" t="b">
        <f t="shared" si="2"/>
        <v>1</v>
      </c>
    </row>
    <row r="19" spans="2:39">
      <c r="AM19" s="320" t="b">
        <f t="shared" si="2"/>
        <v>1</v>
      </c>
    </row>
    <row r="20" spans="2:39" ht="15.6" customHeight="1">
      <c r="B20" s="1470" t="s">
        <v>165</v>
      </c>
      <c r="C20" s="1470" t="s">
        <v>715</v>
      </c>
      <c r="D20" s="1473" t="s">
        <v>270</v>
      </c>
      <c r="E20" s="1474" t="s">
        <v>1055</v>
      </c>
      <c r="F20" s="1474" t="s">
        <v>1054</v>
      </c>
      <c r="G20" s="1471" t="s">
        <v>17</v>
      </c>
      <c r="H20" s="1475" t="s">
        <v>716</v>
      </c>
      <c r="I20" s="1475" t="s">
        <v>717</v>
      </c>
      <c r="J20" s="1477" t="s">
        <v>1050</v>
      </c>
      <c r="K20" s="1478"/>
      <c r="L20" s="1478"/>
      <c r="M20" s="1478"/>
      <c r="N20" s="1478"/>
      <c r="O20" s="1478"/>
      <c r="P20" s="1478"/>
      <c r="Q20" s="1479"/>
      <c r="R20" s="1471" t="s">
        <v>718</v>
      </c>
      <c r="S20" s="1471"/>
      <c r="T20" s="1471"/>
      <c r="U20" s="1471"/>
      <c r="V20" s="1471"/>
      <c r="W20" s="1471" t="s">
        <v>719</v>
      </c>
      <c r="X20" s="1471"/>
      <c r="Y20" s="1471"/>
      <c r="Z20" s="1471"/>
      <c r="AA20" s="1471"/>
      <c r="AB20" s="1471" t="s">
        <v>370</v>
      </c>
      <c r="AC20" s="1471"/>
      <c r="AD20" s="1471"/>
      <c r="AE20" s="1471"/>
      <c r="AF20" s="1471"/>
      <c r="AG20" s="1471" t="s">
        <v>371</v>
      </c>
      <c r="AH20" s="1471"/>
      <c r="AI20" s="1471"/>
      <c r="AJ20" s="1471"/>
      <c r="AK20" s="1471"/>
    </row>
    <row r="21" spans="2:39" ht="13.5">
      <c r="B21" s="1470"/>
      <c r="C21" s="1470"/>
      <c r="D21" s="1473"/>
      <c r="E21" s="1474"/>
      <c r="F21" s="1474"/>
      <c r="G21" s="1471"/>
      <c r="H21" s="1476"/>
      <c r="I21" s="1476"/>
      <c r="J21" s="1065" t="s">
        <v>1043</v>
      </c>
      <c r="K21" s="1065" t="s">
        <v>1044</v>
      </c>
      <c r="L21" s="1065" t="s">
        <v>1045</v>
      </c>
      <c r="M21" s="1065" t="s">
        <v>890</v>
      </c>
      <c r="N21" s="1065" t="s">
        <v>1046</v>
      </c>
      <c r="O21" s="1133" t="s">
        <v>1047</v>
      </c>
      <c r="P21" s="1065" t="s">
        <v>1048</v>
      </c>
      <c r="Q21" s="1065" t="s">
        <v>1049</v>
      </c>
      <c r="R21" s="1061" t="s">
        <v>188</v>
      </c>
      <c r="S21" s="1062">
        <v>0.5</v>
      </c>
      <c r="T21" s="1061" t="s">
        <v>188</v>
      </c>
      <c r="U21" s="1063" t="s">
        <v>720</v>
      </c>
      <c r="V21" s="1063" t="s">
        <v>721</v>
      </c>
      <c r="W21" s="1061" t="s">
        <v>188</v>
      </c>
      <c r="X21" s="1062">
        <v>0.4</v>
      </c>
      <c r="Y21" s="1061" t="s">
        <v>188</v>
      </c>
      <c r="Z21" s="1063" t="s">
        <v>720</v>
      </c>
      <c r="AA21" s="1063" t="s">
        <v>721</v>
      </c>
      <c r="AB21" s="1061" t="s">
        <v>188</v>
      </c>
      <c r="AC21" s="1062">
        <v>0.1</v>
      </c>
      <c r="AD21" s="1061" t="s">
        <v>188</v>
      </c>
      <c r="AE21" s="1063" t="s">
        <v>720</v>
      </c>
      <c r="AF21" s="1063" t="s">
        <v>721</v>
      </c>
      <c r="AG21" s="1061" t="s">
        <v>188</v>
      </c>
      <c r="AH21" s="1062">
        <v>0</v>
      </c>
      <c r="AI21" s="1061" t="s">
        <v>188</v>
      </c>
      <c r="AJ21" s="1063" t="s">
        <v>720</v>
      </c>
      <c r="AK21" s="1063" t="s">
        <v>721</v>
      </c>
    </row>
    <row r="22" spans="2:39">
      <c r="B22" s="1472" t="s">
        <v>728</v>
      </c>
      <c r="C22" s="1057"/>
      <c r="D22" s="1058">
        <f>+SUM(D23:D36)</f>
        <v>4242.3249999999998</v>
      </c>
      <c r="E22" s="503">
        <v>950000</v>
      </c>
      <c r="F22" s="503">
        <v>1050000</v>
      </c>
      <c r="G22" s="1059">
        <f t="shared" ref="G22:N22" si="15">+SUM(G23:G36)</f>
        <v>4433229625</v>
      </c>
      <c r="H22" s="1059">
        <f t="shared" si="15"/>
        <v>0</v>
      </c>
      <c r="I22" s="1059">
        <f t="shared" si="15"/>
        <v>0</v>
      </c>
      <c r="J22" s="1059">
        <f t="shared" si="15"/>
        <v>237373380</v>
      </c>
      <c r="K22" s="1059">
        <f t="shared" si="15"/>
        <v>9083110</v>
      </c>
      <c r="L22" s="1059">
        <f t="shared" si="15"/>
        <v>14876680</v>
      </c>
      <c r="M22" s="1059">
        <f t="shared" si="15"/>
        <v>3300000</v>
      </c>
      <c r="N22" s="1059">
        <f t="shared" si="15"/>
        <v>210113590</v>
      </c>
      <c r="O22" s="1059"/>
      <c r="P22" s="1059">
        <f>+SUM(P23:P36)</f>
        <v>124280560</v>
      </c>
      <c r="Q22" s="1059">
        <f>+SUM(Q23:Q36)</f>
        <v>113092820</v>
      </c>
      <c r="R22" s="1060"/>
      <c r="S22" s="1059">
        <f>+SUM(S23:S36)</f>
        <v>2216614814</v>
      </c>
      <c r="T22" s="1060"/>
      <c r="U22" s="1059">
        <f>+SUM(U23:U36)</f>
        <v>0</v>
      </c>
      <c r="V22" s="1059">
        <f>+SUM(V23:V36)</f>
        <v>2216614814</v>
      </c>
      <c r="W22" s="1060"/>
      <c r="X22" s="1059">
        <f t="shared" ref="X22" si="16">+SUM(X23:X36)</f>
        <v>1773291850</v>
      </c>
      <c r="Y22" s="1060"/>
      <c r="Z22" s="1059"/>
      <c r="AA22" s="1059">
        <f>+SUM(AA23:AA36)</f>
        <v>1773291850</v>
      </c>
      <c r="AB22" s="1060"/>
      <c r="AC22" s="1059">
        <f t="shared" ref="AC22" si="17">+SUM(AC23:AC36)</f>
        <v>672605331</v>
      </c>
      <c r="AD22" s="1060"/>
      <c r="AE22" s="1059"/>
      <c r="AF22" s="1059">
        <f>+SUM(AF23:AF36)</f>
        <v>672605331</v>
      </c>
      <c r="AG22" s="1059"/>
      <c r="AH22" s="1059">
        <f t="shared" ref="AH22" si="18">+SUM(AH23:AH36)</f>
        <v>0</v>
      </c>
      <c r="AI22" s="1059"/>
      <c r="AJ22" s="1059"/>
      <c r="AK22" s="1059">
        <f>+SUM(AK23:AK36)</f>
        <v>0</v>
      </c>
      <c r="AM22" s="320" t="b">
        <f t="shared" ref="AM22:AM36" si="19">S22+X22+AC22+AH22+J22=D22*F22*1.1</f>
        <v>1</v>
      </c>
    </row>
    <row r="23" spans="2:39">
      <c r="B23" s="1472"/>
      <c r="C23" s="1058" t="s">
        <v>729</v>
      </c>
      <c r="D23" s="1058">
        <v>709.29499999999996</v>
      </c>
      <c r="E23" s="503">
        <v>950000</v>
      </c>
      <c r="F23" s="503">
        <v>1050000</v>
      </c>
      <c r="G23" s="1059">
        <f>+E23*D23*1.1</f>
        <v>741213275.00000012</v>
      </c>
      <c r="H23" s="1059">
        <f t="shared" ref="H23:H30" si="20">+U23+Z23+AE23+AJ23</f>
        <v>0</v>
      </c>
      <c r="I23" s="1059"/>
      <c r="J23" s="1059">
        <f t="shared" ref="J23:J36" si="21">+SUM(K23:N23)</f>
        <v>0</v>
      </c>
      <c r="K23" s="1059"/>
      <c r="L23" s="1059"/>
      <c r="M23" s="1059"/>
      <c r="N23" s="1059"/>
      <c r="O23" s="1134"/>
      <c r="P23" s="1059"/>
      <c r="Q23" s="1059">
        <f t="shared" ref="Q23:Q36" si="22">+J23-P23</f>
        <v>0</v>
      </c>
      <c r="R23" s="1060"/>
      <c r="S23" s="1059">
        <f>+ROUND($G23*S$21,)</f>
        <v>370606638</v>
      </c>
      <c r="T23" s="1060"/>
      <c r="U23" s="1059"/>
      <c r="V23" s="1059">
        <f>+S23-U23</f>
        <v>370606638</v>
      </c>
      <c r="W23" s="1060"/>
      <c r="X23" s="1059">
        <f>+ROUND($G23*X$21,)</f>
        <v>296485310</v>
      </c>
      <c r="Y23" s="1060"/>
      <c r="Z23" s="1059"/>
      <c r="AA23" s="1059">
        <f>+X23-Z23</f>
        <v>296485310</v>
      </c>
      <c r="AB23" s="1060"/>
      <c r="AC23" s="1059">
        <f t="shared" ref="AC23:AC36" si="23">+ROUND(D23*F23*1.1-X23-S23-J23,)</f>
        <v>152143777</v>
      </c>
      <c r="AD23" s="1060"/>
      <c r="AE23" s="1059"/>
      <c r="AF23" s="1059">
        <f>+AC23-AE23</f>
        <v>152143777</v>
      </c>
      <c r="AG23" s="1059"/>
      <c r="AH23" s="1059">
        <f>+ROUND($G23*AH$21,)</f>
        <v>0</v>
      </c>
      <c r="AI23" s="1059"/>
      <c r="AJ23" s="1059"/>
      <c r="AK23" s="1059">
        <f>+AH23-AJ23</f>
        <v>0</v>
      </c>
      <c r="AM23" s="320" t="b">
        <f t="shared" si="19"/>
        <v>1</v>
      </c>
    </row>
    <row r="24" spans="2:39">
      <c r="B24" s="1472"/>
      <c r="C24" s="1058" t="s">
        <v>730</v>
      </c>
      <c r="D24" s="1058">
        <v>522.60500000000002</v>
      </c>
      <c r="E24" s="503">
        <v>950000</v>
      </c>
      <c r="F24" s="503">
        <v>1050000</v>
      </c>
      <c r="G24" s="1059">
        <f t="shared" ref="G24:G36" si="24">+E24*D24*1.1</f>
        <v>546122225</v>
      </c>
      <c r="H24" s="1059">
        <f t="shared" si="20"/>
        <v>0</v>
      </c>
      <c r="I24" s="1059"/>
      <c r="J24" s="1059">
        <f t="shared" si="21"/>
        <v>1100000</v>
      </c>
      <c r="K24" s="1059"/>
      <c r="L24" s="1059"/>
      <c r="M24" s="1059">
        <v>1100000</v>
      </c>
      <c r="N24" s="1059"/>
      <c r="O24" s="1134">
        <v>45966</v>
      </c>
      <c r="P24" s="1059">
        <v>1100000</v>
      </c>
      <c r="Q24" s="1059">
        <f t="shared" si="22"/>
        <v>0</v>
      </c>
      <c r="R24" s="1060"/>
      <c r="S24" s="1059">
        <f t="shared" ref="S24:S36" si="25">+ROUND($G24*S$21,)</f>
        <v>273061113</v>
      </c>
      <c r="T24" s="1060"/>
      <c r="U24" s="1059"/>
      <c r="V24" s="1059">
        <f t="shared" ref="V24:V36" si="26">+S24-U24</f>
        <v>273061113</v>
      </c>
      <c r="W24" s="1060"/>
      <c r="X24" s="1059">
        <f t="shared" ref="X24:X36" si="27">+ROUND($G24*X$21,)</f>
        <v>218448890</v>
      </c>
      <c r="Y24" s="1060"/>
      <c r="Z24" s="1059"/>
      <c r="AA24" s="1059">
        <f t="shared" ref="AA24:AA36" si="28">+X24-Z24</f>
        <v>218448890</v>
      </c>
      <c r="AB24" s="1060">
        <f>+'BT 3HO'!AB17</f>
        <v>45930</v>
      </c>
      <c r="AC24" s="1059">
        <f t="shared" si="23"/>
        <v>110998772</v>
      </c>
      <c r="AD24" s="1060"/>
      <c r="AE24" s="1059"/>
      <c r="AF24" s="1059">
        <f t="shared" ref="AF24:AF36" si="29">+AC24-AE24</f>
        <v>110998772</v>
      </c>
      <c r="AG24" s="1059"/>
      <c r="AH24" s="1059">
        <f t="shared" ref="AH24:AH36" si="30">+ROUND($G24*AH$21,)</f>
        <v>0</v>
      </c>
      <c r="AI24" s="1059"/>
      <c r="AJ24" s="1059"/>
      <c r="AK24" s="1059">
        <f t="shared" ref="AK24:AK36" si="31">+AH24-AJ24</f>
        <v>0</v>
      </c>
      <c r="AM24" s="320" t="b">
        <f t="shared" si="19"/>
        <v>1</v>
      </c>
    </row>
    <row r="25" spans="2:39">
      <c r="B25" s="1472"/>
      <c r="C25" s="1058" t="s">
        <v>731</v>
      </c>
      <c r="D25" s="1058">
        <v>499.11</v>
      </c>
      <c r="E25" s="503">
        <v>950000</v>
      </c>
      <c r="F25" s="503">
        <v>1050000</v>
      </c>
      <c r="G25" s="1059">
        <f t="shared" si="24"/>
        <v>521569950.00000006</v>
      </c>
      <c r="H25" s="1059">
        <f t="shared" si="20"/>
        <v>0</v>
      </c>
      <c r="I25" s="1059"/>
      <c r="J25" s="1059">
        <f t="shared" si="21"/>
        <v>67427460</v>
      </c>
      <c r="K25" s="1059">
        <v>1808870</v>
      </c>
      <c r="L25" s="1059">
        <v>3029700</v>
      </c>
      <c r="M25" s="1059"/>
      <c r="N25" s="1059">
        <v>62588890</v>
      </c>
      <c r="O25" s="1134">
        <v>45980</v>
      </c>
      <c r="P25" s="1059">
        <v>67427460</v>
      </c>
      <c r="Q25" s="1059">
        <f t="shared" si="22"/>
        <v>0</v>
      </c>
      <c r="R25" s="1060"/>
      <c r="S25" s="1059">
        <f t="shared" si="25"/>
        <v>260784975</v>
      </c>
      <c r="T25" s="1060"/>
      <c r="U25" s="1059"/>
      <c r="V25" s="1059">
        <f t="shared" si="26"/>
        <v>260784975</v>
      </c>
      <c r="W25" s="1060"/>
      <c r="X25" s="1059">
        <f t="shared" si="27"/>
        <v>208627980</v>
      </c>
      <c r="Y25" s="1060"/>
      <c r="Z25" s="1059"/>
      <c r="AA25" s="1059">
        <f t="shared" si="28"/>
        <v>208627980</v>
      </c>
      <c r="AB25" s="1060">
        <f>+'BT 3HO'!AB22</f>
        <v>45831</v>
      </c>
      <c r="AC25" s="1059">
        <f t="shared" si="23"/>
        <v>39631635</v>
      </c>
      <c r="AD25" s="1060"/>
      <c r="AE25" s="1059"/>
      <c r="AF25" s="1059">
        <f t="shared" si="29"/>
        <v>39631635</v>
      </c>
      <c r="AG25" s="1059"/>
      <c r="AH25" s="1059">
        <f t="shared" si="30"/>
        <v>0</v>
      </c>
      <c r="AI25" s="1059"/>
      <c r="AJ25" s="1059"/>
      <c r="AK25" s="1059">
        <f t="shared" si="31"/>
        <v>0</v>
      </c>
      <c r="AM25" s="320" t="b">
        <f t="shared" si="19"/>
        <v>1</v>
      </c>
    </row>
    <row r="26" spans="2:39">
      <c r="B26" s="1472"/>
      <c r="C26" s="1058" t="s">
        <v>732</v>
      </c>
      <c r="D26" s="1058">
        <v>142.875</v>
      </c>
      <c r="E26" s="503">
        <v>950000</v>
      </c>
      <c r="F26" s="503">
        <v>1050000</v>
      </c>
      <c r="G26" s="1059">
        <f t="shared" si="24"/>
        <v>149304375</v>
      </c>
      <c r="H26" s="1059">
        <f t="shared" si="20"/>
        <v>0</v>
      </c>
      <c r="I26" s="1059"/>
      <c r="J26" s="1059">
        <f t="shared" si="21"/>
        <v>23162170</v>
      </c>
      <c r="K26" s="1059">
        <v>1808870</v>
      </c>
      <c r="L26" s="1059">
        <v>3029700</v>
      </c>
      <c r="M26" s="1059"/>
      <c r="N26" s="1059">
        <v>18323600</v>
      </c>
      <c r="O26" s="1134">
        <v>45976</v>
      </c>
      <c r="P26" s="1059">
        <v>23162170</v>
      </c>
      <c r="Q26" s="1059">
        <f t="shared" si="22"/>
        <v>0</v>
      </c>
      <c r="R26" s="1060"/>
      <c r="S26" s="1059">
        <f t="shared" si="25"/>
        <v>74652188</v>
      </c>
      <c r="T26" s="1060"/>
      <c r="U26" s="1059"/>
      <c r="V26" s="1059">
        <f t="shared" si="26"/>
        <v>74652188</v>
      </c>
      <c r="W26" s="1060"/>
      <c r="X26" s="1059">
        <f t="shared" si="27"/>
        <v>59721750</v>
      </c>
      <c r="Y26" s="1060"/>
      <c r="Z26" s="1059"/>
      <c r="AA26" s="1059">
        <f t="shared" si="28"/>
        <v>59721750</v>
      </c>
      <c r="AB26" s="1060">
        <f>+'BT 3HO'!AB27</f>
        <v>45831</v>
      </c>
      <c r="AC26" s="1059">
        <f t="shared" si="23"/>
        <v>7484517</v>
      </c>
      <c r="AD26" s="1060"/>
      <c r="AE26" s="1059"/>
      <c r="AF26" s="1059">
        <f t="shared" si="29"/>
        <v>7484517</v>
      </c>
      <c r="AG26" s="1059"/>
      <c r="AH26" s="1059">
        <f t="shared" si="30"/>
        <v>0</v>
      </c>
      <c r="AI26" s="1059"/>
      <c r="AJ26" s="1059"/>
      <c r="AK26" s="1059">
        <f t="shared" si="31"/>
        <v>0</v>
      </c>
      <c r="AM26" s="320" t="b">
        <f t="shared" si="19"/>
        <v>1</v>
      </c>
    </row>
    <row r="27" spans="2:39">
      <c r="B27" s="1472"/>
      <c r="C27" s="1058" t="s">
        <v>733</v>
      </c>
      <c r="D27" s="1058">
        <v>897.89</v>
      </c>
      <c r="E27" s="503">
        <v>950000</v>
      </c>
      <c r="F27" s="503">
        <v>1050000</v>
      </c>
      <c r="G27" s="1059">
        <f t="shared" si="24"/>
        <v>938295050.00000012</v>
      </c>
      <c r="H27" s="1059">
        <f t="shared" si="20"/>
        <v>0</v>
      </c>
      <c r="I27" s="1059"/>
      <c r="J27" s="1059">
        <f t="shared" si="21"/>
        <v>31490930</v>
      </c>
      <c r="K27" s="1059">
        <v>2433490</v>
      </c>
      <c r="L27" s="1059">
        <v>4408640</v>
      </c>
      <c r="M27" s="1059">
        <v>1100000</v>
      </c>
      <c r="N27" s="1059">
        <v>23548800</v>
      </c>
      <c r="O27" s="1134">
        <v>45980</v>
      </c>
      <c r="P27" s="1059">
        <v>31490930</v>
      </c>
      <c r="Q27" s="1059">
        <f t="shared" si="22"/>
        <v>0</v>
      </c>
      <c r="R27" s="1060"/>
      <c r="S27" s="1059">
        <f t="shared" si="25"/>
        <v>469147525</v>
      </c>
      <c r="T27" s="1060"/>
      <c r="U27" s="1059"/>
      <c r="V27" s="1059">
        <f t="shared" si="26"/>
        <v>469147525</v>
      </c>
      <c r="W27" s="1060"/>
      <c r="X27" s="1059">
        <f t="shared" si="27"/>
        <v>375318020</v>
      </c>
      <c r="Y27" s="1060"/>
      <c r="Z27" s="1059"/>
      <c r="AA27" s="1059">
        <f t="shared" si="28"/>
        <v>375318020</v>
      </c>
      <c r="AB27" s="1060">
        <f>+'BT 3HO'!AB32</f>
        <v>45930</v>
      </c>
      <c r="AC27" s="1059">
        <f t="shared" si="23"/>
        <v>161106475</v>
      </c>
      <c r="AD27" s="1060"/>
      <c r="AE27" s="1059"/>
      <c r="AF27" s="1059">
        <f t="shared" si="29"/>
        <v>161106475</v>
      </c>
      <c r="AG27" s="1059"/>
      <c r="AH27" s="1059">
        <f t="shared" si="30"/>
        <v>0</v>
      </c>
      <c r="AI27" s="1059"/>
      <c r="AJ27" s="1059"/>
      <c r="AK27" s="1059">
        <f t="shared" si="31"/>
        <v>0</v>
      </c>
      <c r="AM27" s="320" t="b">
        <f t="shared" si="19"/>
        <v>1</v>
      </c>
    </row>
    <row r="28" spans="2:39">
      <c r="B28" s="1472"/>
      <c r="C28" s="1058" t="s">
        <v>734</v>
      </c>
      <c r="D28" s="1058">
        <v>166.37</v>
      </c>
      <c r="E28" s="503">
        <v>950000</v>
      </c>
      <c r="F28" s="503">
        <v>1050000</v>
      </c>
      <c r="G28" s="1059">
        <f t="shared" si="24"/>
        <v>173856650</v>
      </c>
      <c r="H28" s="1059">
        <f t="shared" si="20"/>
        <v>0</v>
      </c>
      <c r="I28" s="1059"/>
      <c r="J28" s="1059">
        <f t="shared" si="21"/>
        <v>0</v>
      </c>
      <c r="K28" s="1059"/>
      <c r="L28" s="1059"/>
      <c r="M28" s="1059"/>
      <c r="N28" s="1059"/>
      <c r="O28" s="1134"/>
      <c r="P28" s="1059"/>
      <c r="Q28" s="1059">
        <f t="shared" si="22"/>
        <v>0</v>
      </c>
      <c r="R28" s="1060"/>
      <c r="S28" s="1059">
        <f t="shared" si="25"/>
        <v>86928325</v>
      </c>
      <c r="T28" s="1060"/>
      <c r="U28" s="1059"/>
      <c r="V28" s="1059">
        <f t="shared" si="26"/>
        <v>86928325</v>
      </c>
      <c r="W28" s="1060"/>
      <c r="X28" s="1059">
        <f t="shared" si="27"/>
        <v>69542660</v>
      </c>
      <c r="Y28" s="1060"/>
      <c r="Z28" s="1059"/>
      <c r="AA28" s="1059">
        <f t="shared" si="28"/>
        <v>69542660</v>
      </c>
      <c r="AB28" s="1060">
        <f>+'BT 3HO'!AB37</f>
        <v>45930</v>
      </c>
      <c r="AC28" s="1059">
        <f t="shared" si="23"/>
        <v>35686365</v>
      </c>
      <c r="AD28" s="1060"/>
      <c r="AE28" s="1059"/>
      <c r="AF28" s="1059">
        <f t="shared" si="29"/>
        <v>35686365</v>
      </c>
      <c r="AG28" s="1059"/>
      <c r="AH28" s="1059">
        <f t="shared" si="30"/>
        <v>0</v>
      </c>
      <c r="AI28" s="1059"/>
      <c r="AJ28" s="1059"/>
      <c r="AK28" s="1059">
        <f t="shared" si="31"/>
        <v>0</v>
      </c>
      <c r="AM28" s="320" t="b">
        <f t="shared" si="19"/>
        <v>1</v>
      </c>
    </row>
    <row r="29" spans="2:39">
      <c r="B29" s="1472"/>
      <c r="C29" s="1058" t="s">
        <v>735</v>
      </c>
      <c r="D29" s="1058">
        <v>1155.7</v>
      </c>
      <c r="E29" s="503">
        <v>950000</v>
      </c>
      <c r="F29" s="503">
        <v>1050000</v>
      </c>
      <c r="G29" s="1059">
        <f t="shared" si="24"/>
        <v>1207706500</v>
      </c>
      <c r="H29" s="1059">
        <f t="shared" si="20"/>
        <v>0</v>
      </c>
      <c r="I29" s="1059"/>
      <c r="J29" s="1059">
        <f t="shared" si="21"/>
        <v>114192820</v>
      </c>
      <c r="K29" s="1059">
        <v>3031880</v>
      </c>
      <c r="L29" s="1059">
        <v>4408640</v>
      </c>
      <c r="M29" s="1059">
        <v>1100000</v>
      </c>
      <c r="N29" s="1059">
        <v>105652300</v>
      </c>
      <c r="O29" s="1134"/>
      <c r="P29" s="1059">
        <v>1100000</v>
      </c>
      <c r="Q29" s="1059">
        <f t="shared" si="22"/>
        <v>113092820</v>
      </c>
      <c r="R29" s="1060"/>
      <c r="S29" s="1059">
        <f t="shared" si="25"/>
        <v>603853250</v>
      </c>
      <c r="T29" s="1060"/>
      <c r="U29" s="1059"/>
      <c r="V29" s="1059">
        <f t="shared" si="26"/>
        <v>603853250</v>
      </c>
      <c r="W29" s="1060"/>
      <c r="X29" s="1059">
        <f t="shared" si="27"/>
        <v>483082600</v>
      </c>
      <c r="Y29" s="1060"/>
      <c r="Z29" s="1059"/>
      <c r="AA29" s="1059">
        <f t="shared" si="28"/>
        <v>483082600</v>
      </c>
      <c r="AB29" s="1060">
        <f>+'BT 3HO'!AB42</f>
        <v>45930</v>
      </c>
      <c r="AC29" s="1059">
        <f t="shared" si="23"/>
        <v>133704830</v>
      </c>
      <c r="AD29" s="1060"/>
      <c r="AE29" s="1059"/>
      <c r="AF29" s="1059">
        <f t="shared" si="29"/>
        <v>133704830</v>
      </c>
      <c r="AG29" s="1059"/>
      <c r="AH29" s="1059">
        <f t="shared" si="30"/>
        <v>0</v>
      </c>
      <c r="AI29" s="1059"/>
      <c r="AJ29" s="1059"/>
      <c r="AK29" s="1059">
        <f t="shared" si="31"/>
        <v>0</v>
      </c>
      <c r="AM29" s="320" t="b">
        <f t="shared" si="19"/>
        <v>1</v>
      </c>
    </row>
    <row r="30" spans="2:39">
      <c r="B30" s="1472"/>
      <c r="C30" s="1058" t="s">
        <v>736</v>
      </c>
      <c r="D30" s="1058">
        <v>148.47999999999999</v>
      </c>
      <c r="E30" s="503">
        <v>950000</v>
      </c>
      <c r="F30" s="503">
        <v>1050000</v>
      </c>
      <c r="G30" s="1059">
        <f t="shared" si="24"/>
        <v>155161600</v>
      </c>
      <c r="H30" s="1059">
        <f t="shared" si="20"/>
        <v>0</v>
      </c>
      <c r="I30" s="1059"/>
      <c r="J30" s="1059">
        <f t="shared" si="21"/>
        <v>0</v>
      </c>
      <c r="K30" s="1059"/>
      <c r="L30" s="1059"/>
      <c r="M30" s="1059"/>
      <c r="N30" s="1059"/>
      <c r="O30" s="1134"/>
      <c r="P30" s="1059"/>
      <c r="Q30" s="1059">
        <f t="shared" si="22"/>
        <v>0</v>
      </c>
      <c r="R30" s="1060"/>
      <c r="S30" s="1059">
        <f t="shared" si="25"/>
        <v>77580800</v>
      </c>
      <c r="T30" s="1060"/>
      <c r="U30" s="1059"/>
      <c r="V30" s="1059">
        <f t="shared" si="26"/>
        <v>77580800</v>
      </c>
      <c r="W30" s="1060"/>
      <c r="X30" s="1059">
        <f t="shared" si="27"/>
        <v>62064640</v>
      </c>
      <c r="Y30" s="1060"/>
      <c r="Z30" s="1059"/>
      <c r="AA30" s="1059">
        <f t="shared" si="28"/>
        <v>62064640</v>
      </c>
      <c r="AB30" s="1060"/>
      <c r="AC30" s="1059">
        <f t="shared" si="23"/>
        <v>31848960</v>
      </c>
      <c r="AD30" s="1060"/>
      <c r="AE30" s="1059"/>
      <c r="AF30" s="1059">
        <f t="shared" si="29"/>
        <v>31848960</v>
      </c>
      <c r="AG30" s="1059"/>
      <c r="AH30" s="1059">
        <f t="shared" si="30"/>
        <v>0</v>
      </c>
      <c r="AI30" s="1059"/>
      <c r="AJ30" s="1059"/>
      <c r="AK30" s="1059">
        <f t="shared" si="31"/>
        <v>0</v>
      </c>
      <c r="AM30" s="320" t="b">
        <f t="shared" si="19"/>
        <v>1</v>
      </c>
    </row>
    <row r="31" spans="2:39">
      <c r="B31" s="1472"/>
      <c r="C31" s="1058">
        <v>0</v>
      </c>
      <c r="D31" s="1058">
        <f>+'BT 2HO'!D69</f>
        <v>0</v>
      </c>
      <c r="E31" s="503">
        <v>950000</v>
      </c>
      <c r="F31" s="503">
        <v>1050000</v>
      </c>
      <c r="G31" s="1059">
        <f t="shared" si="24"/>
        <v>0</v>
      </c>
      <c r="H31" s="1059"/>
      <c r="I31" s="1059"/>
      <c r="J31" s="1059">
        <f t="shared" si="21"/>
        <v>0</v>
      </c>
      <c r="K31" s="1059"/>
      <c r="L31" s="1059"/>
      <c r="M31" s="1059"/>
      <c r="N31" s="1059"/>
      <c r="O31" s="1134"/>
      <c r="P31" s="1059"/>
      <c r="Q31" s="1059">
        <f t="shared" si="22"/>
        <v>0</v>
      </c>
      <c r="R31" s="1060"/>
      <c r="S31" s="1059">
        <f t="shared" si="25"/>
        <v>0</v>
      </c>
      <c r="T31" s="1060"/>
      <c r="U31" s="1059"/>
      <c r="V31" s="1059">
        <f t="shared" si="26"/>
        <v>0</v>
      </c>
      <c r="W31" s="1060"/>
      <c r="X31" s="1059">
        <f t="shared" si="27"/>
        <v>0</v>
      </c>
      <c r="Y31" s="1060"/>
      <c r="Z31" s="1059"/>
      <c r="AA31" s="1059">
        <f t="shared" si="28"/>
        <v>0</v>
      </c>
      <c r="AB31" s="1060"/>
      <c r="AC31" s="1059">
        <f t="shared" si="23"/>
        <v>0</v>
      </c>
      <c r="AD31" s="1060"/>
      <c r="AE31" s="1059"/>
      <c r="AF31" s="1059">
        <f t="shared" si="29"/>
        <v>0</v>
      </c>
      <c r="AG31" s="1059"/>
      <c r="AH31" s="1059">
        <f t="shared" si="30"/>
        <v>0</v>
      </c>
      <c r="AI31" s="1059"/>
      <c r="AJ31" s="1059"/>
      <c r="AK31" s="1059">
        <f t="shared" si="31"/>
        <v>0</v>
      </c>
      <c r="AM31" s="320" t="b">
        <f t="shared" si="19"/>
        <v>1</v>
      </c>
    </row>
    <row r="32" spans="2:39">
      <c r="B32" s="1472"/>
      <c r="C32" s="1058">
        <v>0</v>
      </c>
      <c r="D32" s="1058">
        <f>+'BT 2HO'!D74</f>
        <v>0</v>
      </c>
      <c r="E32" s="503">
        <v>950000</v>
      </c>
      <c r="F32" s="503">
        <v>1050000</v>
      </c>
      <c r="G32" s="1059">
        <f t="shared" si="24"/>
        <v>0</v>
      </c>
      <c r="H32" s="1059"/>
      <c r="I32" s="1059"/>
      <c r="J32" s="1059">
        <f t="shared" si="21"/>
        <v>0</v>
      </c>
      <c r="K32" s="1059"/>
      <c r="L32" s="1059"/>
      <c r="M32" s="1059"/>
      <c r="N32" s="1059"/>
      <c r="O32" s="1134"/>
      <c r="P32" s="1059"/>
      <c r="Q32" s="1059">
        <f t="shared" si="22"/>
        <v>0</v>
      </c>
      <c r="R32" s="1060"/>
      <c r="S32" s="1059">
        <f t="shared" si="25"/>
        <v>0</v>
      </c>
      <c r="T32" s="1060"/>
      <c r="U32" s="1059"/>
      <c r="V32" s="1059">
        <f t="shared" si="26"/>
        <v>0</v>
      </c>
      <c r="W32" s="1060"/>
      <c r="X32" s="1059">
        <f t="shared" si="27"/>
        <v>0</v>
      </c>
      <c r="Y32" s="1060"/>
      <c r="Z32" s="1059"/>
      <c r="AA32" s="1059">
        <f t="shared" si="28"/>
        <v>0</v>
      </c>
      <c r="AB32" s="1060"/>
      <c r="AC32" s="1059">
        <f t="shared" si="23"/>
        <v>0</v>
      </c>
      <c r="AD32" s="1060"/>
      <c r="AE32" s="1059"/>
      <c r="AF32" s="1059">
        <f t="shared" si="29"/>
        <v>0</v>
      </c>
      <c r="AG32" s="1059"/>
      <c r="AH32" s="1059">
        <f t="shared" si="30"/>
        <v>0</v>
      </c>
      <c r="AI32" s="1059"/>
      <c r="AJ32" s="1059"/>
      <c r="AK32" s="1059">
        <f t="shared" si="31"/>
        <v>0</v>
      </c>
      <c r="AM32" s="320" t="b">
        <f t="shared" si="19"/>
        <v>1</v>
      </c>
    </row>
    <row r="33" spans="2:52">
      <c r="B33" s="1472"/>
      <c r="C33" s="1058">
        <v>0</v>
      </c>
      <c r="D33" s="1058">
        <f>+'BT 2HO'!D79</f>
        <v>0</v>
      </c>
      <c r="E33" s="503">
        <v>950000</v>
      </c>
      <c r="F33" s="503">
        <v>1050000</v>
      </c>
      <c r="G33" s="1059">
        <f t="shared" si="24"/>
        <v>0</v>
      </c>
      <c r="H33" s="1059"/>
      <c r="I33" s="1059"/>
      <c r="J33" s="1059">
        <f t="shared" si="21"/>
        <v>0</v>
      </c>
      <c r="K33" s="1059"/>
      <c r="L33" s="1059"/>
      <c r="M33" s="1059"/>
      <c r="N33" s="1059"/>
      <c r="O33" s="1134"/>
      <c r="P33" s="1059"/>
      <c r="Q33" s="1059">
        <f t="shared" si="22"/>
        <v>0</v>
      </c>
      <c r="R33" s="1060"/>
      <c r="S33" s="1059">
        <f t="shared" si="25"/>
        <v>0</v>
      </c>
      <c r="T33" s="1060"/>
      <c r="U33" s="1059"/>
      <c r="V33" s="1059">
        <f t="shared" si="26"/>
        <v>0</v>
      </c>
      <c r="W33" s="1060"/>
      <c r="X33" s="1059">
        <f t="shared" si="27"/>
        <v>0</v>
      </c>
      <c r="Y33" s="1060"/>
      <c r="Z33" s="1059"/>
      <c r="AA33" s="1059">
        <f t="shared" si="28"/>
        <v>0</v>
      </c>
      <c r="AB33" s="1060"/>
      <c r="AC33" s="1059">
        <f t="shared" si="23"/>
        <v>0</v>
      </c>
      <c r="AD33" s="1060"/>
      <c r="AE33" s="1059"/>
      <c r="AF33" s="1059">
        <f t="shared" si="29"/>
        <v>0</v>
      </c>
      <c r="AG33" s="1059"/>
      <c r="AH33" s="1059">
        <f t="shared" si="30"/>
        <v>0</v>
      </c>
      <c r="AI33" s="1059"/>
      <c r="AJ33" s="1059"/>
      <c r="AK33" s="1059">
        <f t="shared" si="31"/>
        <v>0</v>
      </c>
      <c r="AM33" s="320" t="b">
        <f t="shared" si="19"/>
        <v>1</v>
      </c>
    </row>
    <row r="34" spans="2:52">
      <c r="B34" s="1472"/>
      <c r="C34" s="1058">
        <v>0</v>
      </c>
      <c r="D34" s="1058">
        <f>+'BT 2HO'!D84</f>
        <v>0</v>
      </c>
      <c r="E34" s="503">
        <v>950000</v>
      </c>
      <c r="F34" s="503">
        <v>1050000</v>
      </c>
      <c r="G34" s="1059">
        <f t="shared" si="24"/>
        <v>0</v>
      </c>
      <c r="H34" s="1059"/>
      <c r="I34" s="1059"/>
      <c r="J34" s="1059">
        <f t="shared" si="21"/>
        <v>0</v>
      </c>
      <c r="K34" s="1059"/>
      <c r="L34" s="1059"/>
      <c r="M34" s="1059"/>
      <c r="N34" s="1059"/>
      <c r="O34" s="1134"/>
      <c r="P34" s="1059"/>
      <c r="Q34" s="1059">
        <f t="shared" si="22"/>
        <v>0</v>
      </c>
      <c r="R34" s="1060"/>
      <c r="S34" s="1059">
        <f t="shared" si="25"/>
        <v>0</v>
      </c>
      <c r="T34" s="1060"/>
      <c r="U34" s="1059"/>
      <c r="V34" s="1059">
        <f t="shared" si="26"/>
        <v>0</v>
      </c>
      <c r="W34" s="1060"/>
      <c r="X34" s="1059">
        <f t="shared" si="27"/>
        <v>0</v>
      </c>
      <c r="Y34" s="1060"/>
      <c r="Z34" s="1059"/>
      <c r="AA34" s="1059">
        <f t="shared" si="28"/>
        <v>0</v>
      </c>
      <c r="AB34" s="1060"/>
      <c r="AC34" s="1059">
        <f t="shared" si="23"/>
        <v>0</v>
      </c>
      <c r="AD34" s="1060"/>
      <c r="AE34" s="1059"/>
      <c r="AF34" s="1059">
        <f t="shared" si="29"/>
        <v>0</v>
      </c>
      <c r="AG34" s="1059"/>
      <c r="AH34" s="1059">
        <f t="shared" si="30"/>
        <v>0</v>
      </c>
      <c r="AI34" s="1059"/>
      <c r="AJ34" s="1059"/>
      <c r="AK34" s="1059">
        <f t="shared" si="31"/>
        <v>0</v>
      </c>
      <c r="AM34" s="320" t="b">
        <f t="shared" si="19"/>
        <v>1</v>
      </c>
    </row>
    <row r="35" spans="2:52">
      <c r="B35" s="1472"/>
      <c r="C35" s="1058">
        <v>0</v>
      </c>
      <c r="D35" s="1058">
        <f>+'BT 2HO'!D89</f>
        <v>0</v>
      </c>
      <c r="E35" s="503">
        <v>950000</v>
      </c>
      <c r="F35" s="503">
        <v>1050000</v>
      </c>
      <c r="G35" s="1059">
        <f t="shared" si="24"/>
        <v>0</v>
      </c>
      <c r="H35" s="1059"/>
      <c r="I35" s="1059"/>
      <c r="J35" s="1059">
        <f t="shared" si="21"/>
        <v>0</v>
      </c>
      <c r="K35" s="1059"/>
      <c r="L35" s="1059"/>
      <c r="M35" s="1059"/>
      <c r="N35" s="1059"/>
      <c r="O35" s="1134"/>
      <c r="P35" s="1059"/>
      <c r="Q35" s="1059">
        <f t="shared" si="22"/>
        <v>0</v>
      </c>
      <c r="R35" s="1060"/>
      <c r="S35" s="1059">
        <f t="shared" si="25"/>
        <v>0</v>
      </c>
      <c r="T35" s="1060"/>
      <c r="U35" s="1059"/>
      <c r="V35" s="1059">
        <f t="shared" si="26"/>
        <v>0</v>
      </c>
      <c r="W35" s="1060"/>
      <c r="X35" s="1059">
        <f t="shared" si="27"/>
        <v>0</v>
      </c>
      <c r="Y35" s="1060"/>
      <c r="Z35" s="1059"/>
      <c r="AA35" s="1059">
        <f t="shared" si="28"/>
        <v>0</v>
      </c>
      <c r="AB35" s="1060"/>
      <c r="AC35" s="1059">
        <f t="shared" si="23"/>
        <v>0</v>
      </c>
      <c r="AD35" s="1060"/>
      <c r="AE35" s="1059"/>
      <c r="AF35" s="1059">
        <f t="shared" si="29"/>
        <v>0</v>
      </c>
      <c r="AG35" s="1059"/>
      <c r="AH35" s="1059">
        <f t="shared" si="30"/>
        <v>0</v>
      </c>
      <c r="AI35" s="1059"/>
      <c r="AJ35" s="1059"/>
      <c r="AK35" s="1059">
        <f t="shared" si="31"/>
        <v>0</v>
      </c>
      <c r="AM35" s="320" t="b">
        <f t="shared" si="19"/>
        <v>1</v>
      </c>
    </row>
    <row r="36" spans="2:52">
      <c r="B36" s="1472"/>
      <c r="C36" s="1058">
        <v>0</v>
      </c>
      <c r="D36" s="1058">
        <f>+'BT 2HO'!D94</f>
        <v>0</v>
      </c>
      <c r="E36" s="503">
        <v>950000</v>
      </c>
      <c r="F36" s="503">
        <v>1050000</v>
      </c>
      <c r="G36" s="1059">
        <f t="shared" si="24"/>
        <v>0</v>
      </c>
      <c r="H36" s="1059"/>
      <c r="I36" s="1059"/>
      <c r="J36" s="1059">
        <f t="shared" si="21"/>
        <v>0</v>
      </c>
      <c r="K36" s="1059"/>
      <c r="L36" s="1059"/>
      <c r="M36" s="1059"/>
      <c r="N36" s="1059"/>
      <c r="O36" s="1134"/>
      <c r="P36" s="1059"/>
      <c r="Q36" s="1059">
        <f t="shared" si="22"/>
        <v>0</v>
      </c>
      <c r="R36" s="1060"/>
      <c r="S36" s="1059">
        <f t="shared" si="25"/>
        <v>0</v>
      </c>
      <c r="T36" s="1060"/>
      <c r="U36" s="1059"/>
      <c r="V36" s="1059">
        <f t="shared" si="26"/>
        <v>0</v>
      </c>
      <c r="W36" s="1060"/>
      <c r="X36" s="1059">
        <f t="shared" si="27"/>
        <v>0</v>
      </c>
      <c r="Y36" s="1060"/>
      <c r="Z36" s="1059"/>
      <c r="AA36" s="1059">
        <f t="shared" si="28"/>
        <v>0</v>
      </c>
      <c r="AB36" s="1060"/>
      <c r="AC36" s="1059">
        <f t="shared" si="23"/>
        <v>0</v>
      </c>
      <c r="AD36" s="1060"/>
      <c r="AE36" s="1059"/>
      <c r="AF36" s="1059">
        <f t="shared" si="29"/>
        <v>0</v>
      </c>
      <c r="AG36" s="1059"/>
      <c r="AH36" s="1059">
        <f t="shared" si="30"/>
        <v>0</v>
      </c>
      <c r="AI36" s="1059"/>
      <c r="AJ36" s="1059"/>
      <c r="AK36" s="1059">
        <f t="shared" si="31"/>
        <v>0</v>
      </c>
      <c r="AM36" s="320" t="b">
        <f t="shared" si="19"/>
        <v>1</v>
      </c>
    </row>
    <row r="38" spans="2:52" ht="15.6" customHeight="1">
      <c r="B38" s="1470" t="s">
        <v>165</v>
      </c>
      <c r="C38" s="1470" t="s">
        <v>715</v>
      </c>
      <c r="D38" s="1473" t="s">
        <v>270</v>
      </c>
      <c r="E38" s="1474" t="s">
        <v>1055</v>
      </c>
      <c r="F38" s="1474" t="s">
        <v>1054</v>
      </c>
      <c r="G38" s="1471" t="s">
        <v>17</v>
      </c>
      <c r="H38" s="1475" t="s">
        <v>716</v>
      </c>
      <c r="I38" s="1475" t="s">
        <v>717</v>
      </c>
      <c r="J38" s="1477" t="s">
        <v>1050</v>
      </c>
      <c r="K38" s="1478"/>
      <c r="L38" s="1478"/>
      <c r="M38" s="1478"/>
      <c r="N38" s="1478"/>
      <c r="O38" s="1478"/>
      <c r="P38" s="1478"/>
      <c r="Q38" s="1479"/>
      <c r="R38" s="1471" t="s">
        <v>718</v>
      </c>
      <c r="S38" s="1471"/>
      <c r="T38" s="1471"/>
      <c r="U38" s="1471"/>
      <c r="V38" s="1471"/>
      <c r="W38" s="1471" t="s">
        <v>719</v>
      </c>
      <c r="X38" s="1471"/>
      <c r="Y38" s="1471"/>
      <c r="Z38" s="1471"/>
      <c r="AA38" s="1471"/>
      <c r="AB38" s="1471" t="s">
        <v>370</v>
      </c>
      <c r="AC38" s="1471"/>
      <c r="AD38" s="1471"/>
      <c r="AE38" s="1471"/>
      <c r="AF38" s="1471"/>
      <c r="AG38" s="1471" t="s">
        <v>371</v>
      </c>
      <c r="AH38" s="1471"/>
      <c r="AI38" s="1471"/>
      <c r="AJ38" s="1471"/>
      <c r="AK38" s="1471"/>
    </row>
    <row r="39" spans="2:52" ht="13.5">
      <c r="B39" s="1470"/>
      <c r="C39" s="1470"/>
      <c r="D39" s="1473"/>
      <c r="E39" s="1474"/>
      <c r="F39" s="1474"/>
      <c r="G39" s="1471"/>
      <c r="H39" s="1476"/>
      <c r="I39" s="1476"/>
      <c r="J39" s="1065" t="s">
        <v>1043</v>
      </c>
      <c r="K39" s="1065" t="s">
        <v>1044</v>
      </c>
      <c r="L39" s="1065" t="s">
        <v>1045</v>
      </c>
      <c r="M39" s="1065" t="s">
        <v>890</v>
      </c>
      <c r="N39" s="1065" t="s">
        <v>1046</v>
      </c>
      <c r="O39" s="1133" t="s">
        <v>1047</v>
      </c>
      <c r="P39" s="1065" t="s">
        <v>1048</v>
      </c>
      <c r="Q39" s="1065" t="s">
        <v>1049</v>
      </c>
      <c r="R39" s="1061" t="s">
        <v>188</v>
      </c>
      <c r="S39" s="1062">
        <v>0.5</v>
      </c>
      <c r="T39" s="1061" t="s">
        <v>188</v>
      </c>
      <c r="U39" s="1063" t="s">
        <v>720</v>
      </c>
      <c r="V39" s="1063" t="s">
        <v>721</v>
      </c>
      <c r="W39" s="1061" t="s">
        <v>188</v>
      </c>
      <c r="X39" s="1062">
        <v>0.4</v>
      </c>
      <c r="Y39" s="1061" t="s">
        <v>188</v>
      </c>
      <c r="Z39" s="1063" t="s">
        <v>720</v>
      </c>
      <c r="AA39" s="1063" t="s">
        <v>721</v>
      </c>
      <c r="AB39" s="1061" t="s">
        <v>188</v>
      </c>
      <c r="AC39" s="1062">
        <v>0.1</v>
      </c>
      <c r="AD39" s="1061" t="s">
        <v>188</v>
      </c>
      <c r="AE39" s="1063" t="s">
        <v>720</v>
      </c>
      <c r="AF39" s="1063" t="s">
        <v>721</v>
      </c>
      <c r="AG39" s="1061" t="s">
        <v>188</v>
      </c>
      <c r="AH39" s="1062">
        <v>0</v>
      </c>
      <c r="AI39" s="1061" t="s">
        <v>188</v>
      </c>
      <c r="AJ39" s="1063" t="s">
        <v>720</v>
      </c>
      <c r="AK39" s="1063" t="s">
        <v>721</v>
      </c>
    </row>
    <row r="40" spans="2:52">
      <c r="B40" s="1472" t="s">
        <v>737</v>
      </c>
      <c r="C40" s="1057"/>
      <c r="D40" s="1058">
        <f>+SUM(D41:D54)</f>
        <v>3853</v>
      </c>
      <c r="E40" s="503">
        <v>950000</v>
      </c>
      <c r="F40" s="503">
        <v>1050000</v>
      </c>
      <c r="G40" s="1059">
        <f t="shared" ref="G40:N40" si="32">+SUM(G41:G54)</f>
        <v>4026385000</v>
      </c>
      <c r="H40" s="1059">
        <f t="shared" si="32"/>
        <v>51975000</v>
      </c>
      <c r="I40" s="1059">
        <f t="shared" si="32"/>
        <v>0</v>
      </c>
      <c r="J40" s="1059">
        <f t="shared" si="32"/>
        <v>0</v>
      </c>
      <c r="K40" s="1059">
        <f t="shared" si="32"/>
        <v>0</v>
      </c>
      <c r="L40" s="1059">
        <f t="shared" si="32"/>
        <v>0</v>
      </c>
      <c r="M40" s="1059">
        <f t="shared" si="32"/>
        <v>0</v>
      </c>
      <c r="N40" s="1059">
        <f t="shared" si="32"/>
        <v>0</v>
      </c>
      <c r="O40" s="1059"/>
      <c r="P40" s="1059">
        <f>+SUM(P41:P54)</f>
        <v>0</v>
      </c>
      <c r="Q40" s="1059">
        <f>+SUM(Q41:Q54)</f>
        <v>0</v>
      </c>
      <c r="R40" s="1060"/>
      <c r="S40" s="1059">
        <f>+SUM(S41:S54)</f>
        <v>2013192500</v>
      </c>
      <c r="T40" s="1060"/>
      <c r="U40" s="1059">
        <f>+SUM(U41:U54)</f>
        <v>51975000</v>
      </c>
      <c r="V40" s="1059">
        <f>+SUM(V41:V54)</f>
        <v>1961217500</v>
      </c>
      <c r="W40" s="1059"/>
      <c r="X40" s="1059">
        <f t="shared" ref="X40" si="33">+SUM(X41:X54)</f>
        <v>1610554000</v>
      </c>
      <c r="Y40" s="1059"/>
      <c r="Z40" s="1059"/>
      <c r="AA40" s="1059">
        <f>+SUM(AA41:AA54)</f>
        <v>1610554000</v>
      </c>
      <c r="AB40" s="1059"/>
      <c r="AC40" s="1059">
        <f t="shared" ref="AC40" si="34">+SUM(AC41:AC54)</f>
        <v>826468500</v>
      </c>
      <c r="AD40" s="1059"/>
      <c r="AE40" s="1059"/>
      <c r="AF40" s="1059">
        <f>+SUM(AF41:AF54)</f>
        <v>826468500</v>
      </c>
      <c r="AG40" s="1059"/>
      <c r="AH40" s="1059">
        <f t="shared" ref="AH40" si="35">+SUM(AH41:AH54)</f>
        <v>0</v>
      </c>
      <c r="AI40" s="1059"/>
      <c r="AJ40" s="1059"/>
      <c r="AK40" s="1059">
        <f>+SUM(AK41:AK54)</f>
        <v>0</v>
      </c>
      <c r="AM40" s="320" t="b">
        <f t="shared" ref="AM40:AM54" si="36">S40+X40+AC40+AH40+J40=D40*F40*1.1</f>
        <v>1</v>
      </c>
    </row>
    <row r="41" spans="2:52">
      <c r="B41" s="1472"/>
      <c r="C41" s="1058" t="s">
        <v>738</v>
      </c>
      <c r="D41" s="1058">
        <v>991</v>
      </c>
      <c r="E41" s="503">
        <v>950000</v>
      </c>
      <c r="F41" s="503">
        <v>1050000</v>
      </c>
      <c r="G41" s="1059">
        <f>+E41*D41*1.1</f>
        <v>1035595000.0000001</v>
      </c>
      <c r="H41" s="1059">
        <f t="shared" ref="H41:H48" si="37">+U41+Z41+AE41+AJ41</f>
        <v>0</v>
      </c>
      <c r="I41" s="1059"/>
      <c r="J41" s="1059">
        <f t="shared" ref="J41:J54" si="38">+SUM(K41:N41)</f>
        <v>0</v>
      </c>
      <c r="K41" s="1059"/>
      <c r="L41" s="1059"/>
      <c r="M41" s="1059"/>
      <c r="N41" s="1059"/>
      <c r="O41" s="1134"/>
      <c r="P41" s="1059"/>
      <c r="Q41" s="1059">
        <f t="shared" ref="Q41:Q54" si="39">+J41-P41</f>
        <v>0</v>
      </c>
      <c r="R41" s="1060"/>
      <c r="S41" s="1059">
        <f>+ROUND($G41*S$39,)</f>
        <v>517797500</v>
      </c>
      <c r="T41" s="1060"/>
      <c r="U41" s="1059"/>
      <c r="V41" s="1059">
        <f>+S41-U41</f>
        <v>517797500</v>
      </c>
      <c r="W41" s="1059"/>
      <c r="X41" s="1059">
        <f>+ROUND($G41*X$39,)</f>
        <v>414238000</v>
      </c>
      <c r="Y41" s="1059"/>
      <c r="Z41" s="1059"/>
      <c r="AA41" s="1059">
        <f>+X41-Z41</f>
        <v>414238000</v>
      </c>
      <c r="AB41" s="1059"/>
      <c r="AC41" s="1059">
        <f t="shared" ref="AC41:AC54" si="40">+ROUND(D41*F41*1.1-X41-S41-J41,)</f>
        <v>212569500</v>
      </c>
      <c r="AD41" s="1059"/>
      <c r="AE41" s="1059"/>
      <c r="AF41" s="1059">
        <f>+AC41-AE41</f>
        <v>212569500</v>
      </c>
      <c r="AG41" s="1059"/>
      <c r="AH41" s="1059">
        <f>+ROUND($G41*AH$39,)</f>
        <v>0</v>
      </c>
      <c r="AI41" s="1059"/>
      <c r="AJ41" s="1059"/>
      <c r="AK41" s="1059">
        <f>+AH41-AJ41</f>
        <v>0</v>
      </c>
      <c r="AM41" s="320" t="b">
        <f t="shared" si="36"/>
        <v>1</v>
      </c>
    </row>
    <row r="42" spans="2:52">
      <c r="B42" s="1472"/>
      <c r="C42" s="1058" t="s">
        <v>739</v>
      </c>
      <c r="D42" s="1058">
        <v>315</v>
      </c>
      <c r="E42" s="503">
        <v>950000</v>
      </c>
      <c r="F42" s="503">
        <v>1050000</v>
      </c>
      <c r="G42" s="1059">
        <f t="shared" ref="G42:G54" si="41">+E42*D42*1.1</f>
        <v>329175000</v>
      </c>
      <c r="H42" s="1059">
        <f t="shared" si="37"/>
        <v>51975000</v>
      </c>
      <c r="I42" s="1059"/>
      <c r="J42" s="1059">
        <f t="shared" si="38"/>
        <v>0</v>
      </c>
      <c r="K42" s="1059"/>
      <c r="L42" s="1059"/>
      <c r="M42" s="1059"/>
      <c r="N42" s="1059"/>
      <c r="O42" s="1134"/>
      <c r="P42" s="1059"/>
      <c r="Q42" s="1059">
        <f t="shared" si="39"/>
        <v>0</v>
      </c>
      <c r="R42" s="1060">
        <f>+'BT 2HO'!O82</f>
        <v>45922</v>
      </c>
      <c r="S42" s="1059">
        <f t="shared" ref="S42:S54" si="42">+ROUND($G42*S$39,)</f>
        <v>164587500</v>
      </c>
      <c r="T42" s="1060">
        <f>+'BT 2HO'!O82</f>
        <v>45922</v>
      </c>
      <c r="U42" s="1059">
        <f>+'BT 2HO'!R82+'BT 2HO'!R83</f>
        <v>51975000</v>
      </c>
      <c r="V42" s="1059">
        <f t="shared" ref="V42:V54" si="43">+S42-U42</f>
        <v>112612500</v>
      </c>
      <c r="W42" s="1059"/>
      <c r="X42" s="1059">
        <f t="shared" ref="X42:X54" si="44">+ROUND($G42*X$39,)</f>
        <v>131670000</v>
      </c>
      <c r="Y42" s="1059"/>
      <c r="Z42" s="1059"/>
      <c r="AA42" s="1059">
        <f t="shared" ref="AA42:AA54" si="45">+X42-Z42</f>
        <v>131670000</v>
      </c>
      <c r="AB42" s="1059"/>
      <c r="AC42" s="1059">
        <f t="shared" si="40"/>
        <v>67567500</v>
      </c>
      <c r="AD42" s="1059"/>
      <c r="AE42" s="1059"/>
      <c r="AF42" s="1059">
        <f t="shared" ref="AF42:AF54" si="46">+AC42-AE42</f>
        <v>67567500</v>
      </c>
      <c r="AG42" s="1059"/>
      <c r="AH42" s="1059">
        <f t="shared" ref="AH42:AH54" si="47">+ROUND($G42*AH$39,)</f>
        <v>0</v>
      </c>
      <c r="AI42" s="1059"/>
      <c r="AJ42" s="1059"/>
      <c r="AK42" s="1059">
        <f t="shared" ref="AK42:AK54" si="48">+AH42-AJ42</f>
        <v>0</v>
      </c>
      <c r="AM42" s="320" t="b">
        <f t="shared" si="36"/>
        <v>1</v>
      </c>
    </row>
    <row r="43" spans="2:52">
      <c r="B43" s="1472"/>
      <c r="C43" s="1058" t="s">
        <v>740</v>
      </c>
      <c r="D43" s="1058">
        <v>156</v>
      </c>
      <c r="E43" s="503">
        <v>950000</v>
      </c>
      <c r="F43" s="503">
        <v>1050000</v>
      </c>
      <c r="G43" s="1059">
        <f t="shared" si="41"/>
        <v>163020000</v>
      </c>
      <c r="H43" s="1059">
        <f t="shared" si="37"/>
        <v>0</v>
      </c>
      <c r="I43" s="1059"/>
      <c r="J43" s="1059">
        <f t="shared" si="38"/>
        <v>0</v>
      </c>
      <c r="K43" s="1059"/>
      <c r="L43" s="1059"/>
      <c r="M43" s="1059"/>
      <c r="N43" s="1059"/>
      <c r="O43" s="1134"/>
      <c r="P43" s="1059"/>
      <c r="Q43" s="1059">
        <f t="shared" si="39"/>
        <v>0</v>
      </c>
      <c r="R43" s="1060"/>
      <c r="S43" s="1059">
        <f t="shared" si="42"/>
        <v>81510000</v>
      </c>
      <c r="T43" s="1060"/>
      <c r="U43" s="1059"/>
      <c r="V43" s="1059">
        <f t="shared" si="43"/>
        <v>81510000</v>
      </c>
      <c r="W43" s="1059"/>
      <c r="X43" s="1059">
        <f t="shared" si="44"/>
        <v>65208000</v>
      </c>
      <c r="Y43" s="1059"/>
      <c r="Z43" s="1059"/>
      <c r="AA43" s="1059">
        <f t="shared" si="45"/>
        <v>65208000</v>
      </c>
      <c r="AB43" s="1059"/>
      <c r="AC43" s="1059">
        <f t="shared" si="40"/>
        <v>33462000</v>
      </c>
      <c r="AD43" s="1059"/>
      <c r="AE43" s="1059"/>
      <c r="AF43" s="1059">
        <f t="shared" si="46"/>
        <v>33462000</v>
      </c>
      <c r="AG43" s="1059"/>
      <c r="AH43" s="1059">
        <f t="shared" si="47"/>
        <v>0</v>
      </c>
      <c r="AI43" s="1059"/>
      <c r="AJ43" s="1059"/>
      <c r="AK43" s="1059">
        <f t="shared" si="48"/>
        <v>0</v>
      </c>
      <c r="AM43" s="320" t="b">
        <f t="shared" si="36"/>
        <v>1</v>
      </c>
    </row>
    <row r="44" spans="2:52">
      <c r="B44" s="1472"/>
      <c r="C44" s="1058" t="s">
        <v>741</v>
      </c>
      <c r="D44" s="1058">
        <v>1000</v>
      </c>
      <c r="E44" s="503">
        <v>950000</v>
      </c>
      <c r="F44" s="503">
        <v>1050000</v>
      </c>
      <c r="G44" s="1059">
        <f t="shared" si="41"/>
        <v>1045000000.0000001</v>
      </c>
      <c r="H44" s="1059">
        <f t="shared" si="37"/>
        <v>0</v>
      </c>
      <c r="I44" s="1059"/>
      <c r="J44" s="1059">
        <f t="shared" si="38"/>
        <v>0</v>
      </c>
      <c r="K44" s="1059"/>
      <c r="L44" s="1059"/>
      <c r="M44" s="1059"/>
      <c r="N44" s="1059"/>
      <c r="O44" s="1134"/>
      <c r="P44" s="1059"/>
      <c r="Q44" s="1059">
        <f t="shared" si="39"/>
        <v>0</v>
      </c>
      <c r="R44" s="1060"/>
      <c r="S44" s="1059">
        <f t="shared" si="42"/>
        <v>522500000</v>
      </c>
      <c r="T44" s="1060"/>
      <c r="U44" s="1059"/>
      <c r="V44" s="1059">
        <f t="shared" si="43"/>
        <v>522500000</v>
      </c>
      <c r="W44" s="1059"/>
      <c r="X44" s="1059">
        <f t="shared" si="44"/>
        <v>418000000</v>
      </c>
      <c r="Y44" s="1059"/>
      <c r="Z44" s="1059"/>
      <c r="AA44" s="1059">
        <f t="shared" si="45"/>
        <v>418000000</v>
      </c>
      <c r="AB44" s="1059"/>
      <c r="AC44" s="1059">
        <f t="shared" si="40"/>
        <v>214500000</v>
      </c>
      <c r="AD44" s="1059"/>
      <c r="AE44" s="1059"/>
      <c r="AF44" s="1059">
        <f t="shared" si="46"/>
        <v>214500000</v>
      </c>
      <c r="AG44" s="1059"/>
      <c r="AH44" s="1059">
        <f t="shared" si="47"/>
        <v>0</v>
      </c>
      <c r="AI44" s="1059"/>
      <c r="AJ44" s="1059"/>
      <c r="AK44" s="1059">
        <f t="shared" si="48"/>
        <v>0</v>
      </c>
      <c r="AM44" s="320" t="b">
        <f t="shared" si="36"/>
        <v>1</v>
      </c>
    </row>
    <row r="45" spans="2:52" s="1071" customFormat="1">
      <c r="B45" s="1472"/>
      <c r="C45" s="1067" t="s">
        <v>799</v>
      </c>
      <c r="D45" s="1067">
        <v>200</v>
      </c>
      <c r="E45" s="1068">
        <v>950000</v>
      </c>
      <c r="F45" s="1068">
        <v>1050000</v>
      </c>
      <c r="G45" s="1064">
        <f t="shared" si="41"/>
        <v>209000000.00000003</v>
      </c>
      <c r="H45" s="1064">
        <f t="shared" si="37"/>
        <v>0</v>
      </c>
      <c r="I45" s="1064"/>
      <c r="J45" s="1064">
        <f t="shared" si="38"/>
        <v>0</v>
      </c>
      <c r="K45" s="1064"/>
      <c r="L45" s="1064"/>
      <c r="M45" s="1064"/>
      <c r="N45" s="1064"/>
      <c r="O45" s="1135"/>
      <c r="P45" s="1064"/>
      <c r="Q45" s="1064">
        <f t="shared" si="39"/>
        <v>0</v>
      </c>
      <c r="R45" s="1069"/>
      <c r="S45" s="1064">
        <f t="shared" si="42"/>
        <v>104500000</v>
      </c>
      <c r="T45" s="1069"/>
      <c r="U45" s="1064"/>
      <c r="V45" s="1064">
        <f t="shared" si="43"/>
        <v>104500000</v>
      </c>
      <c r="W45" s="1064"/>
      <c r="X45" s="1064">
        <f t="shared" si="44"/>
        <v>83600000</v>
      </c>
      <c r="Y45" s="1064"/>
      <c r="Z45" s="1064"/>
      <c r="AA45" s="1064">
        <f t="shared" si="45"/>
        <v>83600000</v>
      </c>
      <c r="AB45" s="1064"/>
      <c r="AC45" s="1064">
        <f t="shared" si="40"/>
        <v>42900000</v>
      </c>
      <c r="AD45" s="1064"/>
      <c r="AE45" s="1064"/>
      <c r="AF45" s="1064">
        <f t="shared" si="46"/>
        <v>42900000</v>
      </c>
      <c r="AG45" s="1064"/>
      <c r="AH45" s="1064">
        <f t="shared" si="47"/>
        <v>0</v>
      </c>
      <c r="AI45" s="1064"/>
      <c r="AJ45" s="1064"/>
      <c r="AK45" s="1064">
        <f t="shared" si="48"/>
        <v>0</v>
      </c>
      <c r="AL45" s="1070"/>
      <c r="AM45" s="1070" t="b">
        <f t="shared" si="36"/>
        <v>1</v>
      </c>
      <c r="AN45" s="1070"/>
      <c r="AO45" s="1070"/>
      <c r="AP45" s="1070"/>
      <c r="AQ45" s="1070"/>
      <c r="AR45" s="1070"/>
      <c r="AS45" s="1070"/>
      <c r="AT45" s="1070"/>
      <c r="AU45" s="1070"/>
      <c r="AV45" s="1070"/>
      <c r="AW45" s="1070"/>
      <c r="AX45" s="1070"/>
      <c r="AY45" s="1070"/>
      <c r="AZ45" s="1070"/>
    </row>
    <row r="46" spans="2:52">
      <c r="B46" s="1472"/>
      <c r="C46" s="1058" t="s">
        <v>742</v>
      </c>
      <c r="D46" s="1058">
        <v>173</v>
      </c>
      <c r="E46" s="503">
        <v>950000</v>
      </c>
      <c r="F46" s="503">
        <v>1050000</v>
      </c>
      <c r="G46" s="1059">
        <f t="shared" si="41"/>
        <v>180785000</v>
      </c>
      <c r="H46" s="1059">
        <f t="shared" si="37"/>
        <v>0</v>
      </c>
      <c r="I46" s="1059"/>
      <c r="J46" s="1059">
        <f t="shared" si="38"/>
        <v>0</v>
      </c>
      <c r="K46" s="1059"/>
      <c r="L46" s="1059"/>
      <c r="M46" s="1059"/>
      <c r="N46" s="1059"/>
      <c r="O46" s="1134"/>
      <c r="P46" s="1059"/>
      <c r="Q46" s="1059">
        <f t="shared" si="39"/>
        <v>0</v>
      </c>
      <c r="R46" s="1060"/>
      <c r="S46" s="1059">
        <f t="shared" si="42"/>
        <v>90392500</v>
      </c>
      <c r="T46" s="1060"/>
      <c r="U46" s="1059"/>
      <c r="V46" s="1059">
        <f t="shared" si="43"/>
        <v>90392500</v>
      </c>
      <c r="W46" s="1059"/>
      <c r="X46" s="1059">
        <f t="shared" si="44"/>
        <v>72314000</v>
      </c>
      <c r="Y46" s="1059"/>
      <c r="Z46" s="1059"/>
      <c r="AA46" s="1059">
        <f t="shared" si="45"/>
        <v>72314000</v>
      </c>
      <c r="AB46" s="1059"/>
      <c r="AC46" s="1059">
        <f t="shared" si="40"/>
        <v>37108500</v>
      </c>
      <c r="AD46" s="1059"/>
      <c r="AE46" s="1059"/>
      <c r="AF46" s="1059">
        <f t="shared" si="46"/>
        <v>37108500</v>
      </c>
      <c r="AG46" s="1059"/>
      <c r="AH46" s="1059">
        <f t="shared" si="47"/>
        <v>0</v>
      </c>
      <c r="AI46" s="1059"/>
      <c r="AJ46" s="1059"/>
      <c r="AK46" s="1059">
        <f t="shared" si="48"/>
        <v>0</v>
      </c>
      <c r="AM46" s="320" t="b">
        <f t="shared" si="36"/>
        <v>1</v>
      </c>
    </row>
    <row r="47" spans="2:52">
      <c r="B47" s="1472"/>
      <c r="C47" s="1058" t="s">
        <v>1052</v>
      </c>
      <c r="D47" s="1058">
        <f>0.371*1000</f>
        <v>371</v>
      </c>
      <c r="E47" s="503">
        <v>950000</v>
      </c>
      <c r="F47" s="503">
        <v>1050000</v>
      </c>
      <c r="G47" s="1059">
        <f t="shared" si="41"/>
        <v>387695000.00000006</v>
      </c>
      <c r="H47" s="1059">
        <f t="shared" si="37"/>
        <v>0</v>
      </c>
      <c r="I47" s="1059"/>
      <c r="J47" s="1059">
        <f t="shared" si="38"/>
        <v>0</v>
      </c>
      <c r="K47" s="1059"/>
      <c r="L47" s="1059"/>
      <c r="M47" s="1059"/>
      <c r="N47" s="1059"/>
      <c r="O47" s="1134"/>
      <c r="P47" s="1059"/>
      <c r="Q47" s="1059">
        <f t="shared" si="39"/>
        <v>0</v>
      </c>
      <c r="R47" s="1060"/>
      <c r="S47" s="1059">
        <f t="shared" si="42"/>
        <v>193847500</v>
      </c>
      <c r="T47" s="1060"/>
      <c r="U47" s="1059"/>
      <c r="V47" s="1059">
        <f t="shared" si="43"/>
        <v>193847500</v>
      </c>
      <c r="W47" s="1059"/>
      <c r="X47" s="1059">
        <f t="shared" si="44"/>
        <v>155078000</v>
      </c>
      <c r="Y47" s="1059"/>
      <c r="Z47" s="1059"/>
      <c r="AA47" s="1059">
        <f t="shared" si="45"/>
        <v>155078000</v>
      </c>
      <c r="AB47" s="1059"/>
      <c r="AC47" s="1059">
        <f t="shared" si="40"/>
        <v>79579500</v>
      </c>
      <c r="AD47" s="1059"/>
      <c r="AE47" s="1059"/>
      <c r="AF47" s="1059">
        <f t="shared" si="46"/>
        <v>79579500</v>
      </c>
      <c r="AG47" s="1059"/>
      <c r="AH47" s="1059">
        <f t="shared" si="47"/>
        <v>0</v>
      </c>
      <c r="AI47" s="1059"/>
      <c r="AJ47" s="1059"/>
      <c r="AK47" s="1059">
        <f t="shared" si="48"/>
        <v>0</v>
      </c>
      <c r="AM47" s="320" t="b">
        <f t="shared" si="36"/>
        <v>1</v>
      </c>
    </row>
    <row r="48" spans="2:52">
      <c r="B48" s="1472"/>
      <c r="C48" s="1058" t="s">
        <v>1053</v>
      </c>
      <c r="D48" s="1058">
        <f>0.187*1000</f>
        <v>187</v>
      </c>
      <c r="E48" s="503">
        <v>950000</v>
      </c>
      <c r="F48" s="503">
        <v>1050000</v>
      </c>
      <c r="G48" s="1059">
        <f t="shared" si="41"/>
        <v>195415000.00000003</v>
      </c>
      <c r="H48" s="1059">
        <f t="shared" si="37"/>
        <v>0</v>
      </c>
      <c r="I48" s="1059"/>
      <c r="J48" s="1059">
        <f t="shared" si="38"/>
        <v>0</v>
      </c>
      <c r="K48" s="1059"/>
      <c r="L48" s="1059"/>
      <c r="M48" s="1059"/>
      <c r="N48" s="1059"/>
      <c r="O48" s="1134"/>
      <c r="P48" s="1059"/>
      <c r="Q48" s="1059">
        <f t="shared" si="39"/>
        <v>0</v>
      </c>
      <c r="R48" s="1060"/>
      <c r="S48" s="1059">
        <f t="shared" si="42"/>
        <v>97707500</v>
      </c>
      <c r="T48" s="1060"/>
      <c r="U48" s="1059"/>
      <c r="V48" s="1059">
        <f t="shared" si="43"/>
        <v>97707500</v>
      </c>
      <c r="W48" s="1059"/>
      <c r="X48" s="1059">
        <f t="shared" si="44"/>
        <v>78166000</v>
      </c>
      <c r="Y48" s="1059"/>
      <c r="Z48" s="1059"/>
      <c r="AA48" s="1059">
        <f t="shared" si="45"/>
        <v>78166000</v>
      </c>
      <c r="AB48" s="1059"/>
      <c r="AC48" s="1059">
        <f t="shared" si="40"/>
        <v>40111500</v>
      </c>
      <c r="AD48" s="1059"/>
      <c r="AE48" s="1059"/>
      <c r="AF48" s="1059">
        <f t="shared" si="46"/>
        <v>40111500</v>
      </c>
      <c r="AG48" s="1059"/>
      <c r="AH48" s="1059">
        <f t="shared" si="47"/>
        <v>0</v>
      </c>
      <c r="AI48" s="1059"/>
      <c r="AJ48" s="1059"/>
      <c r="AK48" s="1059">
        <f t="shared" si="48"/>
        <v>0</v>
      </c>
      <c r="AM48" s="320" t="b">
        <f t="shared" si="36"/>
        <v>1</v>
      </c>
    </row>
    <row r="49" spans="2:52">
      <c r="B49" s="1472"/>
      <c r="C49" s="1058" t="s">
        <v>800</v>
      </c>
      <c r="D49" s="1058">
        <v>227</v>
      </c>
      <c r="E49" s="503">
        <v>950000</v>
      </c>
      <c r="F49" s="503">
        <v>1050000</v>
      </c>
      <c r="G49" s="1059">
        <f t="shared" si="41"/>
        <v>237215000.00000003</v>
      </c>
      <c r="H49" s="1059"/>
      <c r="I49" s="1059"/>
      <c r="J49" s="1059">
        <f t="shared" si="38"/>
        <v>0</v>
      </c>
      <c r="K49" s="1059"/>
      <c r="L49" s="1059"/>
      <c r="M49" s="1059"/>
      <c r="N49" s="1059"/>
      <c r="O49" s="1134"/>
      <c r="P49" s="1059"/>
      <c r="Q49" s="1059">
        <f t="shared" si="39"/>
        <v>0</v>
      </c>
      <c r="R49" s="1060"/>
      <c r="S49" s="1059">
        <f t="shared" si="42"/>
        <v>118607500</v>
      </c>
      <c r="T49" s="1060"/>
      <c r="U49" s="1059"/>
      <c r="V49" s="1059">
        <f t="shared" si="43"/>
        <v>118607500</v>
      </c>
      <c r="W49" s="1059"/>
      <c r="X49" s="1059">
        <f t="shared" si="44"/>
        <v>94886000</v>
      </c>
      <c r="Y49" s="1059"/>
      <c r="Z49" s="1059"/>
      <c r="AA49" s="1059">
        <f t="shared" si="45"/>
        <v>94886000</v>
      </c>
      <c r="AB49" s="1059"/>
      <c r="AC49" s="1059">
        <f t="shared" si="40"/>
        <v>48691500</v>
      </c>
      <c r="AD49" s="1059"/>
      <c r="AE49" s="1059"/>
      <c r="AF49" s="1059">
        <f t="shared" si="46"/>
        <v>48691500</v>
      </c>
      <c r="AG49" s="1059"/>
      <c r="AH49" s="1059">
        <f t="shared" si="47"/>
        <v>0</v>
      </c>
      <c r="AI49" s="1059"/>
      <c r="AJ49" s="1059"/>
      <c r="AK49" s="1059">
        <f t="shared" si="48"/>
        <v>0</v>
      </c>
      <c r="AM49" s="320" t="b">
        <f t="shared" si="36"/>
        <v>1</v>
      </c>
    </row>
    <row r="50" spans="2:52">
      <c r="B50" s="1472"/>
      <c r="C50" s="1058" t="s">
        <v>801</v>
      </c>
      <c r="D50" s="1058">
        <v>233</v>
      </c>
      <c r="E50" s="503">
        <v>950000</v>
      </c>
      <c r="F50" s="503">
        <v>1050000</v>
      </c>
      <c r="G50" s="1059">
        <f t="shared" si="41"/>
        <v>243485000.00000003</v>
      </c>
      <c r="H50" s="1059"/>
      <c r="I50" s="1059"/>
      <c r="J50" s="1059">
        <f t="shared" si="38"/>
        <v>0</v>
      </c>
      <c r="K50" s="1059"/>
      <c r="L50" s="1059"/>
      <c r="M50" s="1059"/>
      <c r="N50" s="1059"/>
      <c r="O50" s="1134"/>
      <c r="P50" s="1059"/>
      <c r="Q50" s="1059">
        <f t="shared" si="39"/>
        <v>0</v>
      </c>
      <c r="R50" s="1060"/>
      <c r="S50" s="1059">
        <f t="shared" si="42"/>
        <v>121742500</v>
      </c>
      <c r="T50" s="1060"/>
      <c r="U50" s="1059"/>
      <c r="V50" s="1059">
        <f t="shared" si="43"/>
        <v>121742500</v>
      </c>
      <c r="W50" s="1059"/>
      <c r="X50" s="1059">
        <f t="shared" si="44"/>
        <v>97394000</v>
      </c>
      <c r="Y50" s="1059"/>
      <c r="Z50" s="1059"/>
      <c r="AA50" s="1059">
        <f t="shared" si="45"/>
        <v>97394000</v>
      </c>
      <c r="AB50" s="1059"/>
      <c r="AC50" s="1059">
        <f t="shared" si="40"/>
        <v>49978500</v>
      </c>
      <c r="AD50" s="1059"/>
      <c r="AE50" s="1059"/>
      <c r="AF50" s="1059">
        <f t="shared" si="46"/>
        <v>49978500</v>
      </c>
      <c r="AG50" s="1059"/>
      <c r="AH50" s="1059">
        <f t="shared" si="47"/>
        <v>0</v>
      </c>
      <c r="AI50" s="1059"/>
      <c r="AJ50" s="1059"/>
      <c r="AK50" s="1059">
        <f t="shared" si="48"/>
        <v>0</v>
      </c>
      <c r="AM50" s="320" t="b">
        <f t="shared" si="36"/>
        <v>1</v>
      </c>
    </row>
    <row r="51" spans="2:52">
      <c r="B51" s="1472"/>
      <c r="C51" s="1058">
        <f>+'BT 2HO'!C97</f>
        <v>0</v>
      </c>
      <c r="D51" s="1058">
        <f>+'BT 2HO'!D97</f>
        <v>0</v>
      </c>
      <c r="E51" s="503">
        <v>950000</v>
      </c>
      <c r="F51" s="503">
        <v>1050000</v>
      </c>
      <c r="G51" s="1059">
        <f t="shared" si="41"/>
        <v>0</v>
      </c>
      <c r="H51" s="1059"/>
      <c r="I51" s="1059"/>
      <c r="J51" s="1059">
        <f t="shared" si="38"/>
        <v>0</v>
      </c>
      <c r="K51" s="1059"/>
      <c r="L51" s="1059"/>
      <c r="M51" s="1059"/>
      <c r="N51" s="1059"/>
      <c r="O51" s="1134"/>
      <c r="P51" s="1059"/>
      <c r="Q51" s="1059">
        <f t="shared" si="39"/>
        <v>0</v>
      </c>
      <c r="R51" s="1060"/>
      <c r="S51" s="1059">
        <f t="shared" si="42"/>
        <v>0</v>
      </c>
      <c r="T51" s="1060"/>
      <c r="U51" s="1059"/>
      <c r="V51" s="1059">
        <f t="shared" si="43"/>
        <v>0</v>
      </c>
      <c r="W51" s="1059"/>
      <c r="X51" s="1059">
        <f t="shared" si="44"/>
        <v>0</v>
      </c>
      <c r="Y51" s="1059"/>
      <c r="Z51" s="1059"/>
      <c r="AA51" s="1059">
        <f t="shared" si="45"/>
        <v>0</v>
      </c>
      <c r="AB51" s="1059"/>
      <c r="AC51" s="1059">
        <f t="shared" si="40"/>
        <v>0</v>
      </c>
      <c r="AD51" s="1059"/>
      <c r="AE51" s="1059"/>
      <c r="AF51" s="1059">
        <f t="shared" si="46"/>
        <v>0</v>
      </c>
      <c r="AG51" s="1059"/>
      <c r="AH51" s="1059">
        <f t="shared" si="47"/>
        <v>0</v>
      </c>
      <c r="AI51" s="1059"/>
      <c r="AJ51" s="1059"/>
      <c r="AK51" s="1059">
        <f t="shared" si="48"/>
        <v>0</v>
      </c>
      <c r="AM51" s="320" t="b">
        <f t="shared" si="36"/>
        <v>1</v>
      </c>
    </row>
    <row r="52" spans="2:52">
      <c r="B52" s="1472"/>
      <c r="C52" s="1058">
        <f>+'BT 2HO'!C102</f>
        <v>0</v>
      </c>
      <c r="D52" s="1058">
        <f>+'BT 2HO'!D102</f>
        <v>0</v>
      </c>
      <c r="E52" s="503">
        <v>950000</v>
      </c>
      <c r="F52" s="503">
        <v>1050000</v>
      </c>
      <c r="G52" s="1059">
        <f t="shared" si="41"/>
        <v>0</v>
      </c>
      <c r="H52" s="1059"/>
      <c r="I52" s="1059"/>
      <c r="J52" s="1059">
        <f t="shared" si="38"/>
        <v>0</v>
      </c>
      <c r="K52" s="1059"/>
      <c r="L52" s="1059"/>
      <c r="M52" s="1059"/>
      <c r="N52" s="1059"/>
      <c r="O52" s="1134"/>
      <c r="P52" s="1059"/>
      <c r="Q52" s="1059">
        <f t="shared" si="39"/>
        <v>0</v>
      </c>
      <c r="R52" s="1060"/>
      <c r="S52" s="1059">
        <f t="shared" si="42"/>
        <v>0</v>
      </c>
      <c r="T52" s="1060"/>
      <c r="U52" s="1059"/>
      <c r="V52" s="1059">
        <f t="shared" si="43"/>
        <v>0</v>
      </c>
      <c r="W52" s="1059"/>
      <c r="X52" s="1059">
        <f t="shared" si="44"/>
        <v>0</v>
      </c>
      <c r="Y52" s="1059"/>
      <c r="Z52" s="1059"/>
      <c r="AA52" s="1059">
        <f t="shared" si="45"/>
        <v>0</v>
      </c>
      <c r="AB52" s="1059"/>
      <c r="AC52" s="1059">
        <f t="shared" si="40"/>
        <v>0</v>
      </c>
      <c r="AD52" s="1059"/>
      <c r="AE52" s="1059"/>
      <c r="AF52" s="1059">
        <f t="shared" si="46"/>
        <v>0</v>
      </c>
      <c r="AG52" s="1059"/>
      <c r="AH52" s="1059">
        <f t="shared" si="47"/>
        <v>0</v>
      </c>
      <c r="AI52" s="1059"/>
      <c r="AJ52" s="1059"/>
      <c r="AK52" s="1059">
        <f t="shared" si="48"/>
        <v>0</v>
      </c>
      <c r="AM52" s="320" t="b">
        <f t="shared" si="36"/>
        <v>1</v>
      </c>
    </row>
    <row r="53" spans="2:52">
      <c r="B53" s="1472"/>
      <c r="C53" s="1058">
        <f>+'BT 2HO'!C107</f>
        <v>0</v>
      </c>
      <c r="D53" s="1058">
        <f>+'BT 2HO'!D107</f>
        <v>0</v>
      </c>
      <c r="E53" s="503">
        <v>950000</v>
      </c>
      <c r="F53" s="503">
        <v>1050000</v>
      </c>
      <c r="G53" s="1059">
        <f t="shared" si="41"/>
        <v>0</v>
      </c>
      <c r="H53" s="1059"/>
      <c r="I53" s="1059"/>
      <c r="J53" s="1059">
        <f t="shared" si="38"/>
        <v>0</v>
      </c>
      <c r="K53" s="1059"/>
      <c r="L53" s="1059"/>
      <c r="M53" s="1059"/>
      <c r="N53" s="1059"/>
      <c r="O53" s="1134"/>
      <c r="P53" s="1059"/>
      <c r="Q53" s="1059">
        <f t="shared" si="39"/>
        <v>0</v>
      </c>
      <c r="R53" s="1060"/>
      <c r="S53" s="1059">
        <f t="shared" si="42"/>
        <v>0</v>
      </c>
      <c r="T53" s="1060"/>
      <c r="U53" s="1059"/>
      <c r="V53" s="1059">
        <f t="shared" si="43"/>
        <v>0</v>
      </c>
      <c r="W53" s="1059"/>
      <c r="X53" s="1059">
        <f t="shared" si="44"/>
        <v>0</v>
      </c>
      <c r="Y53" s="1059"/>
      <c r="Z53" s="1059"/>
      <c r="AA53" s="1059">
        <f t="shared" si="45"/>
        <v>0</v>
      </c>
      <c r="AB53" s="1059"/>
      <c r="AC53" s="1059">
        <f t="shared" si="40"/>
        <v>0</v>
      </c>
      <c r="AD53" s="1059"/>
      <c r="AE53" s="1059"/>
      <c r="AF53" s="1059">
        <f t="shared" si="46"/>
        <v>0</v>
      </c>
      <c r="AG53" s="1059"/>
      <c r="AH53" s="1059">
        <f t="shared" si="47"/>
        <v>0</v>
      </c>
      <c r="AI53" s="1059"/>
      <c r="AJ53" s="1059"/>
      <c r="AK53" s="1059">
        <f t="shared" si="48"/>
        <v>0</v>
      </c>
      <c r="AM53" s="320" t="b">
        <f t="shared" si="36"/>
        <v>1</v>
      </c>
    </row>
    <row r="54" spans="2:52">
      <c r="B54" s="1472"/>
      <c r="C54" s="1058">
        <f>+'BT 2HO'!C112</f>
        <v>0</v>
      </c>
      <c r="D54" s="1058">
        <f>+'BT 2HO'!D112</f>
        <v>0</v>
      </c>
      <c r="E54" s="503">
        <v>950000</v>
      </c>
      <c r="F54" s="503">
        <v>1050000</v>
      </c>
      <c r="G54" s="1059">
        <f t="shared" si="41"/>
        <v>0</v>
      </c>
      <c r="H54" s="1059"/>
      <c r="I54" s="1059"/>
      <c r="J54" s="1059">
        <f t="shared" si="38"/>
        <v>0</v>
      </c>
      <c r="K54" s="1059"/>
      <c r="L54" s="1059"/>
      <c r="M54" s="1059"/>
      <c r="N54" s="1059"/>
      <c r="O54" s="1134"/>
      <c r="P54" s="1059"/>
      <c r="Q54" s="1059">
        <f t="shared" si="39"/>
        <v>0</v>
      </c>
      <c r="R54" s="1060"/>
      <c r="S54" s="1059">
        <f t="shared" si="42"/>
        <v>0</v>
      </c>
      <c r="T54" s="1060"/>
      <c r="U54" s="1059"/>
      <c r="V54" s="1059">
        <f t="shared" si="43"/>
        <v>0</v>
      </c>
      <c r="W54" s="1059"/>
      <c r="X54" s="1059">
        <f t="shared" si="44"/>
        <v>0</v>
      </c>
      <c r="Y54" s="1059"/>
      <c r="Z54" s="1059"/>
      <c r="AA54" s="1059">
        <f t="shared" si="45"/>
        <v>0</v>
      </c>
      <c r="AB54" s="1059"/>
      <c r="AC54" s="1059">
        <f t="shared" si="40"/>
        <v>0</v>
      </c>
      <c r="AD54" s="1059"/>
      <c r="AE54" s="1059"/>
      <c r="AF54" s="1059">
        <f t="shared" si="46"/>
        <v>0</v>
      </c>
      <c r="AG54" s="1059"/>
      <c r="AH54" s="1059">
        <f t="shared" si="47"/>
        <v>0</v>
      </c>
      <c r="AI54" s="1059"/>
      <c r="AJ54" s="1059"/>
      <c r="AK54" s="1059">
        <f t="shared" si="48"/>
        <v>0</v>
      </c>
      <c r="AM54" s="320" t="b">
        <f t="shared" si="36"/>
        <v>1</v>
      </c>
    </row>
    <row r="56" spans="2:52" ht="15.6" customHeight="1">
      <c r="B56" s="1470" t="s">
        <v>165</v>
      </c>
      <c r="C56" s="1470" t="s">
        <v>715</v>
      </c>
      <c r="D56" s="1473" t="s">
        <v>270</v>
      </c>
      <c r="E56" s="1474" t="s">
        <v>1055</v>
      </c>
      <c r="F56" s="1474" t="s">
        <v>1054</v>
      </c>
      <c r="G56" s="1471" t="s">
        <v>17</v>
      </c>
      <c r="H56" s="1475" t="s">
        <v>716</v>
      </c>
      <c r="I56" s="1475" t="s">
        <v>717</v>
      </c>
      <c r="J56" s="1477" t="s">
        <v>1050</v>
      </c>
      <c r="K56" s="1478"/>
      <c r="L56" s="1478"/>
      <c r="M56" s="1478"/>
      <c r="N56" s="1478"/>
      <c r="O56" s="1478"/>
      <c r="P56" s="1478"/>
      <c r="Q56" s="1479"/>
      <c r="R56" s="1471" t="s">
        <v>718</v>
      </c>
      <c r="S56" s="1471"/>
      <c r="T56" s="1471"/>
      <c r="U56" s="1471"/>
      <c r="V56" s="1471"/>
      <c r="W56" s="1471" t="s">
        <v>719</v>
      </c>
      <c r="X56" s="1471"/>
      <c r="Y56" s="1471"/>
      <c r="Z56" s="1471"/>
      <c r="AA56" s="1471"/>
      <c r="AB56" s="1471" t="s">
        <v>370</v>
      </c>
      <c r="AC56" s="1471"/>
      <c r="AD56" s="1471"/>
      <c r="AE56" s="1471"/>
      <c r="AF56" s="1471"/>
      <c r="AG56" s="1471" t="s">
        <v>371</v>
      </c>
      <c r="AH56" s="1471"/>
      <c r="AI56" s="1471"/>
      <c r="AJ56" s="1471"/>
      <c r="AK56" s="1471"/>
    </row>
    <row r="57" spans="2:52" ht="13.5">
      <c r="B57" s="1470"/>
      <c r="C57" s="1470"/>
      <c r="D57" s="1473"/>
      <c r="E57" s="1474"/>
      <c r="F57" s="1474"/>
      <c r="G57" s="1471"/>
      <c r="H57" s="1476"/>
      <c r="I57" s="1476"/>
      <c r="J57" s="1065" t="s">
        <v>1043</v>
      </c>
      <c r="K57" s="1065" t="s">
        <v>1044</v>
      </c>
      <c r="L57" s="1065" t="s">
        <v>1045</v>
      </c>
      <c r="M57" s="1065" t="s">
        <v>890</v>
      </c>
      <c r="N57" s="1065" t="s">
        <v>1046</v>
      </c>
      <c r="O57" s="1133" t="s">
        <v>1047</v>
      </c>
      <c r="P57" s="1065" t="s">
        <v>1048</v>
      </c>
      <c r="Q57" s="1065" t="s">
        <v>1049</v>
      </c>
      <c r="R57" s="1061" t="s">
        <v>188</v>
      </c>
      <c r="S57" s="1062">
        <v>0.5</v>
      </c>
      <c r="T57" s="1061" t="s">
        <v>188</v>
      </c>
      <c r="U57" s="1063" t="s">
        <v>720</v>
      </c>
      <c r="V57" s="1063" t="s">
        <v>721</v>
      </c>
      <c r="W57" s="1061" t="s">
        <v>188</v>
      </c>
      <c r="X57" s="1062">
        <v>0.4</v>
      </c>
      <c r="Y57" s="1061" t="s">
        <v>188</v>
      </c>
      <c r="Z57" s="1063" t="s">
        <v>720</v>
      </c>
      <c r="AA57" s="1063" t="s">
        <v>721</v>
      </c>
      <c r="AB57" s="1061" t="s">
        <v>188</v>
      </c>
      <c r="AC57" s="1062">
        <v>0.1</v>
      </c>
      <c r="AD57" s="1061" t="s">
        <v>188</v>
      </c>
      <c r="AE57" s="1063" t="s">
        <v>720</v>
      </c>
      <c r="AF57" s="1063" t="s">
        <v>721</v>
      </c>
      <c r="AG57" s="1061" t="s">
        <v>188</v>
      </c>
      <c r="AH57" s="1062">
        <v>0</v>
      </c>
      <c r="AI57" s="1061" t="s">
        <v>188</v>
      </c>
      <c r="AJ57" s="1063" t="s">
        <v>720</v>
      </c>
      <c r="AK57" s="1063" t="s">
        <v>721</v>
      </c>
    </row>
    <row r="58" spans="2:52">
      <c r="B58" s="1472" t="s">
        <v>743</v>
      </c>
      <c r="C58" s="1057"/>
      <c r="D58" s="1058">
        <f>+SUM(D59:D72)</f>
        <v>2877.38</v>
      </c>
      <c r="E58" s="503">
        <v>950000</v>
      </c>
      <c r="F58" s="503">
        <v>1050000</v>
      </c>
      <c r="G58" s="1059">
        <f>+SUM(G59:G72)</f>
        <v>3006862100</v>
      </c>
      <c r="H58" s="1059">
        <f>+SUM(H59:H72)</f>
        <v>47583800</v>
      </c>
      <c r="I58" s="1059">
        <f t="shared" ref="I58" si="49">+SUM(I59:I72)</f>
        <v>31083800</v>
      </c>
      <c r="J58" s="1059">
        <f>+SUM(J59:J72)</f>
        <v>0</v>
      </c>
      <c r="K58" s="1059">
        <f>+SUM(K59:K72)</f>
        <v>0</v>
      </c>
      <c r="L58" s="1059">
        <f>+SUM(L59:L72)</f>
        <v>0</v>
      </c>
      <c r="M58" s="1059">
        <f>+SUM(M59:M72)</f>
        <v>0</v>
      </c>
      <c r="N58" s="1059">
        <f>+SUM(N59:N72)</f>
        <v>0</v>
      </c>
      <c r="O58" s="1059"/>
      <c r="P58" s="1059">
        <f>+SUM(P59:P72)</f>
        <v>0</v>
      </c>
      <c r="Q58" s="1059">
        <f>+SUM(Q59:Q72)</f>
        <v>0</v>
      </c>
      <c r="R58" s="1060"/>
      <c r="S58" s="1059">
        <f>+SUM(S59:S72)</f>
        <v>1503431050</v>
      </c>
      <c r="T58" s="1060"/>
      <c r="U58" s="1059">
        <f>+SUM(U59:U72)</f>
        <v>47583800</v>
      </c>
      <c r="V58" s="1059">
        <f>+SUM(V59:V72)</f>
        <v>1455847250</v>
      </c>
      <c r="W58" s="1059"/>
      <c r="X58" s="1059">
        <f t="shared" ref="X58" si="50">+SUM(X59:X72)</f>
        <v>1202744840</v>
      </c>
      <c r="Y58" s="1059"/>
      <c r="Z58" s="1059"/>
      <c r="AA58" s="1059">
        <f>+SUM(AA59:AA72)</f>
        <v>1202744840</v>
      </c>
      <c r="AB58" s="1059"/>
      <c r="AC58" s="1059">
        <f t="shared" ref="AC58" si="51">+SUM(AC59:AC72)</f>
        <v>617198010</v>
      </c>
      <c r="AD58" s="1059"/>
      <c r="AE58" s="1059"/>
      <c r="AF58" s="1059">
        <f>+SUM(AF59:AF72)</f>
        <v>617198010</v>
      </c>
      <c r="AG58" s="1059"/>
      <c r="AH58" s="1059">
        <f t="shared" ref="AH58" si="52">+SUM(AH59:AH72)</f>
        <v>0</v>
      </c>
      <c r="AI58" s="1059"/>
      <c r="AJ58" s="1059"/>
      <c r="AK58" s="1059">
        <f>+SUM(AK59:AK72)</f>
        <v>0</v>
      </c>
      <c r="AM58" s="320" t="b">
        <f t="shared" ref="AM58:AM72" si="53">S58+X58+AC58+AH58+J58=D58*F58*1.1</f>
        <v>1</v>
      </c>
    </row>
    <row r="59" spans="2:52">
      <c r="B59" s="1472"/>
      <c r="C59" s="1058" t="s">
        <v>744</v>
      </c>
      <c r="D59" s="1058">
        <f>+'BT 6HO'!D11</f>
        <v>150</v>
      </c>
      <c r="E59" s="503">
        <v>950000</v>
      </c>
      <c r="F59" s="503">
        <v>1050000</v>
      </c>
      <c r="G59" s="1059">
        <f>+E59*D59*1.1</f>
        <v>156750000</v>
      </c>
      <c r="H59" s="1059">
        <f t="shared" ref="H59:H66" si="54">+U59+Z59+AE59+AJ59</f>
        <v>16500000</v>
      </c>
      <c r="I59" s="1059"/>
      <c r="J59" s="1059">
        <f t="shared" ref="J59:J72" si="55">+SUM(K59:N59)</f>
        <v>0</v>
      </c>
      <c r="K59" s="1059"/>
      <c r="L59" s="1059"/>
      <c r="M59" s="1059"/>
      <c r="N59" s="1059"/>
      <c r="O59" s="1134"/>
      <c r="P59" s="1059"/>
      <c r="Q59" s="1059">
        <f t="shared" ref="Q59:Q72" si="56">+J59-P59</f>
        <v>0</v>
      </c>
      <c r="R59" s="1060">
        <f>+'BT 6HO'!N12</f>
        <v>45631</v>
      </c>
      <c r="S59" s="1059">
        <f>+ROUND($G59*S$57,)</f>
        <v>78375000</v>
      </c>
      <c r="T59" s="1060">
        <f>+'BT 6HO'!O12</f>
        <v>45631</v>
      </c>
      <c r="U59" s="1059">
        <f>+'BT 6HO'!R12+'BT 6HO'!R13</f>
        <v>16500000</v>
      </c>
      <c r="V59" s="1059">
        <f>+S59-U59</f>
        <v>61875000</v>
      </c>
      <c r="W59" s="1059"/>
      <c r="X59" s="1059">
        <f>+ROUND($G59*X$57,)</f>
        <v>62700000</v>
      </c>
      <c r="Y59" s="1059"/>
      <c r="Z59" s="1059"/>
      <c r="AA59" s="1059">
        <f>+X59-Z59</f>
        <v>62700000</v>
      </c>
      <c r="AB59" s="1059"/>
      <c r="AC59" s="1059">
        <f t="shared" ref="AC59:AC72" si="57">+ROUND(D59*F59*1.1-X59-S59-J59,)</f>
        <v>32175000</v>
      </c>
      <c r="AD59" s="1059"/>
      <c r="AE59" s="1059"/>
      <c r="AF59" s="1059">
        <f>+AC59-AE59</f>
        <v>32175000</v>
      </c>
      <c r="AG59" s="1059"/>
      <c r="AH59" s="1059">
        <f>+ROUND($G59*AH$57,)</f>
        <v>0</v>
      </c>
      <c r="AI59" s="1059"/>
      <c r="AJ59" s="1059"/>
      <c r="AK59" s="1059">
        <f>+AH59-AJ59</f>
        <v>0</v>
      </c>
      <c r="AM59" s="320" t="b">
        <f t="shared" si="53"/>
        <v>1</v>
      </c>
    </row>
    <row r="60" spans="2:52" s="1071" customFormat="1">
      <c r="B60" s="1472"/>
      <c r="C60" s="1067" t="s">
        <v>745</v>
      </c>
      <c r="D60" s="1067">
        <f>+'BT 6HO'!D16</f>
        <v>144.15</v>
      </c>
      <c r="E60" s="1068">
        <v>950000</v>
      </c>
      <c r="F60" s="1068">
        <v>1050000</v>
      </c>
      <c r="G60" s="1064">
        <f t="shared" ref="G60:G72" si="58">+E60*D60*1.1</f>
        <v>150636750</v>
      </c>
      <c r="H60" s="1064">
        <f t="shared" si="54"/>
        <v>15856500</v>
      </c>
      <c r="I60" s="1064">
        <f>+H60</f>
        <v>15856500</v>
      </c>
      <c r="J60" s="1064">
        <f t="shared" si="55"/>
        <v>0</v>
      </c>
      <c r="K60" s="1064"/>
      <c r="L60" s="1064"/>
      <c r="M60" s="1064"/>
      <c r="N60" s="1064"/>
      <c r="O60" s="1135"/>
      <c r="P60" s="1064"/>
      <c r="Q60" s="1064">
        <f t="shared" si="56"/>
        <v>0</v>
      </c>
      <c r="R60" s="1069">
        <f>+'BT 6HO'!N17</f>
        <v>45631</v>
      </c>
      <c r="S60" s="1064">
        <f t="shared" ref="S60:S72" si="59">+ROUND($G60*S$57,)</f>
        <v>75318375</v>
      </c>
      <c r="T60" s="1069">
        <f>+'BT 6HO'!O17</f>
        <v>45631</v>
      </c>
      <c r="U60" s="1064">
        <f>+'BT 6HO'!R17+'BT 6HO'!R18</f>
        <v>15856500</v>
      </c>
      <c r="V60" s="1064">
        <f t="shared" ref="V60:V72" si="60">+S60-U60</f>
        <v>59461875</v>
      </c>
      <c r="W60" s="1064"/>
      <c r="X60" s="1064">
        <f t="shared" ref="X60:X72" si="61">+ROUND($G60*X$57,)</f>
        <v>60254700</v>
      </c>
      <c r="Y60" s="1064"/>
      <c r="Z60" s="1064"/>
      <c r="AA60" s="1064">
        <f t="shared" ref="AA60:AA72" si="62">+X60-Z60</f>
        <v>60254700</v>
      </c>
      <c r="AB60" s="1064"/>
      <c r="AC60" s="1064">
        <f t="shared" si="57"/>
        <v>30920175</v>
      </c>
      <c r="AD60" s="1064"/>
      <c r="AE60" s="1064"/>
      <c r="AF60" s="1064">
        <f t="shared" ref="AF60:AF72" si="63">+AC60-AE60</f>
        <v>30920175</v>
      </c>
      <c r="AG60" s="1064"/>
      <c r="AH60" s="1064">
        <f t="shared" ref="AH60:AH72" si="64">+ROUND($G60*AH$57,)</f>
        <v>0</v>
      </c>
      <c r="AI60" s="1064"/>
      <c r="AJ60" s="1064"/>
      <c r="AK60" s="1064">
        <f t="shared" ref="AK60:AK72" si="65">+AH60-AJ60</f>
        <v>0</v>
      </c>
      <c r="AL60" s="1070"/>
      <c r="AM60" s="1070" t="b">
        <f t="shared" si="53"/>
        <v>1</v>
      </c>
      <c r="AN60" s="1070"/>
      <c r="AO60" s="1070"/>
      <c r="AP60" s="1070"/>
      <c r="AQ60" s="1070"/>
      <c r="AR60" s="1070"/>
      <c r="AS60" s="1070"/>
      <c r="AT60" s="1070"/>
      <c r="AU60" s="1070"/>
      <c r="AV60" s="1070"/>
      <c r="AW60" s="1070"/>
      <c r="AX60" s="1070"/>
      <c r="AY60" s="1070"/>
      <c r="AZ60" s="1070"/>
    </row>
    <row r="61" spans="2:52" s="1071" customFormat="1">
      <c r="B61" s="1472"/>
      <c r="C61" s="1067" t="s">
        <v>746</v>
      </c>
      <c r="D61" s="1067">
        <f>+'BT 6HO'!D21</f>
        <v>138.43</v>
      </c>
      <c r="E61" s="1068">
        <v>950000</v>
      </c>
      <c r="F61" s="1068">
        <v>1050000</v>
      </c>
      <c r="G61" s="1064">
        <f t="shared" si="58"/>
        <v>144659350</v>
      </c>
      <c r="H61" s="1064">
        <f t="shared" si="54"/>
        <v>15227300</v>
      </c>
      <c r="I61" s="1064">
        <f>+H61</f>
        <v>15227300</v>
      </c>
      <c r="J61" s="1064">
        <f t="shared" si="55"/>
        <v>0</v>
      </c>
      <c r="K61" s="1064"/>
      <c r="L61" s="1064"/>
      <c r="M61" s="1064"/>
      <c r="N61" s="1064"/>
      <c r="O61" s="1135"/>
      <c r="P61" s="1064"/>
      <c r="Q61" s="1064">
        <f t="shared" si="56"/>
        <v>0</v>
      </c>
      <c r="R61" s="1069">
        <f>+'BT 6HO'!N22</f>
        <v>45631</v>
      </c>
      <c r="S61" s="1064">
        <f t="shared" si="59"/>
        <v>72329675</v>
      </c>
      <c r="T61" s="1069">
        <f>+'BT 6HO'!O22</f>
        <v>45631</v>
      </c>
      <c r="U61" s="1064">
        <f>+'BT 6HO'!R22+'BT 6HO'!R23</f>
        <v>15227300</v>
      </c>
      <c r="V61" s="1064">
        <f t="shared" si="60"/>
        <v>57102375</v>
      </c>
      <c r="W61" s="1064"/>
      <c r="X61" s="1064">
        <f t="shared" si="61"/>
        <v>57863740</v>
      </c>
      <c r="Y61" s="1064"/>
      <c r="Z61" s="1064"/>
      <c r="AA61" s="1064">
        <f t="shared" si="62"/>
        <v>57863740</v>
      </c>
      <c r="AB61" s="1064"/>
      <c r="AC61" s="1064">
        <f t="shared" si="57"/>
        <v>29693235</v>
      </c>
      <c r="AD61" s="1064"/>
      <c r="AE61" s="1064"/>
      <c r="AF61" s="1064">
        <f t="shared" si="63"/>
        <v>29693235</v>
      </c>
      <c r="AG61" s="1064"/>
      <c r="AH61" s="1064">
        <f t="shared" si="64"/>
        <v>0</v>
      </c>
      <c r="AI61" s="1064"/>
      <c r="AJ61" s="1064"/>
      <c r="AK61" s="1064">
        <f t="shared" si="65"/>
        <v>0</v>
      </c>
      <c r="AL61" s="1070"/>
      <c r="AM61" s="1070" t="b">
        <f t="shared" si="53"/>
        <v>1</v>
      </c>
      <c r="AN61" s="1070"/>
      <c r="AO61" s="1070"/>
      <c r="AP61" s="1070"/>
      <c r="AQ61" s="1070"/>
      <c r="AR61" s="1070"/>
      <c r="AS61" s="1070"/>
      <c r="AT61" s="1070"/>
      <c r="AU61" s="1070"/>
      <c r="AV61" s="1070"/>
      <c r="AW61" s="1070"/>
      <c r="AX61" s="1070"/>
      <c r="AY61" s="1070"/>
      <c r="AZ61" s="1070"/>
    </row>
    <row r="62" spans="2:52">
      <c r="B62" s="1472"/>
      <c r="C62" s="1058" t="s">
        <v>747</v>
      </c>
      <c r="D62" s="1058">
        <f>+'BT 6HO'!D26</f>
        <v>2444.8000000000002</v>
      </c>
      <c r="E62" s="503">
        <v>950000</v>
      </c>
      <c r="F62" s="503">
        <v>1050000</v>
      </c>
      <c r="G62" s="1059">
        <f t="shared" si="58"/>
        <v>2554816000</v>
      </c>
      <c r="H62" s="1059">
        <f t="shared" si="54"/>
        <v>0</v>
      </c>
      <c r="I62" s="1059"/>
      <c r="J62" s="1059">
        <f t="shared" si="55"/>
        <v>0</v>
      </c>
      <c r="K62" s="1059"/>
      <c r="L62" s="1059"/>
      <c r="M62" s="1059"/>
      <c r="N62" s="1059"/>
      <c r="O62" s="1134"/>
      <c r="P62" s="1059"/>
      <c r="Q62" s="1059">
        <f t="shared" si="56"/>
        <v>0</v>
      </c>
      <c r="R62" s="1060"/>
      <c r="S62" s="1059">
        <f t="shared" si="59"/>
        <v>1277408000</v>
      </c>
      <c r="T62" s="1060"/>
      <c r="U62" s="1059"/>
      <c r="V62" s="1059">
        <f t="shared" si="60"/>
        <v>1277408000</v>
      </c>
      <c r="W62" s="1059"/>
      <c r="X62" s="1059">
        <f t="shared" si="61"/>
        <v>1021926400</v>
      </c>
      <c r="Y62" s="1059"/>
      <c r="Z62" s="1059"/>
      <c r="AA62" s="1059">
        <f t="shared" si="62"/>
        <v>1021926400</v>
      </c>
      <c r="AB62" s="1059"/>
      <c r="AC62" s="1059">
        <f t="shared" si="57"/>
        <v>524409600</v>
      </c>
      <c r="AD62" s="1059"/>
      <c r="AE62" s="1059"/>
      <c r="AF62" s="1059">
        <f t="shared" si="63"/>
        <v>524409600</v>
      </c>
      <c r="AG62" s="1059"/>
      <c r="AH62" s="1059">
        <f t="shared" si="64"/>
        <v>0</v>
      </c>
      <c r="AI62" s="1059"/>
      <c r="AJ62" s="1059"/>
      <c r="AK62" s="1059">
        <f t="shared" si="65"/>
        <v>0</v>
      </c>
      <c r="AM62" s="320" t="b">
        <f t="shared" si="53"/>
        <v>1</v>
      </c>
    </row>
    <row r="63" spans="2:52">
      <c r="B63" s="1472"/>
      <c r="C63" s="1058">
        <f>+'BT 2HO'!C85</f>
        <v>0</v>
      </c>
      <c r="D63" s="1058">
        <f>+'BT 2HO'!D85</f>
        <v>0</v>
      </c>
      <c r="E63" s="503">
        <v>950000</v>
      </c>
      <c r="F63" s="503">
        <v>1050000</v>
      </c>
      <c r="G63" s="1059">
        <f t="shared" si="58"/>
        <v>0</v>
      </c>
      <c r="H63" s="1059">
        <f t="shared" si="54"/>
        <v>0</v>
      </c>
      <c r="I63" s="1059"/>
      <c r="J63" s="1059">
        <f t="shared" si="55"/>
        <v>0</v>
      </c>
      <c r="K63" s="1059"/>
      <c r="L63" s="1059"/>
      <c r="M63" s="1059"/>
      <c r="N63" s="1059"/>
      <c r="O63" s="1134"/>
      <c r="P63" s="1059"/>
      <c r="Q63" s="1059">
        <f t="shared" si="56"/>
        <v>0</v>
      </c>
      <c r="R63" s="1060"/>
      <c r="S63" s="1059">
        <f t="shared" si="59"/>
        <v>0</v>
      </c>
      <c r="T63" s="1060"/>
      <c r="U63" s="1059"/>
      <c r="V63" s="1059">
        <f t="shared" si="60"/>
        <v>0</v>
      </c>
      <c r="W63" s="1059"/>
      <c r="X63" s="1059">
        <f t="shared" si="61"/>
        <v>0</v>
      </c>
      <c r="Y63" s="1059"/>
      <c r="Z63" s="1059"/>
      <c r="AA63" s="1059">
        <f t="shared" si="62"/>
        <v>0</v>
      </c>
      <c r="AB63" s="1059"/>
      <c r="AC63" s="1059">
        <f t="shared" si="57"/>
        <v>0</v>
      </c>
      <c r="AD63" s="1059"/>
      <c r="AE63" s="1059"/>
      <c r="AF63" s="1059">
        <f t="shared" si="63"/>
        <v>0</v>
      </c>
      <c r="AG63" s="1059"/>
      <c r="AH63" s="1059">
        <f t="shared" si="64"/>
        <v>0</v>
      </c>
      <c r="AI63" s="1059"/>
      <c r="AJ63" s="1059"/>
      <c r="AK63" s="1059">
        <f t="shared" si="65"/>
        <v>0</v>
      </c>
      <c r="AM63" s="320" t="b">
        <f t="shared" si="53"/>
        <v>1</v>
      </c>
    </row>
    <row r="64" spans="2:52">
      <c r="B64" s="1472"/>
      <c r="C64" s="1058">
        <f>+'BT 2HO'!C90</f>
        <v>0</v>
      </c>
      <c r="D64" s="1058">
        <f>+'BT 2HO'!D90</f>
        <v>0</v>
      </c>
      <c r="E64" s="503">
        <v>950000</v>
      </c>
      <c r="F64" s="503">
        <v>1050000</v>
      </c>
      <c r="G64" s="1059">
        <f t="shared" si="58"/>
        <v>0</v>
      </c>
      <c r="H64" s="1059">
        <f t="shared" si="54"/>
        <v>0</v>
      </c>
      <c r="I64" s="1059"/>
      <c r="J64" s="1059">
        <f t="shared" si="55"/>
        <v>0</v>
      </c>
      <c r="K64" s="1059"/>
      <c r="L64" s="1059"/>
      <c r="M64" s="1059"/>
      <c r="N64" s="1059"/>
      <c r="O64" s="1134"/>
      <c r="P64" s="1059"/>
      <c r="Q64" s="1059">
        <f t="shared" si="56"/>
        <v>0</v>
      </c>
      <c r="R64" s="1060"/>
      <c r="S64" s="1059">
        <f t="shared" si="59"/>
        <v>0</v>
      </c>
      <c r="T64" s="1060"/>
      <c r="U64" s="1059"/>
      <c r="V64" s="1059">
        <f t="shared" si="60"/>
        <v>0</v>
      </c>
      <c r="W64" s="1059"/>
      <c r="X64" s="1059">
        <f t="shared" si="61"/>
        <v>0</v>
      </c>
      <c r="Y64" s="1059"/>
      <c r="Z64" s="1059"/>
      <c r="AA64" s="1059">
        <f t="shared" si="62"/>
        <v>0</v>
      </c>
      <c r="AB64" s="1059"/>
      <c r="AC64" s="1059">
        <f t="shared" si="57"/>
        <v>0</v>
      </c>
      <c r="AD64" s="1059"/>
      <c r="AE64" s="1059"/>
      <c r="AF64" s="1059">
        <f t="shared" si="63"/>
        <v>0</v>
      </c>
      <c r="AG64" s="1059"/>
      <c r="AH64" s="1059">
        <f t="shared" si="64"/>
        <v>0</v>
      </c>
      <c r="AI64" s="1059"/>
      <c r="AJ64" s="1059"/>
      <c r="AK64" s="1059">
        <f t="shared" si="65"/>
        <v>0</v>
      </c>
      <c r="AM64" s="320" t="b">
        <f t="shared" si="53"/>
        <v>1</v>
      </c>
    </row>
    <row r="65" spans="2:52">
      <c r="B65" s="1472"/>
      <c r="C65" s="1058">
        <f>+'BT 2HO'!C95</f>
        <v>0</v>
      </c>
      <c r="D65" s="1058">
        <f>+'BT 2HO'!D95</f>
        <v>0</v>
      </c>
      <c r="E65" s="503">
        <v>950000</v>
      </c>
      <c r="F65" s="503">
        <v>1050000</v>
      </c>
      <c r="G65" s="1059">
        <f t="shared" si="58"/>
        <v>0</v>
      </c>
      <c r="H65" s="1059">
        <f t="shared" si="54"/>
        <v>0</v>
      </c>
      <c r="I65" s="1059"/>
      <c r="J65" s="1059">
        <f t="shared" si="55"/>
        <v>0</v>
      </c>
      <c r="K65" s="1059"/>
      <c r="L65" s="1059"/>
      <c r="M65" s="1059"/>
      <c r="N65" s="1059"/>
      <c r="O65" s="1134"/>
      <c r="P65" s="1059"/>
      <c r="Q65" s="1059">
        <f t="shared" si="56"/>
        <v>0</v>
      </c>
      <c r="R65" s="1060"/>
      <c r="S65" s="1059">
        <f t="shared" si="59"/>
        <v>0</v>
      </c>
      <c r="T65" s="1060"/>
      <c r="U65" s="1059"/>
      <c r="V65" s="1059">
        <f t="shared" si="60"/>
        <v>0</v>
      </c>
      <c r="W65" s="1059"/>
      <c r="X65" s="1059">
        <f t="shared" si="61"/>
        <v>0</v>
      </c>
      <c r="Y65" s="1059"/>
      <c r="Z65" s="1059"/>
      <c r="AA65" s="1059">
        <f t="shared" si="62"/>
        <v>0</v>
      </c>
      <c r="AB65" s="1059"/>
      <c r="AC65" s="1059">
        <f t="shared" si="57"/>
        <v>0</v>
      </c>
      <c r="AD65" s="1059"/>
      <c r="AE65" s="1059"/>
      <c r="AF65" s="1059">
        <f t="shared" si="63"/>
        <v>0</v>
      </c>
      <c r="AG65" s="1059"/>
      <c r="AH65" s="1059">
        <f t="shared" si="64"/>
        <v>0</v>
      </c>
      <c r="AI65" s="1059"/>
      <c r="AJ65" s="1059"/>
      <c r="AK65" s="1059">
        <f t="shared" si="65"/>
        <v>0</v>
      </c>
      <c r="AM65" s="320" t="b">
        <f t="shared" si="53"/>
        <v>1</v>
      </c>
    </row>
    <row r="66" spans="2:52">
      <c r="B66" s="1472"/>
      <c r="C66" s="1058">
        <f>+'BT 2HO'!C100</f>
        <v>0</v>
      </c>
      <c r="D66" s="1058">
        <f>+'BT 2HO'!D100</f>
        <v>0</v>
      </c>
      <c r="E66" s="503">
        <v>950000</v>
      </c>
      <c r="F66" s="503">
        <v>1050000</v>
      </c>
      <c r="G66" s="1059">
        <f t="shared" si="58"/>
        <v>0</v>
      </c>
      <c r="H66" s="1059">
        <f t="shared" si="54"/>
        <v>0</v>
      </c>
      <c r="I66" s="1059"/>
      <c r="J66" s="1059">
        <f t="shared" si="55"/>
        <v>0</v>
      </c>
      <c r="K66" s="1059"/>
      <c r="L66" s="1059"/>
      <c r="M66" s="1059"/>
      <c r="N66" s="1059"/>
      <c r="O66" s="1134"/>
      <c r="P66" s="1059"/>
      <c r="Q66" s="1059">
        <f t="shared" si="56"/>
        <v>0</v>
      </c>
      <c r="R66" s="1060"/>
      <c r="S66" s="1059">
        <f t="shared" si="59"/>
        <v>0</v>
      </c>
      <c r="T66" s="1060"/>
      <c r="U66" s="1059"/>
      <c r="V66" s="1059">
        <f t="shared" si="60"/>
        <v>0</v>
      </c>
      <c r="W66" s="1059"/>
      <c r="X66" s="1059">
        <f t="shared" si="61"/>
        <v>0</v>
      </c>
      <c r="Y66" s="1059"/>
      <c r="Z66" s="1059"/>
      <c r="AA66" s="1059">
        <f t="shared" si="62"/>
        <v>0</v>
      </c>
      <c r="AB66" s="1059"/>
      <c r="AC66" s="1059">
        <f t="shared" si="57"/>
        <v>0</v>
      </c>
      <c r="AD66" s="1059"/>
      <c r="AE66" s="1059"/>
      <c r="AF66" s="1059">
        <f t="shared" si="63"/>
        <v>0</v>
      </c>
      <c r="AG66" s="1059"/>
      <c r="AH66" s="1059">
        <f t="shared" si="64"/>
        <v>0</v>
      </c>
      <c r="AI66" s="1059"/>
      <c r="AJ66" s="1059"/>
      <c r="AK66" s="1059">
        <f t="shared" si="65"/>
        <v>0</v>
      </c>
      <c r="AM66" s="320" t="b">
        <f t="shared" si="53"/>
        <v>1</v>
      </c>
    </row>
    <row r="67" spans="2:52">
      <c r="B67" s="1472"/>
      <c r="C67" s="1058">
        <f>+'BT 2HO'!C105</f>
        <v>0</v>
      </c>
      <c r="D67" s="1058">
        <f>+'BT 2HO'!D105</f>
        <v>0</v>
      </c>
      <c r="E67" s="503">
        <v>950000</v>
      </c>
      <c r="F67" s="503">
        <v>1050000</v>
      </c>
      <c r="G67" s="1059">
        <f t="shared" si="58"/>
        <v>0</v>
      </c>
      <c r="H67" s="1059"/>
      <c r="I67" s="1059"/>
      <c r="J67" s="1059">
        <f t="shared" si="55"/>
        <v>0</v>
      </c>
      <c r="K67" s="1059"/>
      <c r="L67" s="1059"/>
      <c r="M67" s="1059"/>
      <c r="N67" s="1059"/>
      <c r="O67" s="1134"/>
      <c r="P67" s="1059"/>
      <c r="Q67" s="1059">
        <f t="shared" si="56"/>
        <v>0</v>
      </c>
      <c r="R67" s="1060"/>
      <c r="S67" s="1059">
        <f t="shared" si="59"/>
        <v>0</v>
      </c>
      <c r="T67" s="1060"/>
      <c r="U67" s="1059"/>
      <c r="V67" s="1059">
        <f t="shared" si="60"/>
        <v>0</v>
      </c>
      <c r="W67" s="1059"/>
      <c r="X67" s="1059">
        <f t="shared" si="61"/>
        <v>0</v>
      </c>
      <c r="Y67" s="1059"/>
      <c r="Z67" s="1059"/>
      <c r="AA67" s="1059">
        <f t="shared" si="62"/>
        <v>0</v>
      </c>
      <c r="AB67" s="1059"/>
      <c r="AC67" s="1059">
        <f t="shared" si="57"/>
        <v>0</v>
      </c>
      <c r="AD67" s="1059"/>
      <c r="AE67" s="1059"/>
      <c r="AF67" s="1059">
        <f t="shared" si="63"/>
        <v>0</v>
      </c>
      <c r="AG67" s="1059"/>
      <c r="AH67" s="1059">
        <f t="shared" si="64"/>
        <v>0</v>
      </c>
      <c r="AI67" s="1059"/>
      <c r="AJ67" s="1059"/>
      <c r="AK67" s="1059">
        <f t="shared" si="65"/>
        <v>0</v>
      </c>
      <c r="AM67" s="320" t="b">
        <f t="shared" si="53"/>
        <v>1</v>
      </c>
    </row>
    <row r="68" spans="2:52">
      <c r="B68" s="1472"/>
      <c r="C68" s="1058">
        <f>+'BT 2HO'!C110</f>
        <v>0</v>
      </c>
      <c r="D68" s="1058">
        <f>+'BT 2HO'!D110</f>
        <v>0</v>
      </c>
      <c r="E68" s="503">
        <v>950000</v>
      </c>
      <c r="F68" s="503">
        <v>1050000</v>
      </c>
      <c r="G68" s="1059">
        <f t="shared" si="58"/>
        <v>0</v>
      </c>
      <c r="H68" s="1059"/>
      <c r="I68" s="1059"/>
      <c r="J68" s="1059">
        <f t="shared" si="55"/>
        <v>0</v>
      </c>
      <c r="K68" s="1059"/>
      <c r="L68" s="1059"/>
      <c r="M68" s="1059"/>
      <c r="N68" s="1059"/>
      <c r="O68" s="1134"/>
      <c r="P68" s="1059"/>
      <c r="Q68" s="1059">
        <f t="shared" si="56"/>
        <v>0</v>
      </c>
      <c r="R68" s="1060"/>
      <c r="S68" s="1059">
        <f t="shared" si="59"/>
        <v>0</v>
      </c>
      <c r="T68" s="1060"/>
      <c r="U68" s="1059"/>
      <c r="V68" s="1059">
        <f t="shared" si="60"/>
        <v>0</v>
      </c>
      <c r="W68" s="1059"/>
      <c r="X68" s="1059">
        <f t="shared" si="61"/>
        <v>0</v>
      </c>
      <c r="Y68" s="1059"/>
      <c r="Z68" s="1059"/>
      <c r="AA68" s="1059">
        <f t="shared" si="62"/>
        <v>0</v>
      </c>
      <c r="AB68" s="1059"/>
      <c r="AC68" s="1059">
        <f t="shared" si="57"/>
        <v>0</v>
      </c>
      <c r="AD68" s="1059"/>
      <c r="AE68" s="1059"/>
      <c r="AF68" s="1059">
        <f t="shared" si="63"/>
        <v>0</v>
      </c>
      <c r="AG68" s="1059"/>
      <c r="AH68" s="1059">
        <f t="shared" si="64"/>
        <v>0</v>
      </c>
      <c r="AI68" s="1059"/>
      <c r="AJ68" s="1059"/>
      <c r="AK68" s="1059">
        <f t="shared" si="65"/>
        <v>0</v>
      </c>
      <c r="AM68" s="320" t="b">
        <f t="shared" si="53"/>
        <v>1</v>
      </c>
    </row>
    <row r="69" spans="2:52">
      <c r="B69" s="1472"/>
      <c r="C69" s="1058">
        <f>+'BT 2HO'!C115</f>
        <v>0</v>
      </c>
      <c r="D69" s="1058">
        <f>+'BT 2HO'!D115</f>
        <v>0</v>
      </c>
      <c r="E69" s="503">
        <v>950000</v>
      </c>
      <c r="F69" s="503">
        <v>1050000</v>
      </c>
      <c r="G69" s="1059">
        <f t="shared" si="58"/>
        <v>0</v>
      </c>
      <c r="H69" s="1059"/>
      <c r="I69" s="1059"/>
      <c r="J69" s="1059">
        <f t="shared" si="55"/>
        <v>0</v>
      </c>
      <c r="K69" s="1059"/>
      <c r="L69" s="1059"/>
      <c r="M69" s="1059"/>
      <c r="N69" s="1059"/>
      <c r="O69" s="1134"/>
      <c r="P69" s="1059"/>
      <c r="Q69" s="1059">
        <f t="shared" si="56"/>
        <v>0</v>
      </c>
      <c r="R69" s="1060"/>
      <c r="S69" s="1059">
        <f t="shared" si="59"/>
        <v>0</v>
      </c>
      <c r="T69" s="1060"/>
      <c r="U69" s="1059"/>
      <c r="V69" s="1059">
        <f t="shared" si="60"/>
        <v>0</v>
      </c>
      <c r="W69" s="1059"/>
      <c r="X69" s="1059">
        <f t="shared" si="61"/>
        <v>0</v>
      </c>
      <c r="Y69" s="1059"/>
      <c r="Z69" s="1059"/>
      <c r="AA69" s="1059">
        <f t="shared" si="62"/>
        <v>0</v>
      </c>
      <c r="AB69" s="1059"/>
      <c r="AC69" s="1059">
        <f t="shared" si="57"/>
        <v>0</v>
      </c>
      <c r="AD69" s="1059"/>
      <c r="AE69" s="1059"/>
      <c r="AF69" s="1059">
        <f t="shared" si="63"/>
        <v>0</v>
      </c>
      <c r="AG69" s="1059"/>
      <c r="AH69" s="1059">
        <f t="shared" si="64"/>
        <v>0</v>
      </c>
      <c r="AI69" s="1059"/>
      <c r="AJ69" s="1059"/>
      <c r="AK69" s="1059">
        <f t="shared" si="65"/>
        <v>0</v>
      </c>
      <c r="AM69" s="320" t="b">
        <f t="shared" si="53"/>
        <v>1</v>
      </c>
    </row>
    <row r="70" spans="2:52">
      <c r="B70" s="1472"/>
      <c r="C70" s="1058">
        <f>+'BT 2HO'!C120</f>
        <v>0</v>
      </c>
      <c r="D70" s="1058">
        <f>+'BT 2HO'!D120</f>
        <v>0</v>
      </c>
      <c r="E70" s="503">
        <v>950000</v>
      </c>
      <c r="F70" s="503">
        <v>1050000</v>
      </c>
      <c r="G70" s="1059">
        <f t="shared" si="58"/>
        <v>0</v>
      </c>
      <c r="H70" s="1059"/>
      <c r="I70" s="1059"/>
      <c r="J70" s="1059">
        <f t="shared" si="55"/>
        <v>0</v>
      </c>
      <c r="K70" s="1059"/>
      <c r="L70" s="1059"/>
      <c r="M70" s="1059"/>
      <c r="N70" s="1059"/>
      <c r="O70" s="1134"/>
      <c r="P70" s="1059"/>
      <c r="Q70" s="1059">
        <f t="shared" si="56"/>
        <v>0</v>
      </c>
      <c r="R70" s="1060"/>
      <c r="S70" s="1059">
        <f t="shared" si="59"/>
        <v>0</v>
      </c>
      <c r="T70" s="1060"/>
      <c r="U70" s="1059"/>
      <c r="V70" s="1059">
        <f t="shared" si="60"/>
        <v>0</v>
      </c>
      <c r="W70" s="1059"/>
      <c r="X70" s="1059">
        <f t="shared" si="61"/>
        <v>0</v>
      </c>
      <c r="Y70" s="1059"/>
      <c r="Z70" s="1059"/>
      <c r="AA70" s="1059">
        <f t="shared" si="62"/>
        <v>0</v>
      </c>
      <c r="AB70" s="1059"/>
      <c r="AC70" s="1059">
        <f t="shared" si="57"/>
        <v>0</v>
      </c>
      <c r="AD70" s="1059"/>
      <c r="AE70" s="1059"/>
      <c r="AF70" s="1059">
        <f t="shared" si="63"/>
        <v>0</v>
      </c>
      <c r="AG70" s="1059"/>
      <c r="AH70" s="1059">
        <f t="shared" si="64"/>
        <v>0</v>
      </c>
      <c r="AI70" s="1059"/>
      <c r="AJ70" s="1059"/>
      <c r="AK70" s="1059">
        <f t="shared" si="65"/>
        <v>0</v>
      </c>
      <c r="AM70" s="320" t="b">
        <f t="shared" si="53"/>
        <v>1</v>
      </c>
    </row>
    <row r="71" spans="2:52">
      <c r="B71" s="1472"/>
      <c r="C71" s="1058">
        <f>+'BT 2HO'!C125</f>
        <v>0</v>
      </c>
      <c r="D71" s="1058">
        <f>+'BT 2HO'!D125</f>
        <v>0</v>
      </c>
      <c r="E71" s="503">
        <v>950000</v>
      </c>
      <c r="F71" s="503">
        <v>1050000</v>
      </c>
      <c r="G71" s="1059">
        <f t="shared" si="58"/>
        <v>0</v>
      </c>
      <c r="H71" s="1059"/>
      <c r="I71" s="1059"/>
      <c r="J71" s="1059">
        <f t="shared" si="55"/>
        <v>0</v>
      </c>
      <c r="K71" s="1059"/>
      <c r="L71" s="1059"/>
      <c r="M71" s="1059"/>
      <c r="N71" s="1059"/>
      <c r="O71" s="1134"/>
      <c r="P71" s="1059"/>
      <c r="Q71" s="1059">
        <f t="shared" si="56"/>
        <v>0</v>
      </c>
      <c r="R71" s="1060"/>
      <c r="S71" s="1059">
        <f t="shared" si="59"/>
        <v>0</v>
      </c>
      <c r="T71" s="1060"/>
      <c r="U71" s="1059"/>
      <c r="V71" s="1059">
        <f t="shared" si="60"/>
        <v>0</v>
      </c>
      <c r="W71" s="1059"/>
      <c r="X71" s="1059">
        <f t="shared" si="61"/>
        <v>0</v>
      </c>
      <c r="Y71" s="1059"/>
      <c r="Z71" s="1059"/>
      <c r="AA71" s="1059">
        <f t="shared" si="62"/>
        <v>0</v>
      </c>
      <c r="AB71" s="1059"/>
      <c r="AC71" s="1059">
        <f t="shared" si="57"/>
        <v>0</v>
      </c>
      <c r="AD71" s="1059"/>
      <c r="AE71" s="1059"/>
      <c r="AF71" s="1059">
        <f t="shared" si="63"/>
        <v>0</v>
      </c>
      <c r="AG71" s="1059"/>
      <c r="AH71" s="1059">
        <f t="shared" si="64"/>
        <v>0</v>
      </c>
      <c r="AI71" s="1059"/>
      <c r="AJ71" s="1059"/>
      <c r="AK71" s="1059">
        <f t="shared" si="65"/>
        <v>0</v>
      </c>
      <c r="AM71" s="320" t="b">
        <f t="shared" si="53"/>
        <v>1</v>
      </c>
    </row>
    <row r="72" spans="2:52">
      <c r="B72" s="1472"/>
      <c r="C72" s="1058">
        <f>+'BT 2HO'!C130</f>
        <v>0</v>
      </c>
      <c r="D72" s="1058">
        <f>+'BT 2HO'!D130</f>
        <v>0</v>
      </c>
      <c r="E72" s="503">
        <v>950000</v>
      </c>
      <c r="F72" s="503">
        <v>1050000</v>
      </c>
      <c r="G72" s="1059">
        <f t="shared" si="58"/>
        <v>0</v>
      </c>
      <c r="H72" s="1059"/>
      <c r="I72" s="1059"/>
      <c r="J72" s="1059">
        <f t="shared" si="55"/>
        <v>0</v>
      </c>
      <c r="K72" s="1059"/>
      <c r="L72" s="1059"/>
      <c r="M72" s="1059"/>
      <c r="N72" s="1059"/>
      <c r="O72" s="1134"/>
      <c r="P72" s="1059"/>
      <c r="Q72" s="1059">
        <f t="shared" si="56"/>
        <v>0</v>
      </c>
      <c r="R72" s="1060"/>
      <c r="S72" s="1059">
        <f t="shared" si="59"/>
        <v>0</v>
      </c>
      <c r="T72" s="1060"/>
      <c r="U72" s="1059"/>
      <c r="V72" s="1059">
        <f t="shared" si="60"/>
        <v>0</v>
      </c>
      <c r="W72" s="1059"/>
      <c r="X72" s="1059">
        <f t="shared" si="61"/>
        <v>0</v>
      </c>
      <c r="Y72" s="1059"/>
      <c r="Z72" s="1059"/>
      <c r="AA72" s="1059">
        <f t="shared" si="62"/>
        <v>0</v>
      </c>
      <c r="AB72" s="1059"/>
      <c r="AC72" s="1059">
        <f t="shared" si="57"/>
        <v>0</v>
      </c>
      <c r="AD72" s="1059"/>
      <c r="AE72" s="1059"/>
      <c r="AF72" s="1059">
        <f t="shared" si="63"/>
        <v>0</v>
      </c>
      <c r="AG72" s="1059"/>
      <c r="AH72" s="1059">
        <f t="shared" si="64"/>
        <v>0</v>
      </c>
      <c r="AI72" s="1059"/>
      <c r="AJ72" s="1059"/>
      <c r="AK72" s="1059">
        <f t="shared" si="65"/>
        <v>0</v>
      </c>
      <c r="AM72" s="320" t="b">
        <f t="shared" si="53"/>
        <v>1</v>
      </c>
    </row>
    <row r="74" spans="2:52" ht="13.5" customHeight="1">
      <c r="B74" s="1470" t="s">
        <v>165</v>
      </c>
      <c r="C74" s="1470" t="s">
        <v>715</v>
      </c>
      <c r="D74" s="1473" t="s">
        <v>270</v>
      </c>
      <c r="E74" s="1474" t="s">
        <v>1055</v>
      </c>
      <c r="F74" s="1474" t="s">
        <v>1054</v>
      </c>
      <c r="G74" s="1471" t="s">
        <v>17</v>
      </c>
      <c r="H74" s="1475" t="s">
        <v>716</v>
      </c>
      <c r="I74" s="1475" t="s">
        <v>717</v>
      </c>
      <c r="J74" s="1477" t="s">
        <v>1050</v>
      </c>
      <c r="K74" s="1478"/>
      <c r="L74" s="1478"/>
      <c r="M74" s="1478"/>
      <c r="N74" s="1478"/>
      <c r="O74" s="1478"/>
      <c r="P74" s="1478"/>
      <c r="Q74" s="1479"/>
      <c r="R74" s="1471" t="s">
        <v>718</v>
      </c>
      <c r="S74" s="1471"/>
      <c r="T74" s="1471"/>
      <c r="U74" s="1471"/>
      <c r="V74" s="1471"/>
      <c r="W74" s="1471" t="s">
        <v>719</v>
      </c>
      <c r="X74" s="1471"/>
      <c r="Y74" s="1471"/>
      <c r="Z74" s="1471"/>
      <c r="AA74" s="1471"/>
      <c r="AB74" s="1471" t="s">
        <v>370</v>
      </c>
      <c r="AC74" s="1471"/>
      <c r="AD74" s="1471"/>
      <c r="AE74" s="1471"/>
      <c r="AF74" s="1471"/>
      <c r="AG74" s="1471" t="s">
        <v>371</v>
      </c>
      <c r="AH74" s="1471"/>
      <c r="AI74" s="1471"/>
      <c r="AJ74" s="1471"/>
      <c r="AK74" s="1471"/>
    </row>
    <row r="75" spans="2:52" ht="13.5">
      <c r="B75" s="1470"/>
      <c r="C75" s="1470"/>
      <c r="D75" s="1473"/>
      <c r="E75" s="1474"/>
      <c r="F75" s="1474"/>
      <c r="G75" s="1471"/>
      <c r="H75" s="1476"/>
      <c r="I75" s="1476"/>
      <c r="J75" s="1065" t="s">
        <v>1043</v>
      </c>
      <c r="K75" s="1065" t="s">
        <v>1044</v>
      </c>
      <c r="L75" s="1065" t="s">
        <v>1045</v>
      </c>
      <c r="M75" s="1065" t="s">
        <v>890</v>
      </c>
      <c r="N75" s="1065" t="s">
        <v>1046</v>
      </c>
      <c r="O75" s="1133" t="s">
        <v>1047</v>
      </c>
      <c r="P75" s="1065" t="s">
        <v>1048</v>
      </c>
      <c r="Q75" s="1065" t="s">
        <v>1049</v>
      </c>
      <c r="R75" s="1061" t="s">
        <v>188</v>
      </c>
      <c r="S75" s="1062">
        <v>0.5</v>
      </c>
      <c r="T75" s="1061" t="s">
        <v>188</v>
      </c>
      <c r="U75" s="1063" t="s">
        <v>720</v>
      </c>
      <c r="V75" s="1063" t="s">
        <v>721</v>
      </c>
      <c r="W75" s="1061" t="s">
        <v>188</v>
      </c>
      <c r="X75" s="1062">
        <v>0.4</v>
      </c>
      <c r="Y75" s="1061" t="s">
        <v>188</v>
      </c>
      <c r="Z75" s="1063" t="s">
        <v>720</v>
      </c>
      <c r="AA75" s="1063" t="s">
        <v>721</v>
      </c>
      <c r="AB75" s="1061" t="s">
        <v>188</v>
      </c>
      <c r="AC75" s="1062">
        <v>0.1</v>
      </c>
      <c r="AD75" s="1061" t="s">
        <v>188</v>
      </c>
      <c r="AE75" s="1063" t="s">
        <v>720</v>
      </c>
      <c r="AF75" s="1063" t="s">
        <v>721</v>
      </c>
      <c r="AG75" s="1061" t="s">
        <v>188</v>
      </c>
      <c r="AH75" s="1062">
        <v>0</v>
      </c>
      <c r="AI75" s="1061" t="s">
        <v>188</v>
      </c>
      <c r="AJ75" s="1063" t="s">
        <v>720</v>
      </c>
      <c r="AK75" s="1063" t="s">
        <v>721</v>
      </c>
    </row>
    <row r="76" spans="2:52">
      <c r="B76" s="1472" t="s">
        <v>748</v>
      </c>
      <c r="C76" s="1057"/>
      <c r="D76" s="1058">
        <f>+SUM(D77:D90)</f>
        <v>1609.3800000000003</v>
      </c>
      <c r="E76" s="503">
        <v>950000</v>
      </c>
      <c r="F76" s="503">
        <v>1050000</v>
      </c>
      <c r="G76" s="1059">
        <f>+SUM(G77:G90)</f>
        <v>1681802100.0000002</v>
      </c>
      <c r="H76" s="1059">
        <f t="shared" ref="H76:I76" si="66">+SUM(H77:H90)</f>
        <v>662691700</v>
      </c>
      <c r="I76" s="1059">
        <f t="shared" si="66"/>
        <v>102643200</v>
      </c>
      <c r="J76" s="1059">
        <f>+SUM(J77:J90)</f>
        <v>54521680</v>
      </c>
      <c r="K76" s="1059">
        <f>+SUM(K77:K90)</f>
        <v>5190920</v>
      </c>
      <c r="L76" s="1059">
        <f>+SUM(L77:L90)</f>
        <v>5885160</v>
      </c>
      <c r="M76" s="1059">
        <f>+SUM(M77:M90)</f>
        <v>0</v>
      </c>
      <c r="N76" s="1059">
        <f>+SUM(N77:N90)</f>
        <v>43445600</v>
      </c>
      <c r="O76" s="1059"/>
      <c r="P76" s="1059">
        <f>+SUM(P77:P90)</f>
        <v>54521680</v>
      </c>
      <c r="Q76" s="1059">
        <f>+SUM(Q77:Q90)</f>
        <v>0</v>
      </c>
      <c r="R76" s="1060"/>
      <c r="S76" s="1059">
        <f>+SUM(S77:S90)</f>
        <v>840901050</v>
      </c>
      <c r="T76" s="1060"/>
      <c r="U76" s="1059">
        <f>+SUM(U77:U90)</f>
        <v>191320800</v>
      </c>
      <c r="V76" s="1059">
        <f>+SUM(V77:V90)</f>
        <v>649580250</v>
      </c>
      <c r="W76" s="1060"/>
      <c r="X76" s="1059">
        <f t="shared" ref="X76" si="67">+SUM(X77:X90)</f>
        <v>672720840</v>
      </c>
      <c r="Y76" s="1060"/>
      <c r="Z76" s="1059"/>
      <c r="AA76" s="1059">
        <f>+SUM(AA77:AA90)</f>
        <v>481320840</v>
      </c>
      <c r="AB76" s="1060"/>
      <c r="AC76" s="1059">
        <f t="shared" ref="AC76" si="68">+SUM(AC77:AC90)</f>
        <v>290690330</v>
      </c>
      <c r="AD76" s="1060"/>
      <c r="AE76" s="1059"/>
      <c r="AF76" s="1059">
        <f>+SUM(AF77:AF90)</f>
        <v>10719430</v>
      </c>
      <c r="AG76" s="1060"/>
      <c r="AH76" s="1059">
        <f t="shared" ref="AH76" si="69">+SUM(AH77:AH90)</f>
        <v>0</v>
      </c>
      <c r="AI76" s="1060"/>
      <c r="AJ76" s="1059"/>
      <c r="AK76" s="1059">
        <f>+SUM(AK77:AK90)</f>
        <v>0</v>
      </c>
      <c r="AM76" s="320" t="b">
        <f t="shared" ref="AM76:AM90" si="70">S76+X76+AC76+AH76+J76=D76*F76*1.1</f>
        <v>1</v>
      </c>
    </row>
    <row r="77" spans="2:52" s="1071" customFormat="1">
      <c r="B77" s="1472"/>
      <c r="C77" s="1067" t="s">
        <v>1051</v>
      </c>
      <c r="D77" s="1067">
        <v>225.78</v>
      </c>
      <c r="E77" s="1068">
        <v>950000</v>
      </c>
      <c r="F77" s="1068">
        <v>1050000</v>
      </c>
      <c r="G77" s="1064">
        <f>+E77*D77*1.1</f>
        <v>235940100.00000003</v>
      </c>
      <c r="H77" s="1064">
        <f>+U77+Z77+AE77+AJ77</f>
        <v>158004000</v>
      </c>
      <c r="I77" s="1064"/>
      <c r="J77" s="1064">
        <f t="shared" ref="J77:J90" si="71">+SUM(K77:N77)</f>
        <v>34643780</v>
      </c>
      <c r="K77" s="1064">
        <v>2824780</v>
      </c>
      <c r="L77" s="1064">
        <v>2999000</v>
      </c>
      <c r="M77" s="1064"/>
      <c r="N77" s="1064">
        <v>28820000</v>
      </c>
      <c r="O77" s="1135">
        <v>46001</v>
      </c>
      <c r="P77" s="1064">
        <v>34643780</v>
      </c>
      <c r="Q77" s="1064">
        <f t="shared" ref="Q77:Q90" si="72">+J77-P77</f>
        <v>0</v>
      </c>
      <c r="R77" s="1069">
        <f>+'BT 7HO'!N12</f>
        <v>45650</v>
      </c>
      <c r="S77" s="1064">
        <f>+ROUND($G77*S$75,)</f>
        <v>117970050</v>
      </c>
      <c r="T77" s="1069">
        <f>+'BT 7HO'!O12</f>
        <v>45650</v>
      </c>
      <c r="U77" s="1064">
        <f>+'BT 7HO'!R12+'BT 7HO'!R13</f>
        <v>35112000</v>
      </c>
      <c r="V77" s="1064">
        <f>+S77-U77</f>
        <v>82858050</v>
      </c>
      <c r="W77" s="1069">
        <f>+'BT 7HO'!U12</f>
        <v>45737</v>
      </c>
      <c r="X77" s="1064">
        <f>+ROUND($G77*X$75,)</f>
        <v>94376040</v>
      </c>
      <c r="Y77" s="1069">
        <f>+'BT 7HO'!V12</f>
        <v>45737</v>
      </c>
      <c r="Z77" s="1064">
        <f>+'BT 7HO'!Y12+'BT 7HO'!Y13</f>
        <v>35112000</v>
      </c>
      <c r="AA77" s="1064">
        <f>+X77-Z77</f>
        <v>59264040</v>
      </c>
      <c r="AB77" s="1069">
        <f>+'BT 7HO'!AB12</f>
        <v>45791</v>
      </c>
      <c r="AC77" s="1064">
        <f t="shared" ref="AC77:AC90" si="73">+ROUND(D77*F77*1.1-X77-S77-J77,)</f>
        <v>13786030</v>
      </c>
      <c r="AD77" s="1069">
        <f>+'BT 7HO'!AC12</f>
        <v>45791</v>
      </c>
      <c r="AE77" s="1064">
        <f>+'BT 7HO'!AF12+'BT 7HO'!AF13</f>
        <v>87780000</v>
      </c>
      <c r="AF77" s="1064">
        <f>+AC77-AE77</f>
        <v>-73993970</v>
      </c>
      <c r="AG77" s="1069"/>
      <c r="AH77" s="1064">
        <f>+ROUND($G77*AH$75,)</f>
        <v>0</v>
      </c>
      <c r="AI77" s="1069"/>
      <c r="AJ77" s="1064"/>
      <c r="AK77" s="1064">
        <f>+AH77-AJ77</f>
        <v>0</v>
      </c>
      <c r="AL77" s="1070"/>
      <c r="AM77" s="1070" t="b">
        <f t="shared" si="70"/>
        <v>1</v>
      </c>
      <c r="AN77" s="1070"/>
      <c r="AO77" s="1070"/>
      <c r="AP77" s="1070"/>
      <c r="AQ77" s="1070"/>
      <c r="AR77" s="1070"/>
      <c r="AS77" s="1070"/>
      <c r="AT77" s="1070"/>
      <c r="AU77" s="1070"/>
      <c r="AV77" s="1070"/>
      <c r="AW77" s="1070"/>
      <c r="AX77" s="1070"/>
      <c r="AY77" s="1070"/>
      <c r="AZ77" s="1070"/>
    </row>
    <row r="78" spans="2:52">
      <c r="B78" s="1472"/>
      <c r="C78" s="1058" t="s">
        <v>804</v>
      </c>
      <c r="D78" s="1058">
        <v>545.46</v>
      </c>
      <c r="E78" s="503">
        <v>950000</v>
      </c>
      <c r="F78" s="503">
        <v>1050000</v>
      </c>
      <c r="G78" s="1059">
        <f t="shared" ref="G78:G90" si="74">+E78*D78*1.1</f>
        <v>570005700.00000012</v>
      </c>
      <c r="H78" s="1059">
        <f t="shared" ref="H78:H84" si="75">+U78+Z78+AE78+AJ78</f>
        <v>120001200</v>
      </c>
      <c r="I78" s="1059"/>
      <c r="J78" s="1059">
        <f t="shared" si="71"/>
        <v>19877900</v>
      </c>
      <c r="K78" s="1059">
        <v>2366140</v>
      </c>
      <c r="L78" s="1059">
        <v>2886160</v>
      </c>
      <c r="M78" s="1059"/>
      <c r="N78" s="1059">
        <v>14625600</v>
      </c>
      <c r="O78" s="1134">
        <v>45975</v>
      </c>
      <c r="P78" s="1059">
        <v>19877900</v>
      </c>
      <c r="Q78" s="1059">
        <f t="shared" si="72"/>
        <v>0</v>
      </c>
      <c r="R78" s="1060">
        <f>+'BT 7HO'!N17</f>
        <v>45679</v>
      </c>
      <c r="S78" s="1059">
        <f t="shared" ref="S78:S90" si="76">+ROUND($G78*S$75,)</f>
        <v>285002850</v>
      </c>
      <c r="T78" s="1060">
        <f>+'BT 7HO'!O17</f>
        <v>45679</v>
      </c>
      <c r="U78" s="1059">
        <f>+'BT 7HO'!R17+'BT 7HO'!R18</f>
        <v>60000600</v>
      </c>
      <c r="V78" s="1059">
        <f t="shared" ref="V78:V90" si="77">+S78-U78</f>
        <v>225002250</v>
      </c>
      <c r="W78" s="1060">
        <f>+'BT 7HO'!U17</f>
        <v>45791</v>
      </c>
      <c r="X78" s="1059">
        <f t="shared" ref="X78:X90" si="78">+ROUND($G78*X$75,)</f>
        <v>228002280</v>
      </c>
      <c r="Y78" s="1060">
        <f>+'BT 7HO'!V17</f>
        <v>45791</v>
      </c>
      <c r="Z78" s="1059">
        <f>+'BT 7HO'!Y17+'BT 7HO'!Y18</f>
        <v>60000600</v>
      </c>
      <c r="AA78" s="1059">
        <f t="shared" ref="AA78:AA90" si="79">+X78-Z78</f>
        <v>168001680</v>
      </c>
      <c r="AB78" s="1060">
        <f>+'BT 7HO'!AB17</f>
        <v>45991</v>
      </c>
      <c r="AC78" s="1059">
        <f t="shared" si="73"/>
        <v>97123270</v>
      </c>
      <c r="AD78" s="1060"/>
      <c r="AE78" s="1059"/>
      <c r="AF78" s="1059">
        <f t="shared" ref="AF78:AF90" si="80">+AC78-AE78</f>
        <v>97123270</v>
      </c>
      <c r="AG78" s="1060"/>
      <c r="AH78" s="1059">
        <f t="shared" ref="AH78:AH90" si="81">+ROUND($G78*AH$75,)</f>
        <v>0</v>
      </c>
      <c r="AI78" s="1060"/>
      <c r="AJ78" s="1059"/>
      <c r="AK78" s="1059">
        <f t="shared" ref="AK78:AK90" si="82">+AH78-AJ78</f>
        <v>0</v>
      </c>
      <c r="AM78" s="320" t="b">
        <f t="shared" si="70"/>
        <v>1</v>
      </c>
    </row>
    <row r="79" spans="2:52" s="1071" customFormat="1">
      <c r="B79" s="1472"/>
      <c r="C79" s="1067" t="s">
        <v>805</v>
      </c>
      <c r="D79" s="1067">
        <v>207.36</v>
      </c>
      <c r="E79" s="1068">
        <v>950000</v>
      </c>
      <c r="F79" s="1068">
        <v>1050000</v>
      </c>
      <c r="G79" s="1064">
        <f t="shared" si="74"/>
        <v>216691200.00000003</v>
      </c>
      <c r="H79" s="1064">
        <f t="shared" si="75"/>
        <v>102643200</v>
      </c>
      <c r="I79" s="1064">
        <f>+H79</f>
        <v>102643200</v>
      </c>
      <c r="J79" s="1064">
        <f t="shared" si="71"/>
        <v>0</v>
      </c>
      <c r="K79" s="1064"/>
      <c r="L79" s="1064"/>
      <c r="M79" s="1064"/>
      <c r="N79" s="1064"/>
      <c r="O79" s="1135"/>
      <c r="P79" s="1064"/>
      <c r="Q79" s="1064">
        <f t="shared" si="72"/>
        <v>0</v>
      </c>
      <c r="R79" s="1069">
        <f>+'BT 7HO'!N22</f>
        <v>45808</v>
      </c>
      <c r="S79" s="1064">
        <f t="shared" si="76"/>
        <v>108345600</v>
      </c>
      <c r="T79" s="1069">
        <f>+'BT 7HO'!O22</f>
        <v>45791</v>
      </c>
      <c r="U79" s="1064">
        <f>+'BT 7HO'!R22+'BT 7HO'!R23</f>
        <v>26822400</v>
      </c>
      <c r="V79" s="1064">
        <f t="shared" si="77"/>
        <v>81523200</v>
      </c>
      <c r="W79" s="1069">
        <f>+'BT 7HO'!U22</f>
        <v>45855</v>
      </c>
      <c r="X79" s="1064">
        <f t="shared" si="78"/>
        <v>86676480</v>
      </c>
      <c r="Y79" s="1069">
        <f>+'BT 7HO'!V22</f>
        <v>45867</v>
      </c>
      <c r="Z79" s="1064">
        <f>+'BT 7HO'!Y22+'BT 7HO'!Y23</f>
        <v>26822400</v>
      </c>
      <c r="AA79" s="1064">
        <f t="shared" si="79"/>
        <v>59854080</v>
      </c>
      <c r="AB79" s="1069">
        <f>+'BT 7HO'!AB22</f>
        <v>45930</v>
      </c>
      <c r="AC79" s="1064">
        <f t="shared" si="73"/>
        <v>44478720</v>
      </c>
      <c r="AD79" s="1069">
        <f>+'BT 7HO'!AC22</f>
        <v>45922</v>
      </c>
      <c r="AE79" s="1064">
        <f>+'BT 7HO'!AF22+'BT 7HO'!AF23</f>
        <v>48998400</v>
      </c>
      <c r="AF79" s="1064">
        <f t="shared" si="80"/>
        <v>-4519680</v>
      </c>
      <c r="AG79" s="1069"/>
      <c r="AH79" s="1064">
        <f t="shared" si="81"/>
        <v>0</v>
      </c>
      <c r="AI79" s="1069"/>
      <c r="AJ79" s="1064"/>
      <c r="AK79" s="1064">
        <f t="shared" si="82"/>
        <v>0</v>
      </c>
      <c r="AL79" s="1070"/>
      <c r="AM79" s="1070" t="b">
        <f t="shared" si="70"/>
        <v>1</v>
      </c>
      <c r="AN79" s="1070"/>
      <c r="AO79" s="1070"/>
      <c r="AP79" s="1070"/>
      <c r="AQ79" s="1070"/>
      <c r="AR79" s="1070"/>
      <c r="AS79" s="1070"/>
      <c r="AT79" s="1070"/>
      <c r="AU79" s="1070"/>
      <c r="AV79" s="1070"/>
      <c r="AW79" s="1070"/>
      <c r="AX79" s="1070"/>
      <c r="AY79" s="1070"/>
      <c r="AZ79" s="1070"/>
    </row>
    <row r="80" spans="2:52">
      <c r="B80" s="1472"/>
      <c r="C80" s="1058" t="s">
        <v>806</v>
      </c>
      <c r="D80" s="1058">
        <v>210.82</v>
      </c>
      <c r="E80" s="503">
        <v>950000</v>
      </c>
      <c r="F80" s="503">
        <v>1050000</v>
      </c>
      <c r="G80" s="1059">
        <f t="shared" si="74"/>
        <v>220306900.00000003</v>
      </c>
      <c r="H80" s="1059">
        <f t="shared" si="75"/>
        <v>104355900</v>
      </c>
      <c r="I80" s="1059"/>
      <c r="J80" s="1059">
        <f t="shared" si="71"/>
        <v>0</v>
      </c>
      <c r="K80" s="1059"/>
      <c r="L80" s="1059"/>
      <c r="M80" s="1059"/>
      <c r="N80" s="1059"/>
      <c r="O80" s="1134"/>
      <c r="P80" s="1059"/>
      <c r="Q80" s="1059">
        <f t="shared" si="72"/>
        <v>0</v>
      </c>
      <c r="R80" s="1060">
        <f>+'BT 7HO'!N27</f>
        <v>45737</v>
      </c>
      <c r="S80" s="1059">
        <f t="shared" si="76"/>
        <v>110153450</v>
      </c>
      <c r="T80" s="1060">
        <f>+'BT 7HO'!O27</f>
        <v>45737</v>
      </c>
      <c r="U80" s="1059">
        <f>+'BT 7HO'!R27+'BT 7HO'!R28</f>
        <v>23190200</v>
      </c>
      <c r="V80" s="1059">
        <f t="shared" si="77"/>
        <v>86963250</v>
      </c>
      <c r="W80" s="1060">
        <f>+'BT 7HO'!U27</f>
        <v>45820</v>
      </c>
      <c r="X80" s="1059">
        <f t="shared" si="78"/>
        <v>88122760</v>
      </c>
      <c r="Y80" s="1060">
        <f>+'BT 7HO'!V27</f>
        <v>45820</v>
      </c>
      <c r="Z80" s="1059">
        <f>+'BT 7HO'!Y27+'BT 7HO'!Y28</f>
        <v>23190200</v>
      </c>
      <c r="AA80" s="1059">
        <f t="shared" si="79"/>
        <v>64932560</v>
      </c>
      <c r="AB80" s="1060">
        <f>+'BT 7HO'!AB27</f>
        <v>45900</v>
      </c>
      <c r="AC80" s="1059">
        <f t="shared" si="73"/>
        <v>45220890</v>
      </c>
      <c r="AD80" s="1060">
        <f>+'BT 7HO'!AC27</f>
        <v>45883</v>
      </c>
      <c r="AE80" s="1059">
        <f>+'BT 7HO'!AF27+'BT 7HO'!AF28</f>
        <v>57975500</v>
      </c>
      <c r="AF80" s="1059">
        <f t="shared" si="80"/>
        <v>-12754610</v>
      </c>
      <c r="AG80" s="1060"/>
      <c r="AH80" s="1059">
        <f t="shared" si="81"/>
        <v>0</v>
      </c>
      <c r="AI80" s="1060"/>
      <c r="AJ80" s="1059"/>
      <c r="AK80" s="1059">
        <f t="shared" si="82"/>
        <v>0</v>
      </c>
      <c r="AM80" s="320" t="b">
        <f t="shared" si="70"/>
        <v>1</v>
      </c>
    </row>
    <row r="81" spans="2:39" ht="13.5">
      <c r="B81" s="1472"/>
      <c r="C81" s="1058" t="s">
        <v>749</v>
      </c>
      <c r="D81" s="1058">
        <v>151.13</v>
      </c>
      <c r="E81" s="503">
        <v>950000</v>
      </c>
      <c r="F81" s="503">
        <v>1050000</v>
      </c>
      <c r="G81" s="1059">
        <f t="shared" si="74"/>
        <v>157930850</v>
      </c>
      <c r="H81" s="1059">
        <f t="shared" si="75"/>
        <v>74809350</v>
      </c>
      <c r="I81" s="1059"/>
      <c r="J81" s="1059">
        <f t="shared" si="71"/>
        <v>0</v>
      </c>
      <c r="K81" s="1059"/>
      <c r="L81" s="1059"/>
      <c r="M81" s="1059"/>
      <c r="N81" s="1059"/>
      <c r="O81" s="1134"/>
      <c r="P81" s="1059"/>
      <c r="Q81" s="1059">
        <f t="shared" si="72"/>
        <v>0</v>
      </c>
      <c r="R81" s="1060">
        <f>+'BT 7HO'!N32</f>
        <v>45679</v>
      </c>
      <c r="S81" s="1059">
        <f t="shared" si="76"/>
        <v>78965425</v>
      </c>
      <c r="T81" s="1060">
        <f>+'BT 7HO'!O32</f>
        <v>45679</v>
      </c>
      <c r="U81" s="1059">
        <f>+'BT 7HO'!R32+'BT 7HO'!R33</f>
        <v>16624300</v>
      </c>
      <c r="V81" s="1059">
        <f t="shared" si="77"/>
        <v>62341125</v>
      </c>
      <c r="W81" s="1060">
        <f>+'BT 7HO'!U32</f>
        <v>45791</v>
      </c>
      <c r="X81" s="1059">
        <f t="shared" si="78"/>
        <v>63172340</v>
      </c>
      <c r="Y81" s="1060">
        <f>+'BT 7HO'!V32</f>
        <v>45791</v>
      </c>
      <c r="Z81" s="1059">
        <f>+'BT 7HO'!Y32+'BT 7HO'!Y33</f>
        <v>16624300</v>
      </c>
      <c r="AA81" s="1059">
        <f t="shared" si="79"/>
        <v>46548040</v>
      </c>
      <c r="AB81" s="1060">
        <f>+'BT 7HO'!AB32</f>
        <v>45820</v>
      </c>
      <c r="AC81" s="1059">
        <f t="shared" si="73"/>
        <v>32417385</v>
      </c>
      <c r="AD81" s="1060">
        <f>+'BT 7HO'!AC32</f>
        <v>45820</v>
      </c>
      <c r="AE81" s="1059">
        <f>+'BT 7HO'!AF32+'BT 7HO'!AF33</f>
        <v>41560750</v>
      </c>
      <c r="AF81" s="1059">
        <f t="shared" si="80"/>
        <v>-9143365</v>
      </c>
      <c r="AG81" s="1060"/>
      <c r="AH81" s="1059">
        <f t="shared" si="81"/>
        <v>0</v>
      </c>
      <c r="AI81" s="1060"/>
      <c r="AJ81" s="1059"/>
      <c r="AK81" s="1059">
        <f t="shared" si="82"/>
        <v>0</v>
      </c>
      <c r="AM81" s="320" t="b">
        <f t="shared" si="70"/>
        <v>1</v>
      </c>
    </row>
    <row r="82" spans="2:39" ht="13.5">
      <c r="B82" s="1472"/>
      <c r="C82" s="1058" t="s">
        <v>750</v>
      </c>
      <c r="D82" s="1058">
        <v>71.680000000000007</v>
      </c>
      <c r="E82" s="503">
        <v>950000</v>
      </c>
      <c r="F82" s="503">
        <v>1050000</v>
      </c>
      <c r="G82" s="1059">
        <f t="shared" si="74"/>
        <v>74905600</v>
      </c>
      <c r="H82" s="1059">
        <f t="shared" si="75"/>
        <v>15848800.000000002</v>
      </c>
      <c r="I82" s="1059"/>
      <c r="J82" s="1059">
        <f t="shared" si="71"/>
        <v>0</v>
      </c>
      <c r="K82" s="1059"/>
      <c r="L82" s="1059"/>
      <c r="M82" s="1059"/>
      <c r="N82" s="1059"/>
      <c r="O82" s="1134"/>
      <c r="P82" s="1059"/>
      <c r="Q82" s="1059">
        <f t="shared" si="72"/>
        <v>0</v>
      </c>
      <c r="R82" s="1060">
        <f>+'BT 7HO'!N37</f>
        <v>45705</v>
      </c>
      <c r="S82" s="1059">
        <f t="shared" si="76"/>
        <v>37452800</v>
      </c>
      <c r="T82" s="1060">
        <f>+'BT 7HO'!O37</f>
        <v>45705</v>
      </c>
      <c r="U82" s="1059">
        <f>+'BT 7HO'!R37+'BT 7HO'!R38</f>
        <v>7884800.0000000019</v>
      </c>
      <c r="V82" s="1059">
        <f t="shared" si="77"/>
        <v>29568000</v>
      </c>
      <c r="W82" s="1060">
        <f>+'BT 7HO'!U37</f>
        <v>45820</v>
      </c>
      <c r="X82" s="1059">
        <f t="shared" si="78"/>
        <v>29962240</v>
      </c>
      <c r="Y82" s="1060">
        <f>+'BT 7HO'!V37</f>
        <v>45820</v>
      </c>
      <c r="Z82" s="1059">
        <f>+'BT 7HO'!Y37+'BT 7HO'!Y38</f>
        <v>7964000</v>
      </c>
      <c r="AA82" s="1059">
        <f t="shared" si="79"/>
        <v>21998240</v>
      </c>
      <c r="AB82" s="1060">
        <f>+'BT 7HO'!AB37</f>
        <v>46022</v>
      </c>
      <c r="AC82" s="1059">
        <f t="shared" si="73"/>
        <v>15375360</v>
      </c>
      <c r="AD82" s="1060"/>
      <c r="AE82" s="1059"/>
      <c r="AF82" s="1059">
        <f t="shared" si="80"/>
        <v>15375360</v>
      </c>
      <c r="AG82" s="1060"/>
      <c r="AH82" s="1059">
        <f t="shared" si="81"/>
        <v>0</v>
      </c>
      <c r="AI82" s="1060"/>
      <c r="AJ82" s="1059"/>
      <c r="AK82" s="1059">
        <f t="shared" si="82"/>
        <v>0</v>
      </c>
      <c r="AM82" s="320" t="b">
        <f t="shared" si="70"/>
        <v>1</v>
      </c>
    </row>
    <row r="83" spans="2:39" ht="13.5">
      <c r="B83" s="1472"/>
      <c r="C83" s="1058" t="s">
        <v>751</v>
      </c>
      <c r="D83" s="1058">
        <v>38.4</v>
      </c>
      <c r="E83" s="503">
        <v>950000</v>
      </c>
      <c r="F83" s="503">
        <v>1050000</v>
      </c>
      <c r="G83" s="1059">
        <f t="shared" si="74"/>
        <v>40128000</v>
      </c>
      <c r="H83" s="1059">
        <f t="shared" si="75"/>
        <v>8448000</v>
      </c>
      <c r="I83" s="1059"/>
      <c r="J83" s="1059">
        <f t="shared" si="71"/>
        <v>0</v>
      </c>
      <c r="K83" s="1059"/>
      <c r="L83" s="1059"/>
      <c r="M83" s="1059"/>
      <c r="N83" s="1059"/>
      <c r="O83" s="1134"/>
      <c r="P83" s="1059"/>
      <c r="Q83" s="1059">
        <f t="shared" si="72"/>
        <v>0</v>
      </c>
      <c r="R83" s="1060">
        <f>+'BT 7HO'!N42</f>
        <v>45705</v>
      </c>
      <c r="S83" s="1059">
        <f t="shared" si="76"/>
        <v>20064000</v>
      </c>
      <c r="T83" s="1060">
        <f>+'BT 7HO'!O42</f>
        <v>45705</v>
      </c>
      <c r="U83" s="1059">
        <f>+'BT 7HO'!R42+'BT 7HO'!R43</f>
        <v>4224000</v>
      </c>
      <c r="V83" s="1059">
        <f t="shared" si="77"/>
        <v>15840000</v>
      </c>
      <c r="W83" s="1060">
        <f>+'BT 7HO'!U42</f>
        <v>45820</v>
      </c>
      <c r="X83" s="1059">
        <f t="shared" si="78"/>
        <v>16051200</v>
      </c>
      <c r="Y83" s="1060">
        <f>+'BT 7HO'!V42</f>
        <v>45820</v>
      </c>
      <c r="Z83" s="1059">
        <f>+'BT 7HO'!Y42+'BT 7HO'!Y43</f>
        <v>4224000</v>
      </c>
      <c r="AA83" s="1059">
        <f t="shared" si="79"/>
        <v>11827200</v>
      </c>
      <c r="AB83" s="1060">
        <f>+'BT 7HO'!AB42</f>
        <v>46022</v>
      </c>
      <c r="AC83" s="1059">
        <f t="shared" si="73"/>
        <v>8236800</v>
      </c>
      <c r="AD83" s="1060"/>
      <c r="AE83" s="1059"/>
      <c r="AF83" s="1059">
        <f t="shared" si="80"/>
        <v>8236800</v>
      </c>
      <c r="AG83" s="1060"/>
      <c r="AH83" s="1059">
        <f t="shared" si="81"/>
        <v>0</v>
      </c>
      <c r="AI83" s="1060"/>
      <c r="AJ83" s="1059"/>
      <c r="AK83" s="1059">
        <f t="shared" si="82"/>
        <v>0</v>
      </c>
      <c r="AM83" s="320" t="b">
        <f t="shared" si="70"/>
        <v>1</v>
      </c>
    </row>
    <row r="84" spans="2:39" ht="13.5">
      <c r="B84" s="1472"/>
      <c r="C84" s="1058" t="s">
        <v>752</v>
      </c>
      <c r="D84" s="1058">
        <v>158.75</v>
      </c>
      <c r="E84" s="503">
        <v>950000</v>
      </c>
      <c r="F84" s="503">
        <v>1050000</v>
      </c>
      <c r="G84" s="1059">
        <f t="shared" si="74"/>
        <v>165893750</v>
      </c>
      <c r="H84" s="1059">
        <f t="shared" si="75"/>
        <v>78581250</v>
      </c>
      <c r="I84" s="1059"/>
      <c r="J84" s="1059">
        <f t="shared" si="71"/>
        <v>0</v>
      </c>
      <c r="K84" s="1059"/>
      <c r="L84" s="1059"/>
      <c r="M84" s="1059"/>
      <c r="N84" s="1059"/>
      <c r="O84" s="1134"/>
      <c r="P84" s="1059"/>
      <c r="Q84" s="1059">
        <f t="shared" si="72"/>
        <v>0</v>
      </c>
      <c r="R84" s="1060">
        <f>+'BT 7HO'!N47</f>
        <v>45705</v>
      </c>
      <c r="S84" s="1059">
        <f t="shared" si="76"/>
        <v>82946875</v>
      </c>
      <c r="T84" s="1060">
        <f>+'BT 7HO'!O47</f>
        <v>45705</v>
      </c>
      <c r="U84" s="1059">
        <f>+'BT 7HO'!R47+'BT 7HO'!R48</f>
        <v>17462500</v>
      </c>
      <c r="V84" s="1059">
        <f t="shared" si="77"/>
        <v>65484375</v>
      </c>
      <c r="W84" s="1060">
        <f>+'BT 7HO'!U47</f>
        <v>45820</v>
      </c>
      <c r="X84" s="1059">
        <f t="shared" si="78"/>
        <v>66357500</v>
      </c>
      <c r="Y84" s="1060">
        <f>+'BT 7HO'!V47</f>
        <v>45820</v>
      </c>
      <c r="Z84" s="1059">
        <f>+'BT 7HO'!Y47+'BT 7HO'!Y48</f>
        <v>17462500</v>
      </c>
      <c r="AA84" s="1059">
        <f t="shared" si="79"/>
        <v>48895000</v>
      </c>
      <c r="AB84" s="1060">
        <f>+'BT 7HO'!AB47</f>
        <v>45930</v>
      </c>
      <c r="AC84" s="1059">
        <f t="shared" si="73"/>
        <v>34051875</v>
      </c>
      <c r="AD84" s="1060">
        <v>45922</v>
      </c>
      <c r="AE84" s="1059">
        <f>+'BT 7HO'!AF47+'BT 7HO'!AF48</f>
        <v>43656250</v>
      </c>
      <c r="AF84" s="1059">
        <f t="shared" si="80"/>
        <v>-9604375</v>
      </c>
      <c r="AG84" s="1060"/>
      <c r="AH84" s="1059">
        <f t="shared" si="81"/>
        <v>0</v>
      </c>
      <c r="AI84" s="1060"/>
      <c r="AJ84" s="1059"/>
      <c r="AK84" s="1059">
        <f t="shared" si="82"/>
        <v>0</v>
      </c>
      <c r="AM84" s="320" t="b">
        <f t="shared" si="70"/>
        <v>1</v>
      </c>
    </row>
    <row r="85" spans="2:39">
      <c r="B85" s="1472"/>
      <c r="C85" s="1058">
        <f>+'BT 2HO'!C123</f>
        <v>0</v>
      </c>
      <c r="D85" s="1058">
        <v>0</v>
      </c>
      <c r="E85" s="503">
        <v>950000</v>
      </c>
      <c r="F85" s="503">
        <v>1050000</v>
      </c>
      <c r="G85" s="1059">
        <f t="shared" si="74"/>
        <v>0</v>
      </c>
      <c r="H85" s="1059"/>
      <c r="I85" s="1059"/>
      <c r="J85" s="1059">
        <f t="shared" si="71"/>
        <v>0</v>
      </c>
      <c r="K85" s="1059"/>
      <c r="L85" s="1059"/>
      <c r="M85" s="1059"/>
      <c r="N85" s="1059"/>
      <c r="O85" s="1134"/>
      <c r="P85" s="1059"/>
      <c r="Q85" s="1059">
        <f t="shared" si="72"/>
        <v>0</v>
      </c>
      <c r="R85" s="1060"/>
      <c r="S85" s="1059">
        <f t="shared" si="76"/>
        <v>0</v>
      </c>
      <c r="T85" s="1060"/>
      <c r="U85" s="1059"/>
      <c r="V85" s="1059">
        <f t="shared" si="77"/>
        <v>0</v>
      </c>
      <c r="W85" s="1060"/>
      <c r="X85" s="1059">
        <f t="shared" si="78"/>
        <v>0</v>
      </c>
      <c r="Y85" s="1060"/>
      <c r="Z85" s="1059"/>
      <c r="AA85" s="1059">
        <f t="shared" si="79"/>
        <v>0</v>
      </c>
      <c r="AB85" s="1060"/>
      <c r="AC85" s="1059">
        <f t="shared" si="73"/>
        <v>0</v>
      </c>
      <c r="AD85" s="1060"/>
      <c r="AE85" s="1059"/>
      <c r="AF85" s="1059">
        <f t="shared" si="80"/>
        <v>0</v>
      </c>
      <c r="AG85" s="1060"/>
      <c r="AH85" s="1059">
        <f t="shared" si="81"/>
        <v>0</v>
      </c>
      <c r="AI85" s="1060"/>
      <c r="AJ85" s="1059"/>
      <c r="AK85" s="1059">
        <f t="shared" si="82"/>
        <v>0</v>
      </c>
      <c r="AM85" s="320" t="b">
        <f t="shared" si="70"/>
        <v>1</v>
      </c>
    </row>
    <row r="86" spans="2:39">
      <c r="B86" s="1472"/>
      <c r="C86" s="1058">
        <f>+'BT 2HO'!C128</f>
        <v>0</v>
      </c>
      <c r="D86" s="1058">
        <v>0</v>
      </c>
      <c r="E86" s="503">
        <v>950000</v>
      </c>
      <c r="F86" s="503">
        <v>1050000</v>
      </c>
      <c r="G86" s="1059">
        <f t="shared" si="74"/>
        <v>0</v>
      </c>
      <c r="H86" s="1059"/>
      <c r="I86" s="1059"/>
      <c r="J86" s="1059">
        <f t="shared" si="71"/>
        <v>0</v>
      </c>
      <c r="K86" s="1059"/>
      <c r="L86" s="1059"/>
      <c r="M86" s="1059"/>
      <c r="N86" s="1059"/>
      <c r="O86" s="1134"/>
      <c r="P86" s="1059"/>
      <c r="Q86" s="1059">
        <f t="shared" si="72"/>
        <v>0</v>
      </c>
      <c r="R86" s="1060"/>
      <c r="S86" s="1059">
        <f t="shared" si="76"/>
        <v>0</v>
      </c>
      <c r="T86" s="1060"/>
      <c r="U86" s="1059"/>
      <c r="V86" s="1059">
        <f t="shared" si="77"/>
        <v>0</v>
      </c>
      <c r="W86" s="1060"/>
      <c r="X86" s="1059">
        <f t="shared" si="78"/>
        <v>0</v>
      </c>
      <c r="Y86" s="1060"/>
      <c r="Z86" s="1059"/>
      <c r="AA86" s="1059">
        <f t="shared" si="79"/>
        <v>0</v>
      </c>
      <c r="AB86" s="1060"/>
      <c r="AC86" s="1059">
        <f t="shared" si="73"/>
        <v>0</v>
      </c>
      <c r="AD86" s="1060"/>
      <c r="AE86" s="1059"/>
      <c r="AF86" s="1059">
        <f t="shared" si="80"/>
        <v>0</v>
      </c>
      <c r="AG86" s="1060"/>
      <c r="AH86" s="1059">
        <f t="shared" si="81"/>
        <v>0</v>
      </c>
      <c r="AI86" s="1060"/>
      <c r="AJ86" s="1059"/>
      <c r="AK86" s="1059">
        <f t="shared" si="82"/>
        <v>0</v>
      </c>
      <c r="AM86" s="320" t="b">
        <f t="shared" si="70"/>
        <v>1</v>
      </c>
    </row>
    <row r="87" spans="2:39">
      <c r="B87" s="1472"/>
      <c r="C87" s="1058">
        <f>+'BT 2HO'!C133</f>
        <v>0</v>
      </c>
      <c r="D87" s="1058">
        <v>0</v>
      </c>
      <c r="E87" s="503">
        <v>950000</v>
      </c>
      <c r="F87" s="503">
        <v>1050000</v>
      </c>
      <c r="G87" s="1059">
        <f t="shared" si="74"/>
        <v>0</v>
      </c>
      <c r="H87" s="1059"/>
      <c r="I87" s="1059"/>
      <c r="J87" s="1059">
        <f t="shared" si="71"/>
        <v>0</v>
      </c>
      <c r="K87" s="1059"/>
      <c r="L87" s="1059"/>
      <c r="M87" s="1059"/>
      <c r="N87" s="1059"/>
      <c r="O87" s="1134"/>
      <c r="P87" s="1059"/>
      <c r="Q87" s="1059">
        <f t="shared" si="72"/>
        <v>0</v>
      </c>
      <c r="R87" s="1060"/>
      <c r="S87" s="1059">
        <f t="shared" si="76"/>
        <v>0</v>
      </c>
      <c r="T87" s="1060"/>
      <c r="U87" s="1059"/>
      <c r="V87" s="1059">
        <f t="shared" si="77"/>
        <v>0</v>
      </c>
      <c r="W87" s="1060"/>
      <c r="X87" s="1059">
        <f t="shared" si="78"/>
        <v>0</v>
      </c>
      <c r="Y87" s="1060"/>
      <c r="Z87" s="1059"/>
      <c r="AA87" s="1059">
        <f t="shared" si="79"/>
        <v>0</v>
      </c>
      <c r="AB87" s="1060"/>
      <c r="AC87" s="1059">
        <f t="shared" si="73"/>
        <v>0</v>
      </c>
      <c r="AD87" s="1060"/>
      <c r="AE87" s="1059"/>
      <c r="AF87" s="1059">
        <f t="shared" si="80"/>
        <v>0</v>
      </c>
      <c r="AG87" s="1060"/>
      <c r="AH87" s="1059">
        <f t="shared" si="81"/>
        <v>0</v>
      </c>
      <c r="AI87" s="1060"/>
      <c r="AJ87" s="1059"/>
      <c r="AK87" s="1059">
        <f t="shared" si="82"/>
        <v>0</v>
      </c>
      <c r="AM87" s="320" t="b">
        <f t="shared" si="70"/>
        <v>1</v>
      </c>
    </row>
    <row r="88" spans="2:39">
      <c r="B88" s="1472"/>
      <c r="C88" s="1058">
        <f>+'BT 2HO'!C138</f>
        <v>0</v>
      </c>
      <c r="D88" s="1058">
        <v>0</v>
      </c>
      <c r="E88" s="503">
        <v>950000</v>
      </c>
      <c r="F88" s="503">
        <v>1050000</v>
      </c>
      <c r="G88" s="1059">
        <f t="shared" si="74"/>
        <v>0</v>
      </c>
      <c r="H88" s="1059"/>
      <c r="I88" s="1059"/>
      <c r="J88" s="1059">
        <f t="shared" si="71"/>
        <v>0</v>
      </c>
      <c r="K88" s="1059"/>
      <c r="L88" s="1059"/>
      <c r="M88" s="1059"/>
      <c r="N88" s="1059"/>
      <c r="O88" s="1134"/>
      <c r="P88" s="1059"/>
      <c r="Q88" s="1059">
        <f t="shared" si="72"/>
        <v>0</v>
      </c>
      <c r="R88" s="1060"/>
      <c r="S88" s="1059">
        <f t="shared" si="76"/>
        <v>0</v>
      </c>
      <c r="T88" s="1060"/>
      <c r="U88" s="1059"/>
      <c r="V88" s="1059">
        <f t="shared" si="77"/>
        <v>0</v>
      </c>
      <c r="W88" s="1060"/>
      <c r="X88" s="1059">
        <f t="shared" si="78"/>
        <v>0</v>
      </c>
      <c r="Y88" s="1060"/>
      <c r="Z88" s="1059"/>
      <c r="AA88" s="1059">
        <f t="shared" si="79"/>
        <v>0</v>
      </c>
      <c r="AB88" s="1060"/>
      <c r="AC88" s="1059">
        <f t="shared" si="73"/>
        <v>0</v>
      </c>
      <c r="AD88" s="1060"/>
      <c r="AE88" s="1059"/>
      <c r="AF88" s="1059">
        <f t="shared" si="80"/>
        <v>0</v>
      </c>
      <c r="AG88" s="1060"/>
      <c r="AH88" s="1059">
        <f t="shared" si="81"/>
        <v>0</v>
      </c>
      <c r="AI88" s="1060"/>
      <c r="AJ88" s="1059"/>
      <c r="AK88" s="1059">
        <f t="shared" si="82"/>
        <v>0</v>
      </c>
      <c r="AM88" s="320" t="b">
        <f t="shared" si="70"/>
        <v>1</v>
      </c>
    </row>
    <row r="89" spans="2:39">
      <c r="B89" s="1472"/>
      <c r="C89" s="1058">
        <f>+'BT 2HO'!C143</f>
        <v>0</v>
      </c>
      <c r="D89" s="1058">
        <v>0</v>
      </c>
      <c r="E89" s="503">
        <v>950000</v>
      </c>
      <c r="F89" s="503">
        <v>1050000</v>
      </c>
      <c r="G89" s="1059">
        <f t="shared" si="74"/>
        <v>0</v>
      </c>
      <c r="H89" s="1059"/>
      <c r="I89" s="1059"/>
      <c r="J89" s="1059">
        <f t="shared" si="71"/>
        <v>0</v>
      </c>
      <c r="K89" s="1059"/>
      <c r="L89" s="1059"/>
      <c r="M89" s="1059"/>
      <c r="N89" s="1059"/>
      <c r="O89" s="1134"/>
      <c r="P89" s="1059"/>
      <c r="Q89" s="1059">
        <f t="shared" si="72"/>
        <v>0</v>
      </c>
      <c r="R89" s="1060"/>
      <c r="S89" s="1059">
        <f t="shared" si="76"/>
        <v>0</v>
      </c>
      <c r="T89" s="1060"/>
      <c r="U89" s="1059"/>
      <c r="V89" s="1059">
        <f t="shared" si="77"/>
        <v>0</v>
      </c>
      <c r="W89" s="1060"/>
      <c r="X89" s="1059">
        <f t="shared" si="78"/>
        <v>0</v>
      </c>
      <c r="Y89" s="1060"/>
      <c r="Z89" s="1059"/>
      <c r="AA89" s="1059">
        <f t="shared" si="79"/>
        <v>0</v>
      </c>
      <c r="AB89" s="1060"/>
      <c r="AC89" s="1059">
        <f t="shared" si="73"/>
        <v>0</v>
      </c>
      <c r="AD89" s="1060"/>
      <c r="AE89" s="1059"/>
      <c r="AF89" s="1059">
        <f t="shared" si="80"/>
        <v>0</v>
      </c>
      <c r="AG89" s="1060"/>
      <c r="AH89" s="1059">
        <f t="shared" si="81"/>
        <v>0</v>
      </c>
      <c r="AI89" s="1060"/>
      <c r="AJ89" s="1059"/>
      <c r="AK89" s="1059">
        <f t="shared" si="82"/>
        <v>0</v>
      </c>
      <c r="AM89" s="320" t="b">
        <f t="shared" si="70"/>
        <v>1</v>
      </c>
    </row>
    <row r="90" spans="2:39">
      <c r="B90" s="1472"/>
      <c r="C90" s="1058">
        <f>+'BT 2HO'!C148</f>
        <v>0</v>
      </c>
      <c r="D90" s="1058">
        <v>0</v>
      </c>
      <c r="E90" s="503">
        <v>950000</v>
      </c>
      <c r="F90" s="503">
        <v>1050000</v>
      </c>
      <c r="G90" s="1059">
        <f t="shared" si="74"/>
        <v>0</v>
      </c>
      <c r="H90" s="1059"/>
      <c r="I90" s="1059"/>
      <c r="J90" s="1059">
        <f t="shared" si="71"/>
        <v>0</v>
      </c>
      <c r="K90" s="1059"/>
      <c r="L90" s="1059"/>
      <c r="M90" s="1059"/>
      <c r="N90" s="1059"/>
      <c r="O90" s="1134"/>
      <c r="P90" s="1059"/>
      <c r="Q90" s="1059">
        <f t="shared" si="72"/>
        <v>0</v>
      </c>
      <c r="R90" s="1060"/>
      <c r="S90" s="1059">
        <f t="shared" si="76"/>
        <v>0</v>
      </c>
      <c r="T90" s="1060"/>
      <c r="U90" s="1059"/>
      <c r="V90" s="1059">
        <f t="shared" si="77"/>
        <v>0</v>
      </c>
      <c r="W90" s="1060"/>
      <c r="X90" s="1059">
        <f t="shared" si="78"/>
        <v>0</v>
      </c>
      <c r="Y90" s="1060"/>
      <c r="Z90" s="1059"/>
      <c r="AA90" s="1059">
        <f t="shared" si="79"/>
        <v>0</v>
      </c>
      <c r="AB90" s="1060"/>
      <c r="AC90" s="1059">
        <f t="shared" si="73"/>
        <v>0</v>
      </c>
      <c r="AD90" s="1060"/>
      <c r="AE90" s="1059"/>
      <c r="AF90" s="1059">
        <f t="shared" si="80"/>
        <v>0</v>
      </c>
      <c r="AG90" s="1060"/>
      <c r="AH90" s="1059">
        <f t="shared" si="81"/>
        <v>0</v>
      </c>
      <c r="AI90" s="1060"/>
      <c r="AJ90" s="1059"/>
      <c r="AK90" s="1059">
        <f t="shared" si="82"/>
        <v>0</v>
      </c>
      <c r="AM90" s="320" t="b">
        <f t="shared" si="70"/>
        <v>1</v>
      </c>
    </row>
  </sheetData>
  <mergeCells count="70">
    <mergeCell ref="F38:F39"/>
    <mergeCell ref="F56:F57"/>
    <mergeCell ref="F74:F75"/>
    <mergeCell ref="G2:G3"/>
    <mergeCell ref="H2:H3"/>
    <mergeCell ref="F2:F3"/>
    <mergeCell ref="G38:G39"/>
    <mergeCell ref="H38:H39"/>
    <mergeCell ref="B4:B18"/>
    <mergeCell ref="B2:B3"/>
    <mergeCell ref="C2:C3"/>
    <mergeCell ref="D2:D3"/>
    <mergeCell ref="E2:E3"/>
    <mergeCell ref="I2:I3"/>
    <mergeCell ref="R2:V2"/>
    <mergeCell ref="W2:AA2"/>
    <mergeCell ref="AB2:AF2"/>
    <mergeCell ref="AG2:AK2"/>
    <mergeCell ref="J2:Q2"/>
    <mergeCell ref="AB20:AF20"/>
    <mergeCell ref="AG20:AK20"/>
    <mergeCell ref="B22:B36"/>
    <mergeCell ref="B20:B21"/>
    <mergeCell ref="C20:C21"/>
    <mergeCell ref="D20:D21"/>
    <mergeCell ref="E20:E21"/>
    <mergeCell ref="G20:G21"/>
    <mergeCell ref="H20:H21"/>
    <mergeCell ref="J20:Q20"/>
    <mergeCell ref="F20:F21"/>
    <mergeCell ref="I20:I21"/>
    <mergeCell ref="R20:V20"/>
    <mergeCell ref="W20:AA20"/>
    <mergeCell ref="I38:I39"/>
    <mergeCell ref="R38:V38"/>
    <mergeCell ref="W38:AA38"/>
    <mergeCell ref="J38:Q38"/>
    <mergeCell ref="AB38:AF38"/>
    <mergeCell ref="AG38:AK38"/>
    <mergeCell ref="AB56:AF56"/>
    <mergeCell ref="AG56:AK56"/>
    <mergeCell ref="B58:B72"/>
    <mergeCell ref="B56:B57"/>
    <mergeCell ref="C56:C57"/>
    <mergeCell ref="D56:D57"/>
    <mergeCell ref="E56:E57"/>
    <mergeCell ref="G56:G57"/>
    <mergeCell ref="H56:H57"/>
    <mergeCell ref="B40:B54"/>
    <mergeCell ref="B38:B39"/>
    <mergeCell ref="C38:C39"/>
    <mergeCell ref="D38:D39"/>
    <mergeCell ref="E38:E39"/>
    <mergeCell ref="I56:I57"/>
    <mergeCell ref="R56:V56"/>
    <mergeCell ref="W56:AA56"/>
    <mergeCell ref="I74:I75"/>
    <mergeCell ref="R74:V74"/>
    <mergeCell ref="W74:AA74"/>
    <mergeCell ref="J56:Q56"/>
    <mergeCell ref="J74:Q74"/>
    <mergeCell ref="AB74:AF74"/>
    <mergeCell ref="AG74:AK74"/>
    <mergeCell ref="B76:B90"/>
    <mergeCell ref="B74:B75"/>
    <mergeCell ref="C74:C75"/>
    <mergeCell ref="D74:D75"/>
    <mergeCell ref="E74:E75"/>
    <mergeCell ref="G74:G75"/>
    <mergeCell ref="H74:H75"/>
  </mergeCells>
  <phoneticPr fontId="9" type="noConversion"/>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A6D15-5935-4289-86C7-0A66167597C4}">
  <dimension ref="A1:Y328"/>
  <sheetViews>
    <sheetView tabSelected="1" zoomScaleNormal="100" workbookViewId="0">
      <pane xSplit="2" ySplit="6" topLeftCell="D40" activePane="bottomRight" state="frozen"/>
      <selection activeCell="H118" sqref="H118"/>
      <selection pane="topRight" activeCell="H118" sqref="H118"/>
      <selection pane="bottomLeft" activeCell="H118" sqref="H118"/>
      <selection pane="bottomRight" activeCell="I57" sqref="I57"/>
    </sheetView>
  </sheetViews>
  <sheetFormatPr defaultColWidth="10.42578125" defaultRowHeight="12.75" outlineLevelRow="2" outlineLevelCol="1"/>
  <cols>
    <col min="1" max="1" width="3.42578125" style="716" customWidth="1"/>
    <col min="2" max="2" width="30.7109375" style="716" bestFit="1" customWidth="1"/>
    <col min="3" max="3" width="62.5703125" style="740" customWidth="1"/>
    <col min="4" max="4" width="33.5703125" style="716" customWidth="1"/>
    <col min="5" max="7" width="18" style="716" hidden="1" customWidth="1" outlineLevel="1"/>
    <col min="8" max="8" width="18" style="716" customWidth="1" collapsed="1"/>
    <col min="9" max="16" width="18" style="716" customWidth="1"/>
    <col min="17" max="17" width="18" style="716" hidden="1" customWidth="1"/>
    <col min="18" max="19" width="18" style="716" customWidth="1"/>
    <col min="20" max="25" width="18" style="716" hidden="1" customWidth="1"/>
    <col min="26" max="16384" width="10.42578125" style="716"/>
  </cols>
  <sheetData>
    <row r="1" spans="1:25" s="707" customFormat="1" ht="15">
      <c r="A1" s="706" t="s">
        <v>446</v>
      </c>
      <c r="C1" s="708"/>
      <c r="E1" s="1354" t="s">
        <v>748</v>
      </c>
      <c r="F1" s="1354"/>
      <c r="G1" s="1354"/>
      <c r="H1" s="1354" t="s">
        <v>737</v>
      </c>
      <c r="I1" s="1354"/>
      <c r="J1" s="1354"/>
      <c r="K1" s="1354"/>
      <c r="L1" s="1354"/>
      <c r="M1" s="1354"/>
      <c r="N1" s="1354"/>
      <c r="O1" s="1354"/>
      <c r="P1" s="1354"/>
      <c r="Q1" s="783"/>
    </row>
    <row r="2" spans="1:25" s="707" customFormat="1" ht="37.5" customHeight="1">
      <c r="B2" s="709"/>
      <c r="C2" s="710"/>
      <c r="D2" s="711"/>
      <c r="E2" s="712" t="s">
        <v>447</v>
      </c>
      <c r="F2" s="712" t="s">
        <v>448</v>
      </c>
      <c r="G2" s="712" t="s">
        <v>449</v>
      </c>
      <c r="H2" s="712" t="s">
        <v>1088</v>
      </c>
      <c r="I2" s="712" t="s">
        <v>448</v>
      </c>
      <c r="J2" s="712" t="s">
        <v>449</v>
      </c>
      <c r="K2" s="712" t="s">
        <v>450</v>
      </c>
      <c r="L2" s="712" t="s">
        <v>451</v>
      </c>
      <c r="M2" s="712" t="s">
        <v>452</v>
      </c>
      <c r="N2" s="712" t="s">
        <v>453</v>
      </c>
      <c r="O2" s="712" t="s">
        <v>454</v>
      </c>
      <c r="P2" s="712" t="s">
        <v>1089</v>
      </c>
      <c r="Q2" s="712" t="s">
        <v>456</v>
      </c>
      <c r="T2" s="943" t="s">
        <v>447</v>
      </c>
      <c r="U2" s="943" t="s">
        <v>448</v>
      </c>
      <c r="V2" s="943" t="s">
        <v>449</v>
      </c>
      <c r="W2" s="943" t="s">
        <v>450</v>
      </c>
      <c r="X2" s="943" t="s">
        <v>451</v>
      </c>
      <c r="Y2" s="943" t="s">
        <v>452</v>
      </c>
    </row>
    <row r="3" spans="1:25" s="707" customFormat="1" ht="27.75" customHeight="1">
      <c r="B3" s="713" t="s">
        <v>460</v>
      </c>
      <c r="C3" s="714"/>
      <c r="D3" s="713"/>
      <c r="E3" s="715"/>
      <c r="F3" s="715"/>
      <c r="G3" s="715"/>
      <c r="H3" s="715"/>
      <c r="I3" s="715"/>
      <c r="J3" s="715"/>
      <c r="K3" s="715"/>
      <c r="L3" s="715"/>
      <c r="M3" s="715"/>
      <c r="N3" s="715"/>
      <c r="O3" s="715"/>
      <c r="P3" s="715"/>
      <c r="Q3" s="715"/>
      <c r="T3" s="944"/>
      <c r="U3" s="944"/>
      <c r="V3" s="944"/>
      <c r="W3" s="944"/>
      <c r="X3" s="944"/>
      <c r="Y3" s="944"/>
    </row>
    <row r="4" spans="1:25" s="707" customFormat="1" ht="15" outlineLevel="1">
      <c r="B4" s="709"/>
      <c r="C4" s="710"/>
      <c r="D4" s="711"/>
      <c r="E4" s="717"/>
      <c r="F4" s="717"/>
      <c r="G4" s="1049" t="s">
        <v>461</v>
      </c>
      <c r="H4" s="717"/>
      <c r="I4" s="717"/>
      <c r="J4" s="717"/>
      <c r="K4" s="717"/>
      <c r="L4" s="717"/>
      <c r="N4" s="717"/>
      <c r="O4" s="717"/>
      <c r="P4" s="1149" t="s">
        <v>461</v>
      </c>
      <c r="T4" s="945"/>
      <c r="U4" s="945"/>
      <c r="V4" s="945"/>
      <c r="W4" s="945"/>
      <c r="X4" s="945"/>
      <c r="Y4" s="945"/>
    </row>
    <row r="5" spans="1:25" ht="24" customHeight="1" outlineLevel="1">
      <c r="B5" s="719" t="s">
        <v>462</v>
      </c>
      <c r="C5" s="720" t="s">
        <v>463</v>
      </c>
      <c r="D5" s="721"/>
      <c r="E5" s="799" t="str">
        <f>+'BT 7HO'!C11</f>
        <v>Eco Inshutech</v>
      </c>
      <c r="F5" s="799" t="str">
        <f>+'BT 7HO'!C16</f>
        <v>Younggwang Industry</v>
      </c>
      <c r="G5" s="799" t="str">
        <f>+'BT 7HO'!C26</f>
        <v>MPM Trade</v>
      </c>
      <c r="H5" s="799" t="str">
        <f>+'Input 기초'!F92</f>
        <v>Daesung Fruit Industry</v>
      </c>
      <c r="I5" s="799" t="str">
        <f>+'Input 기초'!G92</f>
        <v>RMK</v>
      </c>
      <c r="J5" s="799" t="str">
        <f>+'Input 기초'!H92</f>
        <v>Ilshin Industry(HQ)</v>
      </c>
      <c r="K5" s="799" t="str">
        <f>+'Input 기초'!I92</f>
        <v>Ilsan Metal</v>
      </c>
      <c r="L5" s="799" t="str">
        <f>+'Input 기초'!J92</f>
        <v>LC-Tech</v>
      </c>
      <c r="M5" s="799" t="str">
        <f>+'Input 기초'!K92</f>
        <v>Lijin Factory 1</v>
      </c>
      <c r="N5" s="799" t="str">
        <f>+'Input 기초'!L92</f>
        <v>Lijin Factory 2</v>
      </c>
      <c r="O5" s="799" t="str">
        <f>+'Input 기초'!M92</f>
        <v>kinam Metal</v>
      </c>
      <c r="P5" s="799" t="str">
        <f>+'Input 기초'!N92</f>
        <v>JK Fiber</v>
      </c>
      <c r="Q5" s="799"/>
      <c r="T5" s="799">
        <f>+'BT 2HO'!R11</f>
        <v>0</v>
      </c>
      <c r="U5" s="799">
        <f>+'BT 2HO'!R16</f>
        <v>0</v>
      </c>
      <c r="V5" s="799">
        <f>+'BT 2HO'!R21</f>
        <v>0</v>
      </c>
      <c r="W5" s="799">
        <f>+'BT 2HO'!R26</f>
        <v>0</v>
      </c>
      <c r="X5" s="799">
        <f>+'BT 2HO'!R31</f>
        <v>0</v>
      </c>
      <c r="Y5" s="799">
        <f>+'BT 2HO'!R41</f>
        <v>0</v>
      </c>
    </row>
    <row r="6" spans="1:25" ht="24" customHeight="1" outlineLevel="1">
      <c r="B6" s="719" t="s">
        <v>464</v>
      </c>
      <c r="C6" s="720" t="s">
        <v>463</v>
      </c>
      <c r="D6" s="721"/>
      <c r="E6" s="799" t="str">
        <f>+E5</f>
        <v>Eco Inshutech</v>
      </c>
      <c r="F6" s="799" t="str">
        <f>+F5</f>
        <v>Younggwang Industry</v>
      </c>
      <c r="G6" s="799" t="str">
        <f t="shared" ref="G6" si="0">+G5</f>
        <v>MPM Trade</v>
      </c>
      <c r="H6" s="799" t="str">
        <f>+H5</f>
        <v>Daesung Fruit Industry</v>
      </c>
      <c r="I6" s="799" t="str">
        <f t="shared" ref="I6:P6" si="1">+I5</f>
        <v>RMK</v>
      </c>
      <c r="J6" s="799" t="str">
        <f t="shared" si="1"/>
        <v>Ilshin Industry(HQ)</v>
      </c>
      <c r="K6" s="799" t="str">
        <f t="shared" si="1"/>
        <v>Ilsan Metal</v>
      </c>
      <c r="L6" s="799" t="str">
        <f t="shared" si="1"/>
        <v>LC-Tech</v>
      </c>
      <c r="M6" s="799" t="str">
        <f t="shared" si="1"/>
        <v>Lijin Factory 1</v>
      </c>
      <c r="N6" s="799" t="str">
        <f t="shared" si="1"/>
        <v>Lijin Factory 2</v>
      </c>
      <c r="O6" s="799" t="str">
        <f t="shared" si="1"/>
        <v>kinam Metal</v>
      </c>
      <c r="P6" s="799" t="str">
        <f t="shared" si="1"/>
        <v>JK Fiber</v>
      </c>
      <c r="Q6" s="799"/>
      <c r="T6" s="799">
        <f t="shared" ref="T6:Y6" si="2">+T5</f>
        <v>0</v>
      </c>
      <c r="U6" s="799">
        <f t="shared" si="2"/>
        <v>0</v>
      </c>
      <c r="V6" s="799">
        <f t="shared" si="2"/>
        <v>0</v>
      </c>
      <c r="W6" s="799">
        <f t="shared" si="2"/>
        <v>0</v>
      </c>
      <c r="X6" s="799">
        <f t="shared" si="2"/>
        <v>0</v>
      </c>
      <c r="Y6" s="799">
        <f t="shared" si="2"/>
        <v>0</v>
      </c>
    </row>
    <row r="7" spans="1:25" ht="14.25" outlineLevel="1">
      <c r="B7" s="719" t="s">
        <v>465</v>
      </c>
      <c r="C7" s="724" t="s">
        <v>466</v>
      </c>
      <c r="D7" s="725"/>
      <c r="E7" s="799" t="s">
        <v>467</v>
      </c>
      <c r="F7" s="799" t="s">
        <v>467</v>
      </c>
      <c r="G7" s="799" t="s">
        <v>467</v>
      </c>
      <c r="H7" s="799" t="s">
        <v>467</v>
      </c>
      <c r="I7" s="799" t="s">
        <v>467</v>
      </c>
      <c r="J7" s="799" t="s">
        <v>467</v>
      </c>
      <c r="K7" s="799" t="s">
        <v>467</v>
      </c>
      <c r="L7" s="799" t="s">
        <v>467</v>
      </c>
      <c r="M7" s="799" t="s">
        <v>467</v>
      </c>
      <c r="N7" s="799" t="s">
        <v>467</v>
      </c>
      <c r="O7" s="799" t="s">
        <v>467</v>
      </c>
      <c r="P7" s="799" t="s">
        <v>467</v>
      </c>
      <c r="Q7" s="799" t="s">
        <v>467</v>
      </c>
      <c r="T7" s="799" t="s">
        <v>467</v>
      </c>
      <c r="U7" s="799" t="s">
        <v>467</v>
      </c>
      <c r="V7" s="799" t="s">
        <v>467</v>
      </c>
      <c r="W7" s="799" t="s">
        <v>467</v>
      </c>
      <c r="X7" s="799" t="s">
        <v>467</v>
      </c>
      <c r="Y7" s="799" t="s">
        <v>467</v>
      </c>
    </row>
    <row r="8" spans="1:25" s="793" customFormat="1" ht="25.5" outlineLevel="2">
      <c r="B8" s="794" t="s">
        <v>468</v>
      </c>
      <c r="C8" s="795" t="s">
        <v>469</v>
      </c>
      <c r="D8" s="796"/>
      <c r="E8" s="800" t="s">
        <v>474</v>
      </c>
      <c r="F8" s="800" t="s">
        <v>472</v>
      </c>
      <c r="G8" s="800" t="s">
        <v>472</v>
      </c>
      <c r="H8" s="800" t="s">
        <v>472</v>
      </c>
      <c r="I8" s="800" t="s">
        <v>1090</v>
      </c>
      <c r="J8" s="800" t="s">
        <v>472</v>
      </c>
      <c r="K8" s="800" t="s">
        <v>472</v>
      </c>
      <c r="L8" s="800" t="s">
        <v>472</v>
      </c>
      <c r="M8" s="800" t="s">
        <v>472</v>
      </c>
      <c r="N8" s="800" t="s">
        <v>472</v>
      </c>
      <c r="O8" s="800" t="s">
        <v>1091</v>
      </c>
      <c r="P8" s="800" t="s">
        <v>472</v>
      </c>
      <c r="Q8" s="800"/>
      <c r="T8" s="800" t="s">
        <v>470</v>
      </c>
      <c r="U8" s="800" t="s">
        <v>470</v>
      </c>
      <c r="V8" s="800" t="s">
        <v>471</v>
      </c>
      <c r="W8" s="800" t="s">
        <v>472</v>
      </c>
      <c r="X8" s="800" t="s">
        <v>472</v>
      </c>
      <c r="Y8" s="800" t="s">
        <v>472</v>
      </c>
    </row>
    <row r="9" spans="1:25" ht="14.25" outlineLevel="2">
      <c r="B9" s="719" t="s">
        <v>475</v>
      </c>
      <c r="C9" s="724" t="s">
        <v>476</v>
      </c>
      <c r="D9" s="725"/>
      <c r="E9" s="801" t="s">
        <v>477</v>
      </c>
      <c r="F9" s="801" t="s">
        <v>477</v>
      </c>
      <c r="G9" s="801" t="s">
        <v>477</v>
      </c>
      <c r="H9" s="801" t="s">
        <v>477</v>
      </c>
      <c r="I9" s="801" t="s">
        <v>477</v>
      </c>
      <c r="J9" s="801" t="s">
        <v>477</v>
      </c>
      <c r="K9" s="801" t="s">
        <v>477</v>
      </c>
      <c r="L9" s="801" t="s">
        <v>477</v>
      </c>
      <c r="M9" s="801" t="s">
        <v>477</v>
      </c>
      <c r="N9" s="801" t="s">
        <v>477</v>
      </c>
      <c r="O9" s="801" t="s">
        <v>477</v>
      </c>
      <c r="P9" s="801" t="s">
        <v>477</v>
      </c>
      <c r="Q9" s="801" t="s">
        <v>477</v>
      </c>
      <c r="T9" s="801" t="s">
        <v>477</v>
      </c>
      <c r="U9" s="801" t="s">
        <v>477</v>
      </c>
      <c r="V9" s="801" t="s">
        <v>477</v>
      </c>
      <c r="W9" s="801" t="s">
        <v>477</v>
      </c>
      <c r="X9" s="801" t="s">
        <v>477</v>
      </c>
      <c r="Y9" s="801" t="s">
        <v>477</v>
      </c>
    </row>
    <row r="10" spans="1:25" s="793" customFormat="1" ht="14.25" outlineLevel="2">
      <c r="B10" s="794" t="s">
        <v>478</v>
      </c>
      <c r="C10" s="795" t="s">
        <v>476</v>
      </c>
      <c r="D10" s="797"/>
      <c r="E10" s="801" t="s">
        <v>264</v>
      </c>
      <c r="F10" s="801" t="s">
        <v>479</v>
      </c>
      <c r="G10" s="801" t="s">
        <v>479</v>
      </c>
      <c r="H10" s="801" t="s">
        <v>264</v>
      </c>
      <c r="I10" s="801" t="s">
        <v>264</v>
      </c>
      <c r="J10" s="801" t="s">
        <v>479</v>
      </c>
      <c r="K10" s="801" t="s">
        <v>264</v>
      </c>
      <c r="L10" s="801" t="s">
        <v>264</v>
      </c>
      <c r="M10" s="801" t="s">
        <v>264</v>
      </c>
      <c r="N10" s="801" t="s">
        <v>264</v>
      </c>
      <c r="O10" s="801" t="s">
        <v>264</v>
      </c>
      <c r="P10" s="801" t="s">
        <v>264</v>
      </c>
      <c r="Q10" s="801" t="s">
        <v>264</v>
      </c>
      <c r="T10" s="801" t="s">
        <v>479</v>
      </c>
      <c r="U10" s="801" t="s">
        <v>479</v>
      </c>
      <c r="V10" s="801" t="s">
        <v>479</v>
      </c>
      <c r="W10" s="801" t="s">
        <v>479</v>
      </c>
      <c r="X10" s="801" t="s">
        <v>479</v>
      </c>
      <c r="Y10" s="801" t="s">
        <v>264</v>
      </c>
    </row>
    <row r="11" spans="1:25" ht="29.25" customHeight="1" outlineLevel="1">
      <c r="B11" s="719" t="s">
        <v>481</v>
      </c>
      <c r="C11" s="1357" t="s">
        <v>482</v>
      </c>
      <c r="D11" s="1357"/>
      <c r="E11" s="799" t="s">
        <v>483</v>
      </c>
      <c r="F11" s="799" t="s">
        <v>483</v>
      </c>
      <c r="G11" s="799" t="s">
        <v>483</v>
      </c>
      <c r="H11" s="799" t="s">
        <v>483</v>
      </c>
      <c r="I11" s="799" t="s">
        <v>483</v>
      </c>
      <c r="J11" s="799" t="s">
        <v>483</v>
      </c>
      <c r="K11" s="799" t="s">
        <v>483</v>
      </c>
      <c r="L11" s="799" t="s">
        <v>483</v>
      </c>
      <c r="M11" s="799" t="s">
        <v>483</v>
      </c>
      <c r="N11" s="799" t="s">
        <v>483</v>
      </c>
      <c r="O11" s="799" t="s">
        <v>483</v>
      </c>
      <c r="P11" s="799" t="s">
        <v>483</v>
      </c>
      <c r="Q11" s="799" t="s">
        <v>483</v>
      </c>
      <c r="T11" s="799" t="s">
        <v>483</v>
      </c>
      <c r="U11" s="799" t="s">
        <v>483</v>
      </c>
      <c r="V11" s="799" t="s">
        <v>483</v>
      </c>
      <c r="W11" s="799" t="s">
        <v>483</v>
      </c>
      <c r="X11" s="799" t="s">
        <v>483</v>
      </c>
      <c r="Y11" s="799" t="s">
        <v>483</v>
      </c>
    </row>
    <row r="12" spans="1:25" ht="22.5" customHeight="1" outlineLevel="2">
      <c r="B12" s="719" t="s">
        <v>484</v>
      </c>
      <c r="C12" s="1357" t="s">
        <v>485</v>
      </c>
      <c r="D12" s="1357"/>
      <c r="E12" s="799" t="s">
        <v>486</v>
      </c>
      <c r="F12" s="799" t="s">
        <v>486</v>
      </c>
      <c r="G12" s="799" t="s">
        <v>486</v>
      </c>
      <c r="H12" s="799" t="s">
        <v>486</v>
      </c>
      <c r="I12" s="799" t="s">
        <v>486</v>
      </c>
      <c r="J12" s="799" t="s">
        <v>486</v>
      </c>
      <c r="K12" s="799" t="s">
        <v>486</v>
      </c>
      <c r="L12" s="799" t="s">
        <v>486</v>
      </c>
      <c r="M12" s="799" t="s">
        <v>486</v>
      </c>
      <c r="N12" s="799" t="s">
        <v>486</v>
      </c>
      <c r="O12" s="799" t="s">
        <v>486</v>
      </c>
      <c r="P12" s="799" t="s">
        <v>486</v>
      </c>
      <c r="Q12" s="799" t="s">
        <v>486</v>
      </c>
      <c r="T12" s="799" t="s">
        <v>486</v>
      </c>
      <c r="U12" s="799" t="s">
        <v>486</v>
      </c>
      <c r="V12" s="799" t="s">
        <v>486</v>
      </c>
      <c r="W12" s="799" t="s">
        <v>486</v>
      </c>
      <c r="X12" s="799" t="s">
        <v>486</v>
      </c>
      <c r="Y12" s="799" t="s">
        <v>486</v>
      </c>
    </row>
    <row r="13" spans="1:25" ht="14.25" outlineLevel="2">
      <c r="B13" s="719"/>
      <c r="C13" s="724"/>
      <c r="D13" s="725"/>
      <c r="E13" s="727"/>
      <c r="F13" s="727"/>
      <c r="G13" s="727"/>
      <c r="H13" s="727"/>
      <c r="I13" s="727"/>
      <c r="J13" s="727"/>
      <c r="K13" s="727"/>
      <c r="L13" s="727"/>
      <c r="M13" s="727"/>
      <c r="N13" s="727"/>
      <c r="O13" s="727"/>
      <c r="P13" s="727"/>
      <c r="Q13" s="727"/>
      <c r="T13" s="807"/>
      <c r="U13" s="807"/>
      <c r="V13" s="807"/>
      <c r="W13" s="807"/>
      <c r="X13" s="807"/>
      <c r="Y13" s="807"/>
    </row>
    <row r="14" spans="1:25" ht="14.25" outlineLevel="2">
      <c r="B14" s="719" t="s">
        <v>487</v>
      </c>
      <c r="C14" s="724" t="s">
        <v>488</v>
      </c>
      <c r="D14" s="725"/>
      <c r="E14" s="799" t="s">
        <v>35</v>
      </c>
      <c r="F14" s="799" t="s">
        <v>489</v>
      </c>
      <c r="G14" s="799" t="s">
        <v>489</v>
      </c>
      <c r="H14" s="799" t="s">
        <v>489</v>
      </c>
      <c r="I14" s="799" t="s">
        <v>489</v>
      </c>
      <c r="J14" s="799" t="s">
        <v>489</v>
      </c>
      <c r="K14" s="799" t="s">
        <v>489</v>
      </c>
      <c r="L14" s="799" t="s">
        <v>489</v>
      </c>
      <c r="M14" s="799" t="s">
        <v>489</v>
      </c>
      <c r="N14" s="799" t="s">
        <v>489</v>
      </c>
      <c r="O14" s="799" t="s">
        <v>489</v>
      </c>
      <c r="P14" s="799" t="s">
        <v>489</v>
      </c>
      <c r="Q14" s="799" t="s">
        <v>489</v>
      </c>
      <c r="T14" s="799" t="s">
        <v>35</v>
      </c>
      <c r="U14" s="799" t="s">
        <v>489</v>
      </c>
      <c r="V14" s="799" t="s">
        <v>489</v>
      </c>
      <c r="W14" s="799" t="s">
        <v>489</v>
      </c>
      <c r="X14" s="799" t="s">
        <v>489</v>
      </c>
      <c r="Y14" s="799" t="s">
        <v>489</v>
      </c>
    </row>
    <row r="15" spans="1:25" s="707" customFormat="1" ht="15" outlineLevel="1">
      <c r="C15" s="708"/>
      <c r="E15" s="783"/>
      <c r="F15" s="783"/>
      <c r="G15" s="783"/>
      <c r="H15" s="783"/>
      <c r="I15" s="783"/>
      <c r="J15" s="783"/>
      <c r="K15" s="783"/>
      <c r="L15" s="783"/>
      <c r="M15" s="783"/>
      <c r="N15" s="783"/>
      <c r="O15" s="783"/>
      <c r="P15" s="783"/>
      <c r="Q15" s="783"/>
      <c r="T15" s="783"/>
      <c r="U15" s="783"/>
      <c r="V15" s="783"/>
      <c r="W15" s="783"/>
      <c r="X15" s="783"/>
      <c r="Y15" s="783"/>
    </row>
    <row r="16" spans="1:25" s="793" customFormat="1" ht="14.25" outlineLevel="2">
      <c r="B16" s="794" t="s">
        <v>1092</v>
      </c>
      <c r="C16" s="798" t="s">
        <v>491</v>
      </c>
      <c r="D16" s="797"/>
      <c r="E16" s="799">
        <v>45992</v>
      </c>
      <c r="F16" s="799">
        <v>45962</v>
      </c>
      <c r="G16" s="799">
        <v>45962</v>
      </c>
      <c r="H16" s="799">
        <v>46113</v>
      </c>
      <c r="I16" s="799">
        <v>46143</v>
      </c>
      <c r="J16" s="799">
        <v>46113</v>
      </c>
      <c r="K16" s="799">
        <v>46113</v>
      </c>
      <c r="L16" s="799">
        <v>46143</v>
      </c>
      <c r="M16" s="799">
        <v>46143</v>
      </c>
      <c r="N16" s="799">
        <v>46143</v>
      </c>
      <c r="O16" s="799">
        <v>46174</v>
      </c>
      <c r="P16" s="799">
        <v>46174</v>
      </c>
      <c r="Q16" s="799">
        <v>46022</v>
      </c>
      <c r="T16" s="799">
        <v>45962</v>
      </c>
      <c r="U16" s="799">
        <v>45962</v>
      </c>
      <c r="V16" s="799">
        <v>45962</v>
      </c>
      <c r="W16" s="799">
        <v>45962</v>
      </c>
      <c r="X16" s="799">
        <v>45962</v>
      </c>
      <c r="Y16" s="799">
        <v>46022</v>
      </c>
    </row>
    <row r="17" spans="2:25" ht="14.25" outlineLevel="2">
      <c r="B17" s="719" t="s">
        <v>492</v>
      </c>
      <c r="C17" s="720" t="s">
        <v>493</v>
      </c>
      <c r="D17" s="721"/>
      <c r="E17" s="802">
        <v>5</v>
      </c>
      <c r="F17" s="802">
        <v>5</v>
      </c>
      <c r="G17" s="802">
        <v>5</v>
      </c>
      <c r="H17" s="802">
        <v>5</v>
      </c>
      <c r="I17" s="802">
        <v>5</v>
      </c>
      <c r="J17" s="802">
        <v>5</v>
      </c>
      <c r="K17" s="802">
        <v>5</v>
      </c>
      <c r="L17" s="802">
        <v>5</v>
      </c>
      <c r="M17" s="802">
        <v>5</v>
      </c>
      <c r="N17" s="802">
        <v>5</v>
      </c>
      <c r="O17" s="802">
        <v>5</v>
      </c>
      <c r="P17" s="802">
        <v>5</v>
      </c>
      <c r="Q17" s="802">
        <v>5</v>
      </c>
      <c r="T17" s="802">
        <v>5</v>
      </c>
      <c r="U17" s="802">
        <v>5</v>
      </c>
      <c r="V17" s="802">
        <v>5</v>
      </c>
      <c r="W17" s="802">
        <v>5</v>
      </c>
      <c r="X17" s="802">
        <v>5</v>
      </c>
      <c r="Y17" s="802">
        <v>5</v>
      </c>
    </row>
    <row r="18" spans="2:25" ht="14.25" outlineLevel="2">
      <c r="B18" s="719" t="s">
        <v>494</v>
      </c>
      <c r="C18" s="720"/>
      <c r="D18" s="721"/>
      <c r="E18" s="799">
        <v>46081</v>
      </c>
      <c r="F18" s="799">
        <v>46081</v>
      </c>
      <c r="G18" s="799">
        <v>46081</v>
      </c>
      <c r="H18" s="799">
        <f t="shared" ref="H18:P18" si="3">+EDATE(H16,2)</f>
        <v>46174</v>
      </c>
      <c r="I18" s="799">
        <f t="shared" si="3"/>
        <v>46204</v>
      </c>
      <c r="J18" s="799">
        <f t="shared" si="3"/>
        <v>46174</v>
      </c>
      <c r="K18" s="799">
        <f t="shared" si="3"/>
        <v>46174</v>
      </c>
      <c r="L18" s="799">
        <f t="shared" si="3"/>
        <v>46204</v>
      </c>
      <c r="M18" s="799">
        <f t="shared" si="3"/>
        <v>46204</v>
      </c>
      <c r="N18" s="799">
        <f t="shared" si="3"/>
        <v>46204</v>
      </c>
      <c r="O18" s="799">
        <f t="shared" si="3"/>
        <v>46235</v>
      </c>
      <c r="P18" s="799">
        <f t="shared" si="3"/>
        <v>46235</v>
      </c>
      <c r="Q18" s="799"/>
      <c r="T18" s="799">
        <v>46053</v>
      </c>
      <c r="U18" s="799">
        <v>46022</v>
      </c>
      <c r="V18" s="799">
        <v>46022</v>
      </c>
      <c r="W18" s="799">
        <v>46022</v>
      </c>
      <c r="X18" s="799">
        <v>46022</v>
      </c>
      <c r="Y18" s="799">
        <v>46053</v>
      </c>
    </row>
    <row r="19" spans="2:25" s="793" customFormat="1" ht="14.25" outlineLevel="2">
      <c r="B19" s="794" t="s">
        <v>495</v>
      </c>
      <c r="C19" s="798" t="s">
        <v>496</v>
      </c>
      <c r="D19" s="797"/>
      <c r="E19" s="799">
        <v>46173</v>
      </c>
      <c r="F19" s="799">
        <v>46173</v>
      </c>
      <c r="G19" s="799">
        <v>46173</v>
      </c>
      <c r="H19" s="799">
        <f>+EDATE(H16,5)</f>
        <v>46266</v>
      </c>
      <c r="I19" s="799">
        <f t="shared" ref="I19:P19" si="4">+EDATE(I16,5)</f>
        <v>46296</v>
      </c>
      <c r="J19" s="799">
        <f t="shared" si="4"/>
        <v>46266</v>
      </c>
      <c r="K19" s="799">
        <f t="shared" si="4"/>
        <v>46266</v>
      </c>
      <c r="L19" s="799">
        <f t="shared" si="4"/>
        <v>46296</v>
      </c>
      <c r="M19" s="799">
        <f t="shared" si="4"/>
        <v>46296</v>
      </c>
      <c r="N19" s="799">
        <f t="shared" si="4"/>
        <v>46296</v>
      </c>
      <c r="O19" s="799">
        <f t="shared" si="4"/>
        <v>46327</v>
      </c>
      <c r="P19" s="799">
        <f t="shared" si="4"/>
        <v>46327</v>
      </c>
      <c r="Q19" s="799">
        <v>46203</v>
      </c>
      <c r="T19" s="799">
        <v>46203</v>
      </c>
      <c r="U19" s="799">
        <v>46173</v>
      </c>
      <c r="V19" s="799">
        <v>46173</v>
      </c>
      <c r="W19" s="799">
        <v>46173</v>
      </c>
      <c r="X19" s="799">
        <v>46173</v>
      </c>
      <c r="Y19" s="799">
        <v>46203</v>
      </c>
    </row>
    <row r="20" spans="2:25" ht="14.25" outlineLevel="2">
      <c r="B20" s="719" t="s">
        <v>497</v>
      </c>
      <c r="C20" s="720" t="s">
        <v>304</v>
      </c>
      <c r="D20" s="721" t="s">
        <v>498</v>
      </c>
      <c r="E20" s="802">
        <v>20</v>
      </c>
      <c r="F20" s="802">
        <v>20</v>
      </c>
      <c r="G20" s="802">
        <v>20</v>
      </c>
      <c r="H20" s="802">
        <v>20</v>
      </c>
      <c r="I20" s="802">
        <v>20</v>
      </c>
      <c r="J20" s="802">
        <v>20</v>
      </c>
      <c r="K20" s="802">
        <v>20</v>
      </c>
      <c r="L20" s="802">
        <v>20</v>
      </c>
      <c r="M20" s="802">
        <v>20</v>
      </c>
      <c r="N20" s="802">
        <v>20</v>
      </c>
      <c r="O20" s="802">
        <v>20</v>
      </c>
      <c r="P20" s="802">
        <v>20</v>
      </c>
      <c r="Q20" s="802">
        <v>20</v>
      </c>
      <c r="T20" s="802">
        <v>20</v>
      </c>
      <c r="U20" s="802">
        <v>20</v>
      </c>
      <c r="V20" s="802">
        <v>20</v>
      </c>
      <c r="W20" s="802">
        <v>20</v>
      </c>
      <c r="X20" s="802">
        <v>20</v>
      </c>
      <c r="Y20" s="802">
        <v>20</v>
      </c>
    </row>
    <row r="21" spans="2:25" ht="14.25" outlineLevel="2">
      <c r="B21" s="719"/>
      <c r="C21" s="724"/>
      <c r="D21" s="725"/>
      <c r="E21" s="807"/>
      <c r="F21" s="807"/>
      <c r="G21" s="807"/>
      <c r="H21" s="807"/>
      <c r="I21" s="807"/>
      <c r="J21" s="807"/>
      <c r="K21" s="807"/>
      <c r="L21" s="807"/>
      <c r="M21" s="807"/>
      <c r="N21" s="807"/>
      <c r="O21" s="807"/>
      <c r="P21" s="807"/>
      <c r="Q21" s="807"/>
      <c r="T21" s="807"/>
      <c r="U21" s="807"/>
      <c r="V21" s="807"/>
      <c r="W21" s="807"/>
      <c r="X21" s="807"/>
      <c r="Y21" s="807"/>
    </row>
    <row r="22" spans="2:25" ht="14.25" outlineLevel="1">
      <c r="B22" s="719" t="s">
        <v>499</v>
      </c>
      <c r="C22" s="720" t="s">
        <v>500</v>
      </c>
      <c r="D22" s="721"/>
      <c r="E22" s="803" t="s">
        <v>501</v>
      </c>
      <c r="F22" s="803" t="s">
        <v>501</v>
      </c>
      <c r="G22" s="803" t="s">
        <v>501</v>
      </c>
      <c r="H22" s="803" t="s">
        <v>501</v>
      </c>
      <c r="I22" s="803" t="s">
        <v>501</v>
      </c>
      <c r="J22" s="803" t="s">
        <v>501</v>
      </c>
      <c r="K22" s="803" t="s">
        <v>501</v>
      </c>
      <c r="L22" s="803" t="s">
        <v>501</v>
      </c>
      <c r="M22" s="803" t="s">
        <v>501</v>
      </c>
      <c r="N22" s="803" t="s">
        <v>501</v>
      </c>
      <c r="O22" s="803" t="s">
        <v>501</v>
      </c>
      <c r="P22" s="803" t="s">
        <v>501</v>
      </c>
      <c r="Q22" s="803" t="s">
        <v>501</v>
      </c>
      <c r="T22" s="803" t="s">
        <v>501</v>
      </c>
      <c r="U22" s="803" t="s">
        <v>501</v>
      </c>
      <c r="V22" s="803" t="s">
        <v>501</v>
      </c>
      <c r="W22" s="803" t="s">
        <v>501</v>
      </c>
      <c r="X22" s="803" t="s">
        <v>501</v>
      </c>
      <c r="Y22" s="803" t="s">
        <v>501</v>
      </c>
    </row>
    <row r="23" spans="2:25" ht="14.25" outlineLevel="1">
      <c r="B23" s="719" t="s">
        <v>502</v>
      </c>
      <c r="C23" s="720" t="s">
        <v>500</v>
      </c>
      <c r="D23" s="721"/>
      <c r="E23" s="803" t="s">
        <v>501</v>
      </c>
      <c r="F23" s="803" t="s">
        <v>501</v>
      </c>
      <c r="G23" s="803" t="s">
        <v>501</v>
      </c>
      <c r="H23" s="803" t="s">
        <v>501</v>
      </c>
      <c r="I23" s="803" t="s">
        <v>501</v>
      </c>
      <c r="J23" s="803" t="s">
        <v>501</v>
      </c>
      <c r="K23" s="803" t="s">
        <v>501</v>
      </c>
      <c r="L23" s="803" t="s">
        <v>501</v>
      </c>
      <c r="M23" s="803" t="s">
        <v>501</v>
      </c>
      <c r="N23" s="803" t="s">
        <v>501</v>
      </c>
      <c r="O23" s="803" t="s">
        <v>501</v>
      </c>
      <c r="P23" s="803" t="s">
        <v>501</v>
      </c>
      <c r="Q23" s="803" t="s">
        <v>501</v>
      </c>
      <c r="T23" s="803" t="s">
        <v>501</v>
      </c>
      <c r="U23" s="803" t="s">
        <v>501</v>
      </c>
      <c r="V23" s="803" t="s">
        <v>501</v>
      </c>
      <c r="W23" s="803" t="s">
        <v>501</v>
      </c>
      <c r="X23" s="803" t="s">
        <v>501</v>
      </c>
      <c r="Y23" s="803" t="s">
        <v>501</v>
      </c>
    </row>
    <row r="24" spans="2:25" ht="14.25" outlineLevel="1">
      <c r="B24" s="719" t="s">
        <v>503</v>
      </c>
      <c r="C24" s="720" t="s">
        <v>504</v>
      </c>
      <c r="D24" s="721"/>
      <c r="E24" s="804">
        <f>+'CAPEX_Input_3,7HO(수정용)'!E22</f>
        <v>0.22578000000000001</v>
      </c>
      <c r="F24" s="804">
        <f>+'CAPEX_Input_3,7HO(수정용)'!E23</f>
        <v>0.54546499999999998</v>
      </c>
      <c r="G24" s="804">
        <f>+'CAPEX_Input_3,7HO(수정용)'!E24</f>
        <v>0.21081999999999998</v>
      </c>
      <c r="H24" s="804">
        <f>+'Input 기초'!F93/1000</f>
        <v>0.315</v>
      </c>
      <c r="I24" s="804">
        <f>+'Input 기초'!G93/1000</f>
        <v>0.99099999999999999</v>
      </c>
      <c r="J24" s="804">
        <f>+'Input 기초'!H93/1000</f>
        <v>1</v>
      </c>
      <c r="K24" s="804">
        <f>+'Input 기초'!I93/1000</f>
        <v>0.156</v>
      </c>
      <c r="L24" s="804">
        <f>+'Input 기초'!J93/1000</f>
        <v>0.17299999999999999</v>
      </c>
      <c r="M24" s="804">
        <f>+'Input 기초'!K93/1000</f>
        <v>0.22700000000000001</v>
      </c>
      <c r="N24" s="804">
        <f>+'Input 기초'!L93/1000</f>
        <v>0.23300000000000001</v>
      </c>
      <c r="O24" s="804">
        <f>+'Input 기초'!M93/1000</f>
        <v>0.23699999999999999</v>
      </c>
      <c r="P24" s="804">
        <f>+'Input 기초'!N93/1000</f>
        <v>0.16500000000000001</v>
      </c>
      <c r="Q24" s="804"/>
      <c r="R24" s="765"/>
      <c r="S24" s="765"/>
      <c r="T24" s="804">
        <f>+'CAPEX_Input_3,7HO(수정용)'!T40</f>
        <v>8.4744677000000004E-2</v>
      </c>
      <c r="U24" s="804">
        <f>+'CAPEX_Input_3,7HO(수정용)'!T33</f>
        <v>2.4285621E-2</v>
      </c>
      <c r="V24" s="804">
        <f>+'CAPEX_Input_3,7HO(수정용)'!T34</f>
        <v>3.6847296000000002E-2</v>
      </c>
      <c r="W24" s="804">
        <f>+'CAPEX_Input_3,7HO(수정용)'!T35</f>
        <v>1.9635E-2</v>
      </c>
      <c r="X24" s="804">
        <f>+'CAPEX_Input_3,7HO(수정용)'!T37</f>
        <v>1.1211799999999999E-2</v>
      </c>
      <c r="Y24" s="804">
        <f>+'CAPEX_Input_3,7HO(수정용)'!T41</f>
        <v>4.2398399999999996E-2</v>
      </c>
    </row>
    <row r="25" spans="2:25" ht="14.25" outlineLevel="1">
      <c r="B25" s="719" t="s">
        <v>505</v>
      </c>
      <c r="C25" s="720" t="s">
        <v>506</v>
      </c>
      <c r="D25" s="721"/>
      <c r="E25" s="805"/>
      <c r="F25" s="805"/>
      <c r="G25" s="805"/>
      <c r="H25" s="805"/>
      <c r="I25" s="805"/>
      <c r="J25" s="805"/>
      <c r="K25" s="805"/>
      <c r="L25" s="805"/>
      <c r="M25" s="805"/>
      <c r="N25" s="805"/>
      <c r="O25" s="805"/>
      <c r="P25" s="805"/>
      <c r="Q25" s="805"/>
      <c r="T25" s="805"/>
      <c r="U25" s="805"/>
      <c r="V25" s="805"/>
      <c r="W25" s="805"/>
      <c r="X25" s="805"/>
      <c r="Y25" s="805"/>
    </row>
    <row r="26" spans="2:25" ht="14.25" outlineLevel="1">
      <c r="B26" s="719" t="s">
        <v>507</v>
      </c>
      <c r="C26" s="720" t="s">
        <v>508</v>
      </c>
      <c r="D26" s="721"/>
      <c r="E26" s="806" t="e">
        <f>+E24/E25</f>
        <v>#DIV/0!</v>
      </c>
      <c r="F26" s="806" t="e">
        <f t="shared" ref="F26:M26" si="5">+F24/F25</f>
        <v>#DIV/0!</v>
      </c>
      <c r="G26" s="806" t="e">
        <f t="shared" si="5"/>
        <v>#DIV/0!</v>
      </c>
      <c r="H26" s="806" t="e">
        <f t="shared" si="5"/>
        <v>#DIV/0!</v>
      </c>
      <c r="I26" s="806" t="e">
        <f t="shared" si="5"/>
        <v>#DIV/0!</v>
      </c>
      <c r="J26" s="806" t="e">
        <f t="shared" si="5"/>
        <v>#DIV/0!</v>
      </c>
      <c r="K26" s="806" t="e">
        <f t="shared" si="5"/>
        <v>#DIV/0!</v>
      </c>
      <c r="L26" s="806" t="e">
        <f t="shared" si="5"/>
        <v>#DIV/0!</v>
      </c>
      <c r="M26" s="806" t="e">
        <f t="shared" si="5"/>
        <v>#DIV/0!</v>
      </c>
      <c r="N26" s="806" t="e">
        <f>+N24/N25</f>
        <v>#DIV/0!</v>
      </c>
      <c r="O26" s="806" t="e">
        <f>+O24/O25</f>
        <v>#DIV/0!</v>
      </c>
      <c r="P26" s="806" t="e">
        <f>+P24/P25</f>
        <v>#DIV/0!</v>
      </c>
      <c r="Q26" s="806" t="e">
        <f>+Q24/Q25</f>
        <v>#DIV/0!</v>
      </c>
      <c r="T26" s="806" t="e">
        <f t="shared" ref="T26:Y26" si="6">+T24/T25</f>
        <v>#DIV/0!</v>
      </c>
      <c r="U26" s="806" t="e">
        <f t="shared" si="6"/>
        <v>#DIV/0!</v>
      </c>
      <c r="V26" s="806" t="e">
        <f t="shared" si="6"/>
        <v>#DIV/0!</v>
      </c>
      <c r="W26" s="806" t="e">
        <f t="shared" si="6"/>
        <v>#DIV/0!</v>
      </c>
      <c r="X26" s="806" t="e">
        <f t="shared" si="6"/>
        <v>#DIV/0!</v>
      </c>
      <c r="Y26" s="806" t="e">
        <f t="shared" si="6"/>
        <v>#DIV/0!</v>
      </c>
    </row>
    <row r="27" spans="2:25" s="707" customFormat="1" ht="15">
      <c r="B27" s="709"/>
      <c r="C27" s="710"/>
      <c r="D27" s="711"/>
      <c r="E27" s="717"/>
      <c r="F27" s="717"/>
      <c r="G27" s="717"/>
      <c r="H27" s="717"/>
      <c r="I27" s="717"/>
      <c r="J27" s="717"/>
      <c r="K27" s="717"/>
      <c r="L27" s="717"/>
      <c r="M27" s="717"/>
      <c r="N27" s="717"/>
      <c r="O27" s="717"/>
      <c r="P27" s="717"/>
      <c r="Q27" s="778"/>
      <c r="T27" s="945"/>
      <c r="U27" s="945"/>
      <c r="V27" s="945"/>
      <c r="W27" s="945"/>
      <c r="X27" s="945"/>
      <c r="Y27" s="945"/>
    </row>
    <row r="28" spans="2:25" s="707" customFormat="1" ht="27.75" customHeight="1">
      <c r="B28" s="713" t="s">
        <v>509</v>
      </c>
      <c r="C28" s="714"/>
      <c r="D28" s="713"/>
      <c r="E28" s="715"/>
      <c r="F28" s="715"/>
      <c r="G28" s="715"/>
      <c r="H28" s="715"/>
      <c r="I28" s="715"/>
      <c r="J28" s="715"/>
      <c r="K28" s="715"/>
      <c r="L28" s="715"/>
      <c r="M28" s="715"/>
      <c r="N28" s="715"/>
      <c r="O28" s="715"/>
      <c r="P28" s="715"/>
      <c r="Q28" s="715"/>
      <c r="T28" s="944"/>
      <c r="U28" s="944"/>
      <c r="V28" s="944"/>
      <c r="W28" s="944"/>
      <c r="X28" s="944"/>
      <c r="Y28" s="944"/>
    </row>
    <row r="29" spans="2:25" s="707" customFormat="1" ht="15" outlineLevel="1">
      <c r="B29" s="709"/>
      <c r="C29" s="710"/>
      <c r="D29" s="711"/>
      <c r="E29" s="729"/>
      <c r="F29" s="729"/>
      <c r="G29" s="729"/>
      <c r="H29" s="729"/>
      <c r="I29" s="729"/>
      <c r="J29" s="729"/>
      <c r="K29" s="729"/>
      <c r="L29" s="729"/>
      <c r="M29" s="729"/>
      <c r="N29" s="729"/>
      <c r="O29" s="729"/>
      <c r="P29" s="729"/>
      <c r="Q29" s="729"/>
      <c r="T29" s="946"/>
      <c r="U29" s="946"/>
      <c r="V29" s="946"/>
      <c r="W29" s="946"/>
      <c r="X29" s="946"/>
      <c r="Y29" s="946"/>
    </row>
    <row r="30" spans="2:25" ht="14.25" outlineLevel="1">
      <c r="B30" s="730" t="s">
        <v>510</v>
      </c>
      <c r="C30" s="731"/>
      <c r="D30" s="732"/>
      <c r="E30" s="733"/>
      <c r="F30" s="733"/>
      <c r="G30" s="733"/>
      <c r="H30" s="733"/>
      <c r="I30" s="733"/>
      <c r="J30" s="733"/>
      <c r="K30" s="733"/>
      <c r="L30" s="733"/>
      <c r="M30" s="733"/>
      <c r="N30" s="733"/>
      <c r="O30" s="733"/>
      <c r="P30" s="733"/>
      <c r="Q30" s="733"/>
      <c r="T30" s="947"/>
      <c r="U30" s="947"/>
      <c r="V30" s="947"/>
      <c r="W30" s="947"/>
      <c r="X30" s="947"/>
      <c r="Y30" s="947"/>
    </row>
    <row r="31" spans="2:25" outlineLevel="1">
      <c r="B31" s="734" t="s">
        <v>511</v>
      </c>
      <c r="C31" s="720" t="s">
        <v>309</v>
      </c>
      <c r="D31" s="721"/>
      <c r="E31" s="808"/>
      <c r="F31" s="808"/>
      <c r="G31" s="808"/>
      <c r="H31" s="808"/>
      <c r="I31" s="808"/>
      <c r="J31" s="808"/>
      <c r="K31" s="808"/>
      <c r="L31" s="808"/>
      <c r="M31" s="808"/>
      <c r="N31" s="808"/>
      <c r="O31" s="808"/>
      <c r="P31" s="808"/>
      <c r="Q31" s="808"/>
      <c r="T31" s="808"/>
      <c r="U31" s="808"/>
      <c r="V31" s="808"/>
      <c r="W31" s="808"/>
      <c r="X31" s="808"/>
      <c r="Y31" s="808"/>
    </row>
    <row r="32" spans="2:25" outlineLevel="1">
      <c r="B32" s="734" t="s">
        <v>512</v>
      </c>
      <c r="C32" s="720" t="s">
        <v>309</v>
      </c>
      <c r="D32" s="721"/>
      <c r="E32" s="803"/>
      <c r="F32" s="803"/>
      <c r="G32" s="803"/>
      <c r="H32" s="803"/>
      <c r="I32" s="803"/>
      <c r="J32" s="803"/>
      <c r="K32" s="803"/>
      <c r="L32" s="803"/>
      <c r="M32" s="803"/>
      <c r="N32" s="803"/>
      <c r="O32" s="803"/>
      <c r="P32" s="803"/>
      <c r="Q32" s="803"/>
      <c r="T32" s="803"/>
      <c r="U32" s="803"/>
      <c r="V32" s="803"/>
      <c r="W32" s="803"/>
      <c r="X32" s="803"/>
      <c r="Y32" s="803"/>
    </row>
    <row r="33" spans="2:25" outlineLevel="1">
      <c r="B33" s="734" t="s">
        <v>513</v>
      </c>
      <c r="C33" s="720" t="s">
        <v>309</v>
      </c>
      <c r="D33" s="721"/>
      <c r="E33" s="803"/>
      <c r="F33" s="803"/>
      <c r="G33" s="803"/>
      <c r="H33" s="803"/>
      <c r="I33" s="803"/>
      <c r="J33" s="803"/>
      <c r="K33" s="803"/>
      <c r="L33" s="803"/>
      <c r="M33" s="803"/>
      <c r="N33" s="803"/>
      <c r="O33" s="803"/>
      <c r="P33" s="803"/>
      <c r="Q33" s="803"/>
      <c r="T33" s="803"/>
      <c r="U33" s="803"/>
      <c r="V33" s="803"/>
      <c r="W33" s="803"/>
      <c r="X33" s="803"/>
      <c r="Y33" s="803"/>
    </row>
    <row r="34" spans="2:25" outlineLevel="1">
      <c r="B34" s="735"/>
      <c r="C34" s="724"/>
      <c r="D34" s="725"/>
      <c r="E34" s="727"/>
      <c r="F34" s="727"/>
      <c r="G34" s="727"/>
      <c r="H34" s="727"/>
      <c r="I34" s="727"/>
      <c r="J34" s="727"/>
      <c r="K34" s="727"/>
      <c r="L34" s="727"/>
      <c r="M34" s="727"/>
      <c r="N34" s="727"/>
      <c r="O34" s="727"/>
      <c r="P34" s="727"/>
      <c r="Q34" s="727"/>
      <c r="T34" s="807"/>
      <c r="U34" s="807"/>
      <c r="V34" s="807"/>
      <c r="W34" s="807"/>
      <c r="X34" s="807"/>
      <c r="Y34" s="807"/>
    </row>
    <row r="35" spans="2:25" ht="14.25" outlineLevel="1">
      <c r="B35" s="730" t="s">
        <v>514</v>
      </c>
      <c r="C35" s="731"/>
      <c r="D35" s="732"/>
      <c r="E35" s="733"/>
      <c r="F35" s="733"/>
      <c r="G35" s="733"/>
      <c r="H35" s="733"/>
      <c r="I35" s="733"/>
      <c r="J35" s="733"/>
      <c r="K35" s="733"/>
      <c r="L35" s="733"/>
      <c r="M35" s="733"/>
      <c r="N35" s="733"/>
      <c r="O35" s="733"/>
      <c r="P35" s="733"/>
      <c r="Q35" s="733"/>
      <c r="T35" s="947"/>
      <c r="U35" s="947"/>
      <c r="V35" s="947"/>
      <c r="W35" s="947"/>
      <c r="X35" s="947"/>
      <c r="Y35" s="947"/>
    </row>
    <row r="36" spans="2:25" outlineLevel="1">
      <c r="B36" s="735" t="s">
        <v>511</v>
      </c>
      <c r="C36" s="720" t="s">
        <v>515</v>
      </c>
      <c r="D36" s="721"/>
      <c r="E36" s="809">
        <f>+'CAPEX_Input_3,7HO(수정용)'!G22/365</f>
        <v>3.6986301369863015</v>
      </c>
      <c r="F36" s="809">
        <f>+'CAPEX_Input_3,7HO(수정용)'!G23/365</f>
        <v>3.8575342465753426</v>
      </c>
      <c r="G36" s="809">
        <f>+'CAPEX_Input_3,7HO(수정용)'!G24/365</f>
        <v>3.9808219178082194</v>
      </c>
      <c r="H36" s="809">
        <v>3.9205479452054797</v>
      </c>
      <c r="I36" s="809">
        <v>4.0410958904109586</v>
      </c>
      <c r="J36" s="809">
        <v>3.9342465753424656</v>
      </c>
      <c r="K36" s="809">
        <v>3.7972602739726029</v>
      </c>
      <c r="L36" s="809">
        <v>4.0602739726027401</v>
      </c>
      <c r="M36" s="809">
        <v>3.8547945205479452</v>
      </c>
      <c r="N36" s="809">
        <v>3.8273972602739725</v>
      </c>
      <c r="O36" s="809">
        <v>3.9205479452054797</v>
      </c>
      <c r="P36" s="809">
        <v>3.6904109589041094</v>
      </c>
      <c r="Q36" s="809">
        <f>+'CAPEX_Input_3,7HO(수정용)'!G44/365</f>
        <v>3.8630136986301369</v>
      </c>
      <c r="T36" s="809">
        <f>+'CAPEX_Input_3,7HO(수정용)'!V40/365</f>
        <v>0</v>
      </c>
      <c r="U36" s="809">
        <f>+'CAPEX_Input_3,7HO(수정용)'!V33/365</f>
        <v>0</v>
      </c>
      <c r="V36" s="809">
        <f>+'CAPEX_Input_3,7HO(수정용)'!V34/365</f>
        <v>0</v>
      </c>
      <c r="W36" s="809">
        <f>+'CAPEX_Input_3,7HO(수정용)'!V35/365</f>
        <v>0</v>
      </c>
      <c r="X36" s="809">
        <f>+'CAPEX_Input_3,7HO(수정용)'!V37/365</f>
        <v>0</v>
      </c>
      <c r="Y36" s="809">
        <f>+'CAPEX_Input_3,7HO(수정용)'!V41/365</f>
        <v>0</v>
      </c>
    </row>
    <row r="37" spans="2:25" outlineLevel="1">
      <c r="B37" s="735" t="s">
        <v>512</v>
      </c>
      <c r="C37" s="720" t="s">
        <v>515</v>
      </c>
      <c r="D37" s="721"/>
      <c r="E37" s="803"/>
      <c r="F37" s="803"/>
      <c r="G37" s="803"/>
      <c r="H37" s="803"/>
      <c r="I37" s="803"/>
      <c r="J37" s="803"/>
      <c r="K37" s="803"/>
      <c r="L37" s="803"/>
      <c r="M37" s="803"/>
      <c r="N37" s="803"/>
      <c r="O37" s="803"/>
      <c r="P37" s="803"/>
      <c r="Q37" s="803"/>
      <c r="T37" s="803"/>
      <c r="U37" s="803"/>
      <c r="V37" s="803"/>
      <c r="W37" s="803"/>
      <c r="X37" s="803"/>
      <c r="Y37" s="803"/>
    </row>
    <row r="38" spans="2:25" outlineLevel="1">
      <c r="B38" s="735" t="s">
        <v>513</v>
      </c>
      <c r="C38" s="720" t="s">
        <v>515</v>
      </c>
      <c r="D38" s="721"/>
      <c r="E38" s="803"/>
      <c r="F38" s="803"/>
      <c r="G38" s="803"/>
      <c r="H38" s="803"/>
      <c r="I38" s="803"/>
      <c r="J38" s="803"/>
      <c r="K38" s="803"/>
      <c r="L38" s="803"/>
      <c r="M38" s="803"/>
      <c r="N38" s="803"/>
      <c r="O38" s="803"/>
      <c r="P38" s="803"/>
      <c r="Q38" s="803"/>
      <c r="T38" s="803"/>
      <c r="U38" s="803"/>
      <c r="V38" s="803"/>
      <c r="W38" s="803"/>
      <c r="X38" s="803"/>
      <c r="Y38" s="803"/>
    </row>
    <row r="39" spans="2:25" outlineLevel="1">
      <c r="B39" s="735"/>
      <c r="C39" s="724"/>
      <c r="D39" s="725"/>
      <c r="E39" s="727"/>
      <c r="F39" s="727"/>
      <c r="G39" s="727"/>
      <c r="H39" s="727"/>
      <c r="I39" s="727"/>
      <c r="J39" s="727"/>
      <c r="K39" s="727"/>
      <c r="L39" s="727"/>
      <c r="M39" s="727"/>
      <c r="N39" s="727"/>
      <c r="O39" s="727"/>
      <c r="P39" s="727"/>
      <c r="Q39" s="727"/>
      <c r="T39" s="807"/>
      <c r="U39" s="807"/>
      <c r="V39" s="807"/>
      <c r="W39" s="807"/>
      <c r="X39" s="807"/>
      <c r="Y39" s="807"/>
    </row>
    <row r="40" spans="2:25" ht="14.25" outlineLevel="1">
      <c r="B40" s="730" t="s">
        <v>509</v>
      </c>
      <c r="C40" s="731"/>
      <c r="D40" s="732"/>
      <c r="E40" s="736"/>
      <c r="F40" s="736"/>
      <c r="G40" s="736"/>
      <c r="H40" s="736"/>
      <c r="I40" s="736"/>
      <c r="J40" s="736"/>
      <c r="K40" s="736"/>
      <c r="L40" s="736"/>
      <c r="M40" s="736"/>
      <c r="N40" s="736"/>
      <c r="O40" s="736"/>
      <c r="P40" s="736"/>
      <c r="Q40" s="736"/>
      <c r="T40" s="948"/>
      <c r="U40" s="948"/>
      <c r="V40" s="948"/>
      <c r="W40" s="948"/>
      <c r="X40" s="948"/>
      <c r="Y40" s="948"/>
    </row>
    <row r="41" spans="2:25" outlineLevel="1">
      <c r="B41" s="735" t="s">
        <v>511</v>
      </c>
      <c r="C41" s="720" t="s">
        <v>516</v>
      </c>
      <c r="D41" s="721"/>
      <c r="E41" s="809">
        <f>+E24*E36*365</f>
        <v>304.80300000000005</v>
      </c>
      <c r="F41" s="809">
        <f t="shared" ref="F41:M41" si="7">+F24*F36*365</f>
        <v>768.01472000000001</v>
      </c>
      <c r="G41" s="809">
        <f t="shared" si="7"/>
        <v>306.32146</v>
      </c>
      <c r="H41" s="809">
        <f t="shared" si="7"/>
        <v>450.76500000000004</v>
      </c>
      <c r="I41" s="809">
        <f t="shared" si="7"/>
        <v>1461.7249999999999</v>
      </c>
      <c r="J41" s="809">
        <f t="shared" si="7"/>
        <v>1436</v>
      </c>
      <c r="K41" s="809">
        <f t="shared" si="7"/>
        <v>216.21600000000001</v>
      </c>
      <c r="L41" s="809">
        <f t="shared" si="7"/>
        <v>256.38600000000002</v>
      </c>
      <c r="M41" s="809">
        <f t="shared" si="7"/>
        <v>319.38900000000001</v>
      </c>
      <c r="N41" s="809">
        <f>+N24*N36*365</f>
        <v>325.50100000000003</v>
      </c>
      <c r="O41" s="809">
        <f>+O24*O36*365</f>
        <v>339.14699999999999</v>
      </c>
      <c r="P41" s="809">
        <f>+P24*P36*365</f>
        <v>222.255</v>
      </c>
      <c r="Q41" s="809">
        <f>+Q24*Q36*365</f>
        <v>0</v>
      </c>
      <c r="T41" s="809">
        <f t="shared" ref="T41:Y41" si="8">+T24*T36*365</f>
        <v>0</v>
      </c>
      <c r="U41" s="809">
        <f t="shared" si="8"/>
        <v>0</v>
      </c>
      <c r="V41" s="809">
        <f t="shared" si="8"/>
        <v>0</v>
      </c>
      <c r="W41" s="809">
        <f t="shared" si="8"/>
        <v>0</v>
      </c>
      <c r="X41" s="809">
        <f t="shared" si="8"/>
        <v>0</v>
      </c>
      <c r="Y41" s="809">
        <f t="shared" si="8"/>
        <v>0</v>
      </c>
    </row>
    <row r="42" spans="2:25" outlineLevel="1">
      <c r="B42" s="735" t="s">
        <v>512</v>
      </c>
      <c r="C42" s="720" t="s">
        <v>516</v>
      </c>
      <c r="D42" s="721"/>
      <c r="E42" s="803"/>
      <c r="F42" s="803"/>
      <c r="G42" s="803"/>
      <c r="H42" s="803"/>
      <c r="I42" s="803"/>
      <c r="J42" s="803"/>
      <c r="K42" s="803"/>
      <c r="L42" s="803"/>
      <c r="M42" s="803"/>
      <c r="N42" s="803"/>
      <c r="O42" s="803"/>
      <c r="P42" s="803"/>
      <c r="Q42" s="803"/>
      <c r="T42" s="803"/>
      <c r="U42" s="803"/>
      <c r="V42" s="803"/>
      <c r="W42" s="803"/>
      <c r="X42" s="803"/>
      <c r="Y42" s="803"/>
    </row>
    <row r="43" spans="2:25" ht="14.25" outlineLevel="1">
      <c r="B43" s="737" t="s">
        <v>517</v>
      </c>
      <c r="C43" s="720" t="s">
        <v>518</v>
      </c>
      <c r="D43" s="721"/>
      <c r="E43" s="802"/>
      <c r="F43" s="802"/>
      <c r="G43" s="802"/>
      <c r="H43" s="802"/>
      <c r="I43" s="802"/>
      <c r="J43" s="802"/>
      <c r="K43" s="802"/>
      <c r="L43" s="802"/>
      <c r="M43" s="802"/>
      <c r="N43" s="802"/>
      <c r="O43" s="802"/>
      <c r="P43" s="802"/>
      <c r="Q43" s="802"/>
      <c r="T43" s="802"/>
      <c r="U43" s="802"/>
      <c r="V43" s="802"/>
      <c r="W43" s="802"/>
      <c r="X43" s="802"/>
      <c r="Y43" s="802"/>
    </row>
    <row r="44" spans="2:25" outlineLevel="1">
      <c r="B44" s="735"/>
      <c r="C44" s="724"/>
      <c r="D44" s="725"/>
      <c r="E44" s="738"/>
      <c r="F44" s="738"/>
      <c r="G44" s="738"/>
      <c r="H44" s="738"/>
      <c r="I44" s="738"/>
      <c r="J44" s="738"/>
      <c r="K44" s="738"/>
      <c r="L44" s="738"/>
      <c r="M44" s="738"/>
      <c r="N44" s="738"/>
      <c r="O44" s="738"/>
      <c r="P44" s="738"/>
      <c r="Q44" s="738"/>
      <c r="T44" s="949"/>
      <c r="U44" s="949"/>
      <c r="V44" s="949"/>
      <c r="W44" s="949"/>
      <c r="X44" s="949"/>
      <c r="Y44" s="949"/>
    </row>
    <row r="45" spans="2:25" outlineLevel="1">
      <c r="B45" s="735" t="s">
        <v>519</v>
      </c>
      <c r="C45" s="720" t="s">
        <v>309</v>
      </c>
      <c r="D45" s="721"/>
      <c r="E45" s="810"/>
      <c r="F45" s="810"/>
      <c r="G45" s="810"/>
      <c r="H45" s="810"/>
      <c r="I45" s="810"/>
      <c r="J45" s="810"/>
      <c r="K45" s="810"/>
      <c r="L45" s="810"/>
      <c r="M45" s="810"/>
      <c r="N45" s="810"/>
      <c r="O45" s="810"/>
      <c r="P45" s="810"/>
      <c r="Q45" s="810"/>
      <c r="T45" s="810"/>
      <c r="U45" s="810"/>
      <c r="V45" s="810"/>
      <c r="W45" s="810"/>
      <c r="X45" s="810"/>
      <c r="Y45" s="810"/>
    </row>
    <row r="46" spans="2:25" outlineLevel="1">
      <c r="B46" s="735"/>
      <c r="C46" s="724"/>
      <c r="D46" s="725"/>
      <c r="E46" s="738"/>
      <c r="F46" s="738"/>
      <c r="G46" s="738"/>
      <c r="H46" s="738"/>
      <c r="I46" s="738"/>
      <c r="J46" s="738"/>
      <c r="K46" s="738"/>
      <c r="L46" s="738"/>
      <c r="M46" s="738"/>
      <c r="N46" s="738"/>
      <c r="O46" s="738"/>
      <c r="P46" s="738"/>
      <c r="Q46" s="738"/>
      <c r="T46" s="949"/>
      <c r="U46" s="949"/>
      <c r="V46" s="949"/>
      <c r="W46" s="949"/>
      <c r="X46" s="949"/>
      <c r="Y46" s="949"/>
    </row>
    <row r="47" spans="2:25" outlineLevel="1">
      <c r="B47" s="735" t="s">
        <v>520</v>
      </c>
      <c r="C47" s="720" t="s">
        <v>309</v>
      </c>
      <c r="D47" s="721"/>
      <c r="E47" s="803"/>
      <c r="F47" s="803"/>
      <c r="G47" s="803"/>
      <c r="H47" s="803"/>
      <c r="I47" s="803"/>
      <c r="J47" s="803"/>
      <c r="K47" s="803"/>
      <c r="L47" s="803"/>
      <c r="M47" s="803"/>
      <c r="N47" s="803"/>
      <c r="O47" s="803"/>
      <c r="P47" s="803"/>
      <c r="Q47" s="803"/>
      <c r="T47" s="803"/>
      <c r="U47" s="803"/>
      <c r="V47" s="803"/>
      <c r="W47" s="803"/>
      <c r="X47" s="803"/>
      <c r="Y47" s="803"/>
    </row>
    <row r="48" spans="2:25" outlineLevel="1">
      <c r="B48" s="735" t="s">
        <v>521</v>
      </c>
      <c r="C48" s="720" t="s">
        <v>309</v>
      </c>
      <c r="D48" s="721"/>
      <c r="E48" s="803"/>
      <c r="F48" s="803"/>
      <c r="G48" s="803"/>
      <c r="H48" s="803"/>
      <c r="I48" s="803"/>
      <c r="J48" s="803"/>
      <c r="K48" s="803"/>
      <c r="L48" s="803"/>
      <c r="M48" s="803"/>
      <c r="N48" s="803"/>
      <c r="O48" s="803"/>
      <c r="P48" s="803"/>
      <c r="Q48" s="803"/>
      <c r="T48" s="803"/>
      <c r="U48" s="803"/>
      <c r="V48" s="803"/>
      <c r="W48" s="803"/>
      <c r="X48" s="803"/>
      <c r="Y48" s="803"/>
    </row>
    <row r="49" spans="2:25" outlineLevel="1">
      <c r="B49" s="735" t="s">
        <v>522</v>
      </c>
      <c r="C49" s="720" t="s">
        <v>309</v>
      </c>
      <c r="D49" s="721" t="s">
        <v>498</v>
      </c>
      <c r="E49" s="811">
        <v>2E-3</v>
      </c>
      <c r="F49" s="811">
        <v>2E-3</v>
      </c>
      <c r="G49" s="811">
        <v>2E-3</v>
      </c>
      <c r="H49" s="811">
        <v>4.0000000000000001E-3</v>
      </c>
      <c r="I49" s="811">
        <v>4.0000000000000001E-3</v>
      </c>
      <c r="J49" s="811">
        <v>4.0000000000000001E-3</v>
      </c>
      <c r="K49" s="811">
        <v>4.0000000000000001E-3</v>
      </c>
      <c r="L49" s="811">
        <v>4.0000000000000001E-3</v>
      </c>
      <c r="M49" s="811">
        <v>4.0000000000000001E-3</v>
      </c>
      <c r="N49" s="811">
        <v>4.0000000000000001E-3</v>
      </c>
      <c r="O49" s="811">
        <v>4.0000000000000001E-3</v>
      </c>
      <c r="P49" s="811">
        <v>4.0000000000000001E-3</v>
      </c>
      <c r="Q49" s="811">
        <v>2E-3</v>
      </c>
      <c r="T49" s="811">
        <v>2E-3</v>
      </c>
      <c r="U49" s="811">
        <v>2E-3</v>
      </c>
      <c r="V49" s="811">
        <v>2E-3</v>
      </c>
      <c r="W49" s="811">
        <v>2E-3</v>
      </c>
      <c r="X49" s="811">
        <v>2E-3</v>
      </c>
      <c r="Y49" s="811">
        <v>2E-3</v>
      </c>
    </row>
    <row r="50" spans="2:25" outlineLevel="1">
      <c r="B50" s="735"/>
      <c r="C50" s="724"/>
      <c r="D50" s="725"/>
      <c r="E50" s="739"/>
      <c r="F50" s="739"/>
      <c r="G50" s="739"/>
      <c r="H50" s="739"/>
      <c r="I50" s="739"/>
      <c r="J50" s="739"/>
      <c r="K50" s="739"/>
      <c r="L50" s="739"/>
      <c r="M50" s="739"/>
      <c r="N50" s="739"/>
      <c r="O50" s="739"/>
      <c r="P50" s="739"/>
      <c r="Q50" s="739"/>
      <c r="T50" s="950"/>
      <c r="U50" s="950"/>
      <c r="V50" s="950"/>
      <c r="W50" s="950"/>
      <c r="X50" s="950"/>
      <c r="Y50" s="950"/>
    </row>
    <row r="51" spans="2:25" outlineLevel="1">
      <c r="B51" s="735" t="s">
        <v>523</v>
      </c>
      <c r="C51" s="720" t="s">
        <v>309</v>
      </c>
      <c r="D51" s="721"/>
      <c r="E51" s="812">
        <v>0.02</v>
      </c>
      <c r="F51" s="812">
        <v>0.02</v>
      </c>
      <c r="G51" s="812">
        <v>0.02</v>
      </c>
      <c r="H51" s="812">
        <v>0.02</v>
      </c>
      <c r="I51" s="812">
        <v>0.02</v>
      </c>
      <c r="J51" s="812">
        <v>0.02</v>
      </c>
      <c r="K51" s="812">
        <v>0.02</v>
      </c>
      <c r="L51" s="812">
        <v>0.02</v>
      </c>
      <c r="M51" s="812">
        <v>0.02</v>
      </c>
      <c r="N51" s="812">
        <v>0.02</v>
      </c>
      <c r="O51" s="812">
        <v>0.02</v>
      </c>
      <c r="P51" s="812">
        <v>0.02</v>
      </c>
      <c r="Q51" s="812">
        <v>0.02</v>
      </c>
      <c r="T51" s="812">
        <v>0.02</v>
      </c>
      <c r="U51" s="812">
        <v>0.02</v>
      </c>
      <c r="V51" s="812">
        <v>0.02</v>
      </c>
      <c r="W51" s="812">
        <v>0.02</v>
      </c>
      <c r="X51" s="812">
        <v>0.02</v>
      </c>
      <c r="Y51" s="812">
        <v>0.02</v>
      </c>
    </row>
    <row r="52" spans="2:25" outlineLevel="1">
      <c r="B52" s="735"/>
      <c r="C52" s="724"/>
      <c r="D52" s="725"/>
      <c r="E52" s="727"/>
      <c r="F52" s="727"/>
      <c r="G52" s="727"/>
      <c r="H52" s="727"/>
      <c r="I52" s="727"/>
      <c r="J52" s="727"/>
      <c r="K52" s="727"/>
      <c r="L52" s="727"/>
      <c r="M52" s="727"/>
      <c r="N52" s="727"/>
      <c r="O52" s="727"/>
      <c r="P52" s="727"/>
      <c r="Q52" s="727"/>
      <c r="T52" s="807"/>
      <c r="U52" s="807"/>
      <c r="V52" s="807"/>
      <c r="W52" s="807"/>
      <c r="X52" s="807"/>
      <c r="Y52" s="807"/>
    </row>
    <row r="53" spans="2:25" outlineLevel="1">
      <c r="B53" s="735" t="s">
        <v>524</v>
      </c>
      <c r="C53" s="720" t="s">
        <v>309</v>
      </c>
      <c r="D53" s="721"/>
      <c r="E53" s="803"/>
      <c r="F53" s="803"/>
      <c r="G53" s="803"/>
      <c r="H53" s="803"/>
      <c r="I53" s="803"/>
      <c r="J53" s="803"/>
      <c r="K53" s="803"/>
      <c r="L53" s="803"/>
      <c r="M53" s="803"/>
      <c r="N53" s="803"/>
      <c r="O53" s="803"/>
      <c r="P53" s="803"/>
      <c r="Q53" s="803"/>
      <c r="T53" s="803"/>
      <c r="U53" s="803"/>
      <c r="V53" s="803"/>
      <c r="W53" s="803"/>
      <c r="X53" s="803"/>
      <c r="Y53" s="803"/>
    </row>
    <row r="54" spans="2:25" outlineLevel="1">
      <c r="B54" s="735"/>
      <c r="C54" s="724"/>
      <c r="D54" s="725"/>
      <c r="E54" s="727"/>
      <c r="F54" s="727"/>
      <c r="G54" s="727"/>
      <c r="H54" s="727"/>
      <c r="I54" s="727"/>
      <c r="J54" s="727"/>
      <c r="K54" s="727"/>
      <c r="L54" s="727"/>
      <c r="M54" s="727"/>
      <c r="N54" s="727"/>
      <c r="O54" s="727"/>
      <c r="P54" s="727"/>
      <c r="Q54" s="727"/>
      <c r="T54" s="807"/>
      <c r="U54" s="807"/>
      <c r="V54" s="807"/>
      <c r="W54" s="807"/>
      <c r="X54" s="807"/>
      <c r="Y54" s="807"/>
    </row>
    <row r="55" spans="2:25" outlineLevel="1">
      <c r="B55" s="735" t="s">
        <v>525</v>
      </c>
      <c r="C55" s="720" t="s">
        <v>309</v>
      </c>
      <c r="D55" s="721"/>
      <c r="E55" s="803"/>
      <c r="F55" s="803"/>
      <c r="G55" s="803"/>
      <c r="H55" s="803"/>
      <c r="I55" s="803"/>
      <c r="J55" s="803"/>
      <c r="K55" s="803"/>
      <c r="L55" s="803"/>
      <c r="M55" s="803"/>
      <c r="N55" s="803"/>
      <c r="O55" s="803"/>
      <c r="P55" s="803"/>
      <c r="Q55" s="803"/>
      <c r="T55" s="803"/>
      <c r="U55" s="803"/>
      <c r="V55" s="803"/>
      <c r="W55" s="803"/>
      <c r="X55" s="803"/>
      <c r="Y55" s="803"/>
    </row>
    <row r="56" spans="2:25" s="707" customFormat="1" ht="15">
      <c r="B56" s="709"/>
      <c r="C56" s="710"/>
      <c r="D56" s="711"/>
      <c r="E56" s="717"/>
      <c r="F56" s="717"/>
      <c r="G56" s="717"/>
      <c r="H56" s="717"/>
      <c r="I56" s="717"/>
      <c r="J56" s="717"/>
      <c r="K56" s="717"/>
      <c r="L56" s="717"/>
      <c r="M56" s="717"/>
      <c r="N56" s="717"/>
      <c r="O56" s="717"/>
      <c r="P56" s="717"/>
      <c r="Q56" s="717"/>
      <c r="T56" s="945"/>
      <c r="U56" s="945"/>
      <c r="V56" s="945"/>
      <c r="W56" s="945"/>
      <c r="X56" s="945"/>
      <c r="Y56" s="945"/>
    </row>
    <row r="57" spans="2:25" s="707" customFormat="1" ht="27.75" customHeight="1">
      <c r="B57" s="713" t="s">
        <v>526</v>
      </c>
      <c r="C57" s="714"/>
      <c r="D57" s="714" t="s">
        <v>527</v>
      </c>
      <c r="E57" s="715" t="s">
        <v>528</v>
      </c>
      <c r="F57" s="715" t="s">
        <v>528</v>
      </c>
      <c r="G57" s="715" t="s">
        <v>528</v>
      </c>
      <c r="H57" s="715" t="s">
        <v>528</v>
      </c>
      <c r="I57" s="715" t="s">
        <v>528</v>
      </c>
      <c r="J57" s="715" t="s">
        <v>528</v>
      </c>
      <c r="K57" s="715" t="s">
        <v>528</v>
      </c>
      <c r="L57" s="715" t="s">
        <v>528</v>
      </c>
      <c r="M57" s="715" t="s">
        <v>528</v>
      </c>
      <c r="N57" s="715" t="s">
        <v>528</v>
      </c>
      <c r="O57" s="715" t="s">
        <v>528</v>
      </c>
      <c r="P57" s="715" t="s">
        <v>528</v>
      </c>
      <c r="Q57" s="715" t="s">
        <v>528</v>
      </c>
      <c r="T57" s="944" t="s">
        <v>528</v>
      </c>
      <c r="U57" s="944" t="s">
        <v>528</v>
      </c>
      <c r="V57" s="944" t="s">
        <v>528</v>
      </c>
      <c r="W57" s="944" t="s">
        <v>528</v>
      </c>
      <c r="X57" s="944" t="s">
        <v>528</v>
      </c>
      <c r="Y57" s="944" t="s">
        <v>528</v>
      </c>
    </row>
    <row r="58" spans="2:25" outlineLevel="1">
      <c r="B58" s="735"/>
      <c r="D58" s="1047"/>
      <c r="E58" s="1044"/>
      <c r="F58" s="1044"/>
      <c r="G58" s="1044"/>
      <c r="H58" s="741"/>
      <c r="I58" s="741"/>
      <c r="J58" s="741">
        <f t="shared" ref="J58:M58" si="9">+J61+J106+IFERROR(J125,0)</f>
        <v>58500000</v>
      </c>
      <c r="K58" s="741">
        <f t="shared" si="9"/>
        <v>9126000</v>
      </c>
      <c r="L58" s="741">
        <f t="shared" si="9"/>
        <v>10120500</v>
      </c>
      <c r="M58" s="741">
        <f t="shared" si="9"/>
        <v>13279500</v>
      </c>
      <c r="N58" s="741" t="e">
        <f>+'[6]O&amp;M'!N14</f>
        <v>#REF!</v>
      </c>
      <c r="O58" s="741" t="e">
        <f>+'[6]O&amp;M'!O14</f>
        <v>#REF!</v>
      </c>
      <c r="P58" s="741" t="e">
        <f>+'[6]O&amp;M'!P14</f>
        <v>#REF!</v>
      </c>
      <c r="Q58" s="741" t="e">
        <f>+'[6]O&amp;M'!Q14</f>
        <v>#REF!</v>
      </c>
      <c r="T58" s="951" t="e">
        <f>+'[6]O&amp;M'!T14</f>
        <v>#REF!</v>
      </c>
      <c r="U58" s="951"/>
      <c r="V58" s="951"/>
      <c r="W58" s="951"/>
      <c r="X58" s="951"/>
      <c r="Y58" s="951">
        <f>+Y61+Y106+IFERROR(Y125,0)</f>
        <v>0</v>
      </c>
    </row>
    <row r="59" spans="2:25" ht="16.5" customHeight="1" outlineLevel="1">
      <c r="B59" s="730" t="s">
        <v>529</v>
      </c>
      <c r="C59" s="742"/>
      <c r="D59" s="743"/>
      <c r="E59" s="775" t="b">
        <f>+E61+E70+E88+E106+E115+E125+E134+E143+E152='Input 기초'!F21</f>
        <v>1</v>
      </c>
      <c r="F59" s="775" t="b">
        <f>+F61+F70+F88+F106+F115+F125+F134+F143+F152='Input 기초'!G21</f>
        <v>1</v>
      </c>
      <c r="G59" s="775" t="b">
        <f>+G61+G70+G88+G106+G115+G125+G134+G143+G152='Input 기초'!H21</f>
        <v>1</v>
      </c>
      <c r="H59" s="775" t="b">
        <f>+H61+H70+H88+H106+H115+H125+H134+H143+H152='Input 기초'!F95</f>
        <v>1</v>
      </c>
      <c r="I59" s="775" t="b">
        <f>+I61+I70+I88+I106+I115+I125+I134+I143+I152='Input 기초'!G95</f>
        <v>1</v>
      </c>
      <c r="J59" s="775" t="b">
        <f>+J61+J70+J88+J106+J115+J125+J134+J143+J152='Input 기초'!H95</f>
        <v>1</v>
      </c>
      <c r="K59" s="775" t="b">
        <f>+K61+K70+K88+K106+K115+K125+K134+K143+K152='Input 기초'!I95</f>
        <v>1</v>
      </c>
      <c r="L59" s="775" t="b">
        <f>+L61+L70+L88+L106+L115+L125+L134+L143+L152='Input 기초'!J95</f>
        <v>1</v>
      </c>
      <c r="M59" s="775" t="b">
        <f>+M61+M70+M88+M106+M115+M125+M134+M143+M152='Input 기초'!K95</f>
        <v>1</v>
      </c>
      <c r="N59" s="775" t="b">
        <f>+N61+N70+N88+N106+N115+N125+N134+N143+N152='Input 기초'!L95</f>
        <v>1</v>
      </c>
      <c r="O59" s="775" t="b">
        <f>+O61+O70+O88+O106+O115+O125+O134+O143+O152='Input 기초'!M95</f>
        <v>1</v>
      </c>
      <c r="P59" s="775" t="b">
        <f>+P61+P70+P88+P106+P115+P125+P134+P143+P152='Input 기초'!N95</f>
        <v>1</v>
      </c>
      <c r="Q59" s="775"/>
      <c r="T59" s="952" t="b">
        <f>+T61+T70+T88+T106+T115+T125+T134+T143+T152='Input 기초'!U70</f>
        <v>1</v>
      </c>
      <c r="U59" s="952" t="b">
        <f>+U61+U70+U88+U106+U115+U125+U134+U143+U152='Input 기초'!V70</f>
        <v>1</v>
      </c>
      <c r="V59" s="952" t="b">
        <f>+V61+V70+V88+V106+V115+V125+V134+V143+V152='Input 기초'!W70</f>
        <v>1</v>
      </c>
      <c r="W59" s="952" t="b">
        <f>+W61+W70+W88+W106+W115+W125+W134+W143+W152='Input 기초'!X70</f>
        <v>1</v>
      </c>
      <c r="X59" s="952" t="b">
        <f>+X61+X70+X88+X106+X115+X125+X134+X143+X152='Input 기초'!Y70</f>
        <v>1</v>
      </c>
      <c r="Y59" s="952" t="b">
        <f>+Y61+Y70+Y88+Y106+Y115+Y125+Y134+Y143+Y152='Input 기초'!Z70</f>
        <v>1</v>
      </c>
    </row>
    <row r="60" spans="2:25" ht="16.5" customHeight="1" outlineLevel="1">
      <c r="B60" s="735" t="s">
        <v>487</v>
      </c>
      <c r="E60" s="801"/>
      <c r="F60" s="801"/>
      <c r="G60" s="801"/>
      <c r="H60" s="801"/>
      <c r="I60" s="801"/>
      <c r="J60" s="801"/>
      <c r="K60" s="801"/>
      <c r="L60" s="801"/>
      <c r="M60" s="801"/>
      <c r="N60" s="801"/>
      <c r="O60" s="801"/>
      <c r="P60" s="801"/>
      <c r="Q60" s="801"/>
      <c r="T60" s="801"/>
      <c r="U60" s="801"/>
      <c r="V60" s="801"/>
      <c r="W60" s="801"/>
      <c r="X60" s="801"/>
      <c r="Y60" s="801"/>
    </row>
    <row r="61" spans="2:25" ht="16.5" customHeight="1" outlineLevel="1">
      <c r="B61" s="735" t="s">
        <v>528</v>
      </c>
      <c r="C61" s="724" t="s">
        <v>530</v>
      </c>
      <c r="D61" s="813" t="s">
        <v>531</v>
      </c>
      <c r="E61" s="814">
        <f>+'Input 기초'!F22</f>
        <v>2822250</v>
      </c>
      <c r="F61" s="814">
        <f>+'Input 기초'!G22</f>
        <v>6818312.5</v>
      </c>
      <c r="G61" s="814">
        <f>+'Input 기초'!H22</f>
        <v>2635249.9999999995</v>
      </c>
      <c r="H61" s="814">
        <f>+'Input 기초'!F96</f>
        <v>3937500</v>
      </c>
      <c r="I61" s="814">
        <f>+'Input 기초'!G96</f>
        <v>12387500</v>
      </c>
      <c r="J61" s="814">
        <f>+'Input 기초'!H96</f>
        <v>12500000</v>
      </c>
      <c r="K61" s="814">
        <f>+'Input 기초'!I96</f>
        <v>1950000</v>
      </c>
      <c r="L61" s="814">
        <f>+'Input 기초'!J96</f>
        <v>2162500</v>
      </c>
      <c r="M61" s="814">
        <f>+'Input 기초'!K96</f>
        <v>2837500</v>
      </c>
      <c r="N61" s="814">
        <f>+'Input 기초'!L96</f>
        <v>2912500</v>
      </c>
      <c r="O61" s="814">
        <f>+'Input 기초'!M96</f>
        <v>2962500</v>
      </c>
      <c r="P61" s="814">
        <f>+'Input 기초'!N96</f>
        <v>2062500</v>
      </c>
      <c r="Q61" s="814">
        <f>+'Input 기초'!O96</f>
        <v>25</v>
      </c>
      <c r="R61" s="745"/>
      <c r="T61" s="814">
        <f>+'Input 기초'!U71</f>
        <v>0</v>
      </c>
      <c r="U61" s="814">
        <f>+'Input 기초'!V71</f>
        <v>0</v>
      </c>
      <c r="V61" s="814">
        <f>+'Input 기초'!W71</f>
        <v>0</v>
      </c>
      <c r="W61" s="814">
        <f>+'Input 기초'!X71</f>
        <v>0</v>
      </c>
      <c r="X61" s="814">
        <f>+'Input 기초'!Y71</f>
        <v>0</v>
      </c>
      <c r="Y61" s="814">
        <f>+'Input 기초'!Z71</f>
        <v>0</v>
      </c>
    </row>
    <row r="62" spans="2:25" ht="16.5" customHeight="1" outlineLevel="1">
      <c r="B62" s="746" t="s">
        <v>532</v>
      </c>
      <c r="C62" s="720" t="s">
        <v>533</v>
      </c>
      <c r="D62" s="721"/>
      <c r="E62" s="815" t="s">
        <v>67</v>
      </c>
      <c r="F62" s="815" t="s">
        <v>67</v>
      </c>
      <c r="G62" s="815" t="s">
        <v>67</v>
      </c>
      <c r="H62" s="815" t="s">
        <v>67</v>
      </c>
      <c r="I62" s="815" t="s">
        <v>67</v>
      </c>
      <c r="J62" s="815" t="s">
        <v>67</v>
      </c>
      <c r="K62" s="815" t="s">
        <v>67</v>
      </c>
      <c r="L62" s="815" t="s">
        <v>67</v>
      </c>
      <c r="M62" s="815" t="s">
        <v>67</v>
      </c>
      <c r="N62" s="815" t="s">
        <v>1093</v>
      </c>
      <c r="O62" s="815" t="s">
        <v>67</v>
      </c>
      <c r="P62" s="815" t="s">
        <v>67</v>
      </c>
      <c r="Q62" s="815" t="s">
        <v>67</v>
      </c>
      <c r="R62" s="748"/>
      <c r="T62" s="815" t="s">
        <v>67</v>
      </c>
      <c r="U62" s="815" t="s">
        <v>67</v>
      </c>
      <c r="V62" s="815" t="s">
        <v>67</v>
      </c>
      <c r="W62" s="815" t="s">
        <v>67</v>
      </c>
      <c r="X62" s="815" t="s">
        <v>67</v>
      </c>
      <c r="Y62" s="815" t="s">
        <v>67</v>
      </c>
    </row>
    <row r="63" spans="2:25" ht="16.5" customHeight="1" outlineLevel="1">
      <c r="B63" s="746" t="s">
        <v>543</v>
      </c>
      <c r="C63" s="720" t="s">
        <v>301</v>
      </c>
      <c r="D63" s="721" t="s">
        <v>535</v>
      </c>
      <c r="E63" s="799">
        <f>+E18</f>
        <v>46081</v>
      </c>
      <c r="F63" s="799">
        <f>+F18</f>
        <v>46081</v>
      </c>
      <c r="G63" s="799">
        <f>+G18</f>
        <v>46081</v>
      </c>
      <c r="H63" s="799">
        <f t="shared" ref="H63:Q63" si="10">+H18</f>
        <v>46174</v>
      </c>
      <c r="I63" s="799">
        <f t="shared" si="10"/>
        <v>46204</v>
      </c>
      <c r="J63" s="799">
        <f t="shared" si="10"/>
        <v>46174</v>
      </c>
      <c r="K63" s="799">
        <f t="shared" si="10"/>
        <v>46174</v>
      </c>
      <c r="L63" s="799">
        <f t="shared" si="10"/>
        <v>46204</v>
      </c>
      <c r="M63" s="799">
        <f t="shared" si="10"/>
        <v>46204</v>
      </c>
      <c r="N63" s="799">
        <f t="shared" si="10"/>
        <v>46204</v>
      </c>
      <c r="O63" s="799">
        <f t="shared" si="10"/>
        <v>46235</v>
      </c>
      <c r="P63" s="799">
        <f t="shared" si="10"/>
        <v>46235</v>
      </c>
      <c r="Q63" s="799">
        <f t="shared" si="10"/>
        <v>0</v>
      </c>
      <c r="T63" s="799">
        <v>46112</v>
      </c>
      <c r="U63" s="799">
        <v>46112</v>
      </c>
      <c r="V63" s="799">
        <v>46112</v>
      </c>
      <c r="W63" s="799">
        <v>46112</v>
      </c>
      <c r="X63" s="799">
        <v>46112</v>
      </c>
      <c r="Y63" s="799">
        <v>46112</v>
      </c>
    </row>
    <row r="64" spans="2:25" ht="16.5" customHeight="1" outlineLevel="1">
      <c r="B64" s="735" t="s">
        <v>536</v>
      </c>
      <c r="C64" s="720" t="s">
        <v>309</v>
      </c>
      <c r="D64" s="721" t="s">
        <v>537</v>
      </c>
      <c r="E64" s="799" t="s">
        <v>538</v>
      </c>
      <c r="F64" s="799" t="s">
        <v>538</v>
      </c>
      <c r="G64" s="799" t="s">
        <v>538</v>
      </c>
      <c r="H64" s="799" t="s">
        <v>538</v>
      </c>
      <c r="I64" s="799" t="s">
        <v>538</v>
      </c>
      <c r="J64" s="799" t="s">
        <v>538</v>
      </c>
      <c r="K64" s="799" t="s">
        <v>538</v>
      </c>
      <c r="L64" s="799" t="s">
        <v>538</v>
      </c>
      <c r="M64" s="799" t="s">
        <v>538</v>
      </c>
      <c r="N64" s="799" t="s">
        <v>538</v>
      </c>
      <c r="O64" s="799" t="s">
        <v>538</v>
      </c>
      <c r="P64" s="799" t="s">
        <v>538</v>
      </c>
      <c r="Q64" s="799" t="s">
        <v>538</v>
      </c>
      <c r="T64" s="799" t="s">
        <v>538</v>
      </c>
      <c r="U64" s="799" t="s">
        <v>538</v>
      </c>
      <c r="V64" s="799" t="s">
        <v>538</v>
      </c>
      <c r="W64" s="799" t="s">
        <v>538</v>
      </c>
      <c r="X64" s="799" t="s">
        <v>538</v>
      </c>
      <c r="Y64" s="799" t="s">
        <v>538</v>
      </c>
    </row>
    <row r="65" spans="2:25" ht="16.5" customHeight="1" outlineLevel="1">
      <c r="B65" s="735" t="s">
        <v>539</v>
      </c>
      <c r="C65" s="720" t="s">
        <v>301</v>
      </c>
      <c r="D65" s="721"/>
      <c r="E65" s="799">
        <f>+E19</f>
        <v>46173</v>
      </c>
      <c r="F65" s="799">
        <f>+F19</f>
        <v>46173</v>
      </c>
      <c r="G65" s="799">
        <f>+G19</f>
        <v>46173</v>
      </c>
      <c r="H65" s="799">
        <f t="shared" ref="H65:Q65" si="11">+H19</f>
        <v>46266</v>
      </c>
      <c r="I65" s="799">
        <f t="shared" si="11"/>
        <v>46296</v>
      </c>
      <c r="J65" s="799">
        <f t="shared" si="11"/>
        <v>46266</v>
      </c>
      <c r="K65" s="799">
        <f t="shared" si="11"/>
        <v>46266</v>
      </c>
      <c r="L65" s="799">
        <f t="shared" si="11"/>
        <v>46296</v>
      </c>
      <c r="M65" s="799">
        <f t="shared" si="11"/>
        <v>46296</v>
      </c>
      <c r="N65" s="799">
        <f t="shared" si="11"/>
        <v>46296</v>
      </c>
      <c r="O65" s="799">
        <f t="shared" si="11"/>
        <v>46327</v>
      </c>
      <c r="P65" s="799">
        <f t="shared" si="11"/>
        <v>46327</v>
      </c>
      <c r="Q65" s="799">
        <f t="shared" si="11"/>
        <v>46203</v>
      </c>
      <c r="T65" s="799">
        <f t="shared" ref="T65:Y65" si="12">T19</f>
        <v>46203</v>
      </c>
      <c r="U65" s="799">
        <f t="shared" si="12"/>
        <v>46173</v>
      </c>
      <c r="V65" s="799">
        <f t="shared" si="12"/>
        <v>46173</v>
      </c>
      <c r="W65" s="799">
        <f t="shared" si="12"/>
        <v>46173</v>
      </c>
      <c r="X65" s="799">
        <f t="shared" si="12"/>
        <v>46173</v>
      </c>
      <c r="Y65" s="799">
        <f t="shared" si="12"/>
        <v>46203</v>
      </c>
    </row>
    <row r="66" spans="2:25" ht="18.600000000000001" customHeight="1" outlineLevel="1">
      <c r="B66" s="735" t="s">
        <v>540</v>
      </c>
      <c r="C66" s="1358" t="s">
        <v>541</v>
      </c>
      <c r="D66" s="1358"/>
      <c r="E66" s="803"/>
      <c r="F66" s="803"/>
      <c r="G66" s="803"/>
      <c r="H66" s="803"/>
      <c r="I66" s="803"/>
      <c r="J66" s="803"/>
      <c r="K66" s="803"/>
      <c r="L66" s="803"/>
      <c r="M66" s="803"/>
      <c r="N66" s="803"/>
      <c r="O66" s="803"/>
      <c r="P66" s="803"/>
      <c r="Q66" s="803"/>
      <c r="T66" s="803"/>
      <c r="U66" s="803"/>
      <c r="V66" s="803"/>
      <c r="W66" s="803"/>
      <c r="X66" s="803"/>
      <c r="Y66" s="803"/>
    </row>
    <row r="67" spans="2:25" ht="18.600000000000001" customHeight="1" outlineLevel="1">
      <c r="B67" s="735"/>
      <c r="C67" s="1358"/>
      <c r="D67" s="1358"/>
      <c r="T67" s="777"/>
      <c r="U67" s="777"/>
      <c r="V67" s="777"/>
      <c r="W67" s="777"/>
      <c r="X67" s="777"/>
      <c r="Y67" s="777"/>
    </row>
    <row r="68" spans="2:25" ht="16.5" hidden="1" customHeight="1" outlineLevel="1">
      <c r="B68" s="730" t="s">
        <v>424</v>
      </c>
      <c r="C68" s="742"/>
      <c r="D68" s="749"/>
      <c r="E68" s="750"/>
      <c r="F68" s="750"/>
      <c r="G68" s="750"/>
      <c r="H68" s="750"/>
      <c r="I68" s="750"/>
      <c r="J68" s="750"/>
      <c r="K68" s="750"/>
      <c r="L68" s="750"/>
      <c r="M68" s="750"/>
      <c r="N68" s="750"/>
      <c r="O68" s="750"/>
      <c r="P68" s="750"/>
      <c r="Q68" s="750"/>
      <c r="T68" s="953"/>
      <c r="U68" s="953"/>
      <c r="V68" s="953"/>
      <c r="W68" s="953"/>
      <c r="X68" s="953"/>
      <c r="Y68" s="953"/>
    </row>
    <row r="69" spans="2:25" ht="16.5" hidden="1" customHeight="1" outlineLevel="1">
      <c r="B69" s="735" t="s">
        <v>487</v>
      </c>
      <c r="E69" s="801"/>
      <c r="F69" s="801"/>
      <c r="G69" s="801"/>
      <c r="H69" s="801"/>
      <c r="I69" s="801"/>
      <c r="J69" s="801"/>
      <c r="K69" s="801"/>
      <c r="L69" s="801"/>
      <c r="M69" s="801"/>
      <c r="N69" s="801"/>
      <c r="O69" s="801"/>
      <c r="P69" s="801"/>
      <c r="Q69" s="801"/>
      <c r="T69" s="801"/>
      <c r="U69" s="801"/>
      <c r="V69" s="801"/>
      <c r="W69" s="801"/>
      <c r="X69" s="801"/>
      <c r="Y69" s="801"/>
    </row>
    <row r="70" spans="2:25" ht="16.5" hidden="1" customHeight="1" outlineLevel="1">
      <c r="B70" s="735" t="s">
        <v>528</v>
      </c>
      <c r="C70" s="724" t="s">
        <v>530</v>
      </c>
      <c r="D70" s="813" t="s">
        <v>531</v>
      </c>
      <c r="E70" s="814">
        <f>+'Input 기초'!F23</f>
        <v>0</v>
      </c>
      <c r="F70" s="814">
        <f>+'Input 기초'!G23</f>
        <v>0</v>
      </c>
      <c r="G70" s="814">
        <f>+'Input 기초'!H23</f>
        <v>0</v>
      </c>
      <c r="H70" s="814">
        <f>+'Input 기초'!F97</f>
        <v>0</v>
      </c>
      <c r="I70" s="814">
        <f>+'Input 기초'!G97</f>
        <v>0</v>
      </c>
      <c r="J70" s="814">
        <f>+'Input 기초'!H97</f>
        <v>0</v>
      </c>
      <c r="K70" s="814">
        <f>+'Input 기초'!I97</f>
        <v>0</v>
      </c>
      <c r="L70" s="814">
        <f>+'Input 기초'!J97</f>
        <v>0</v>
      </c>
      <c r="M70" s="814">
        <f>+'Input 기초'!K97</f>
        <v>0</v>
      </c>
      <c r="N70" s="814">
        <f>+'Input 기초'!L97</f>
        <v>0</v>
      </c>
      <c r="O70" s="814">
        <f>+'Input 기초'!M97</f>
        <v>0</v>
      </c>
      <c r="P70" s="814">
        <f>+'Input 기초'!N97</f>
        <v>0</v>
      </c>
      <c r="Q70" s="814">
        <f>+'Input 기초'!O97</f>
        <v>0</v>
      </c>
      <c r="T70" s="814">
        <f>+'Input 기초'!U72</f>
        <v>0</v>
      </c>
      <c r="U70" s="814">
        <f>+'Input 기초'!V72</f>
        <v>0</v>
      </c>
      <c r="V70" s="814">
        <f>+'Input 기초'!W72</f>
        <v>0</v>
      </c>
      <c r="W70" s="814">
        <f>+'Input 기초'!X72</f>
        <v>0</v>
      </c>
      <c r="X70" s="814">
        <f>+'Input 기초'!Y72</f>
        <v>0</v>
      </c>
      <c r="Y70" s="814">
        <f>+'Input 기초'!Z72</f>
        <v>0</v>
      </c>
    </row>
    <row r="71" spans="2:25" ht="16.5" hidden="1" customHeight="1" outlineLevel="1">
      <c r="B71" s="735" t="s">
        <v>542</v>
      </c>
      <c r="C71" s="720" t="s">
        <v>533</v>
      </c>
      <c r="D71" s="721"/>
      <c r="E71" s="815">
        <v>1</v>
      </c>
      <c r="F71" s="815">
        <v>1</v>
      </c>
      <c r="G71" s="815">
        <v>1</v>
      </c>
      <c r="H71" s="815">
        <v>1</v>
      </c>
      <c r="I71" s="815">
        <v>1</v>
      </c>
      <c r="J71" s="815">
        <v>1</v>
      </c>
      <c r="K71" s="815">
        <v>1</v>
      </c>
      <c r="L71" s="815">
        <v>1</v>
      </c>
      <c r="M71" s="815">
        <v>1</v>
      </c>
      <c r="N71" s="815">
        <v>1</v>
      </c>
      <c r="O71" s="815">
        <v>1</v>
      </c>
      <c r="P71" s="815">
        <v>1</v>
      </c>
      <c r="Q71" s="815">
        <v>1</v>
      </c>
      <c r="T71" s="815">
        <v>1</v>
      </c>
      <c r="U71" s="815">
        <v>1</v>
      </c>
      <c r="V71" s="815">
        <v>1</v>
      </c>
      <c r="W71" s="815">
        <v>1</v>
      </c>
      <c r="X71" s="815">
        <v>1</v>
      </c>
      <c r="Y71" s="815">
        <v>1</v>
      </c>
    </row>
    <row r="72" spans="2:25" ht="15.75" hidden="1" customHeight="1" outlineLevel="1">
      <c r="B72" s="735" t="s">
        <v>534</v>
      </c>
      <c r="C72" s="720" t="s">
        <v>301</v>
      </c>
      <c r="D72" s="721" t="s">
        <v>535</v>
      </c>
      <c r="E72" s="799" t="s">
        <v>480</v>
      </c>
      <c r="F72" s="799" t="s">
        <v>480</v>
      </c>
      <c r="G72" s="799" t="s">
        <v>480</v>
      </c>
      <c r="H72" s="799" t="s">
        <v>480</v>
      </c>
      <c r="I72" s="799" t="s">
        <v>480</v>
      </c>
      <c r="J72" s="799" t="s">
        <v>480</v>
      </c>
      <c r="K72" s="799" t="s">
        <v>480</v>
      </c>
      <c r="L72" s="799" t="s">
        <v>480</v>
      </c>
      <c r="M72" s="799" t="s">
        <v>480</v>
      </c>
      <c r="N72" s="799" t="s">
        <v>480</v>
      </c>
      <c r="O72" s="799" t="s">
        <v>480</v>
      </c>
      <c r="P72" s="799" t="s">
        <v>480</v>
      </c>
      <c r="Q72" s="799" t="s">
        <v>480</v>
      </c>
      <c r="T72" s="799">
        <f t="shared" ref="T72:Y72" si="13">+EDATE(T16,-25)</f>
        <v>45200</v>
      </c>
      <c r="U72" s="799">
        <f t="shared" si="13"/>
        <v>45200</v>
      </c>
      <c r="V72" s="799">
        <f t="shared" si="13"/>
        <v>45200</v>
      </c>
      <c r="W72" s="799">
        <f t="shared" si="13"/>
        <v>45200</v>
      </c>
      <c r="X72" s="799">
        <f t="shared" si="13"/>
        <v>45200</v>
      </c>
      <c r="Y72" s="799">
        <f t="shared" si="13"/>
        <v>45260</v>
      </c>
    </row>
    <row r="73" spans="2:25" ht="16.5" hidden="1" customHeight="1" outlineLevel="1">
      <c r="B73" s="735" t="s">
        <v>536</v>
      </c>
      <c r="C73" s="720" t="s">
        <v>309</v>
      </c>
      <c r="D73" s="721" t="s">
        <v>537</v>
      </c>
      <c r="E73" s="799" t="str">
        <f>+'[6]입력 시트(0124)'!E72</f>
        <v>CPI</v>
      </c>
      <c r="F73" s="799" t="str">
        <f>+'[6]입력 시트(0124)'!F72</f>
        <v>CPI</v>
      </c>
      <c r="G73" s="799" t="str">
        <f>+'[6]입력 시트(0124)'!G72</f>
        <v>CPI</v>
      </c>
      <c r="H73" s="799" t="s">
        <v>538</v>
      </c>
      <c r="I73" s="799" t="s">
        <v>538</v>
      </c>
      <c r="J73" s="799" t="s">
        <v>538</v>
      </c>
      <c r="K73" s="799" t="s">
        <v>538</v>
      </c>
      <c r="L73" s="799" t="s">
        <v>538</v>
      </c>
      <c r="M73" s="799" t="s">
        <v>538</v>
      </c>
      <c r="N73" s="799" t="s">
        <v>538</v>
      </c>
      <c r="O73" s="799" t="s">
        <v>538</v>
      </c>
      <c r="P73" s="799" t="s">
        <v>538</v>
      </c>
      <c r="Q73" s="799" t="s">
        <v>538</v>
      </c>
      <c r="T73" s="799" t="e">
        <f>+'[6]입력 시트(0124)'!T72</f>
        <v>#REF!</v>
      </c>
      <c r="U73" s="799" t="e">
        <f>+'[6]입력 시트(0124)'!U72</f>
        <v>#REF!</v>
      </c>
      <c r="V73" s="799" t="e">
        <f>+'[6]입력 시트(0124)'!V72</f>
        <v>#REF!</v>
      </c>
      <c r="W73" s="799" t="e">
        <f>+'[6]입력 시트(0124)'!W72</f>
        <v>#REF!</v>
      </c>
      <c r="X73" s="799" t="e">
        <f>+'[6]입력 시트(0124)'!X72</f>
        <v>#REF!</v>
      </c>
      <c r="Y73" s="799" t="s">
        <v>538</v>
      </c>
    </row>
    <row r="74" spans="2:25" ht="16.5" hidden="1" customHeight="1" outlineLevel="1">
      <c r="B74" s="735" t="s">
        <v>539</v>
      </c>
      <c r="C74" s="720" t="s">
        <v>301</v>
      </c>
      <c r="D74" s="721"/>
      <c r="E74" s="799" t="s">
        <v>480</v>
      </c>
      <c r="F74" s="799" t="s">
        <v>480</v>
      </c>
      <c r="G74" s="799" t="s">
        <v>480</v>
      </c>
      <c r="H74" s="799" t="s">
        <v>480</v>
      </c>
      <c r="I74" s="799" t="s">
        <v>480</v>
      </c>
      <c r="J74" s="799" t="s">
        <v>480</v>
      </c>
      <c r="K74" s="799" t="s">
        <v>480</v>
      </c>
      <c r="L74" s="799" t="s">
        <v>480</v>
      </c>
      <c r="M74" s="799" t="s">
        <v>480</v>
      </c>
      <c r="N74" s="799" t="s">
        <v>480</v>
      </c>
      <c r="O74" s="799" t="s">
        <v>480</v>
      </c>
      <c r="P74" s="799" t="s">
        <v>480</v>
      </c>
      <c r="Q74" s="799" t="s">
        <v>480</v>
      </c>
      <c r="T74" s="799">
        <f t="shared" ref="T74:Y74" si="14">T19</f>
        <v>46203</v>
      </c>
      <c r="U74" s="799">
        <f t="shared" si="14"/>
        <v>46173</v>
      </c>
      <c r="V74" s="799">
        <f t="shared" si="14"/>
        <v>46173</v>
      </c>
      <c r="W74" s="799">
        <f t="shared" si="14"/>
        <v>46173</v>
      </c>
      <c r="X74" s="799">
        <f t="shared" si="14"/>
        <v>46173</v>
      </c>
      <c r="Y74" s="799">
        <f t="shared" si="14"/>
        <v>46203</v>
      </c>
    </row>
    <row r="75" spans="2:25" ht="16.5" hidden="1" customHeight="1" outlineLevel="1">
      <c r="B75" s="735" t="s">
        <v>540</v>
      </c>
      <c r="C75" s="1355"/>
      <c r="D75" s="1356"/>
      <c r="E75" s="803"/>
      <c r="F75" s="803"/>
      <c r="G75" s="803"/>
      <c r="H75" s="803"/>
      <c r="I75" s="803"/>
      <c r="J75" s="803"/>
      <c r="K75" s="803"/>
      <c r="L75" s="803"/>
      <c r="M75" s="803"/>
      <c r="N75" s="803"/>
      <c r="O75" s="803"/>
      <c r="P75" s="803"/>
      <c r="Q75" s="803"/>
      <c r="T75" s="803"/>
      <c r="U75" s="803"/>
      <c r="V75" s="803"/>
      <c r="W75" s="803"/>
      <c r="X75" s="803"/>
      <c r="Y75" s="803"/>
    </row>
    <row r="76" spans="2:25" ht="16.5" hidden="1" customHeight="1" outlineLevel="1">
      <c r="B76" s="735"/>
      <c r="C76" s="751"/>
      <c r="T76" s="777"/>
      <c r="U76" s="777"/>
      <c r="V76" s="777"/>
      <c r="W76" s="777"/>
      <c r="X76" s="777"/>
      <c r="Y76" s="777"/>
    </row>
    <row r="77" spans="2:25" ht="16.5" hidden="1" customHeight="1" outlineLevel="1">
      <c r="B77" s="730" t="s">
        <v>544</v>
      </c>
      <c r="C77" s="742"/>
      <c r="D77" s="749"/>
      <c r="E77" s="750"/>
      <c r="F77" s="750"/>
      <c r="G77" s="750"/>
      <c r="H77" s="750"/>
      <c r="I77" s="750"/>
      <c r="J77" s="750"/>
      <c r="K77" s="750"/>
      <c r="L77" s="750"/>
      <c r="M77" s="750"/>
      <c r="N77" s="750"/>
      <c r="O77" s="750"/>
      <c r="P77" s="750"/>
      <c r="Q77" s="750"/>
      <c r="T77" s="953"/>
      <c r="U77" s="953"/>
      <c r="V77" s="953"/>
      <c r="W77" s="953"/>
      <c r="X77" s="953"/>
      <c r="Y77" s="953"/>
    </row>
    <row r="78" spans="2:25" ht="16.5" hidden="1" customHeight="1" outlineLevel="1">
      <c r="B78" s="735" t="s">
        <v>487</v>
      </c>
      <c r="E78" s="726" t="s">
        <v>545</v>
      </c>
      <c r="F78" s="726" t="s">
        <v>545</v>
      </c>
      <c r="G78" s="726" t="s">
        <v>545</v>
      </c>
      <c r="H78" s="726" t="s">
        <v>545</v>
      </c>
      <c r="I78" s="726" t="s">
        <v>545</v>
      </c>
      <c r="J78" s="726" t="s">
        <v>545</v>
      </c>
      <c r="K78" s="726" t="s">
        <v>545</v>
      </c>
      <c r="L78" s="726" t="s">
        <v>545</v>
      </c>
      <c r="M78" s="726" t="s">
        <v>545</v>
      </c>
      <c r="N78" s="726" t="s">
        <v>545</v>
      </c>
      <c r="O78" s="726" t="s">
        <v>545</v>
      </c>
      <c r="P78" s="726" t="s">
        <v>545</v>
      </c>
      <c r="Q78" s="726" t="s">
        <v>545</v>
      </c>
      <c r="T78" s="726" t="s">
        <v>545</v>
      </c>
      <c r="U78" s="726" t="s">
        <v>545</v>
      </c>
      <c r="V78" s="726" t="s">
        <v>545</v>
      </c>
      <c r="W78" s="726" t="s">
        <v>545</v>
      </c>
      <c r="X78" s="726" t="s">
        <v>545</v>
      </c>
      <c r="Y78" s="726" t="s">
        <v>545</v>
      </c>
    </row>
    <row r="79" spans="2:25" ht="16.5" hidden="1" customHeight="1" outlineLevel="1">
      <c r="B79" s="735" t="s">
        <v>528</v>
      </c>
      <c r="C79" s="724" t="s">
        <v>530</v>
      </c>
      <c r="D79" s="744" t="s">
        <v>531</v>
      </c>
      <c r="E79" s="752"/>
      <c r="F79" s="752"/>
      <c r="G79" s="752"/>
      <c r="H79" s="752"/>
      <c r="I79" s="752"/>
      <c r="J79" s="752"/>
      <c r="K79" s="752"/>
      <c r="L79" s="752"/>
      <c r="M79" s="752"/>
      <c r="N79" s="752"/>
      <c r="O79" s="752"/>
      <c r="P79" s="752"/>
      <c r="Q79" s="752"/>
      <c r="T79" s="752"/>
      <c r="U79" s="752"/>
      <c r="V79" s="752"/>
      <c r="W79" s="752"/>
      <c r="X79" s="752"/>
      <c r="Y79" s="752"/>
    </row>
    <row r="80" spans="2:25" ht="16.5" hidden="1" customHeight="1" outlineLevel="1">
      <c r="B80" s="735" t="s">
        <v>542</v>
      </c>
      <c r="C80" s="720" t="s">
        <v>533</v>
      </c>
      <c r="D80" s="721"/>
      <c r="E80" s="747">
        <v>1</v>
      </c>
      <c r="F80" s="747">
        <v>1</v>
      </c>
      <c r="G80" s="747">
        <v>1</v>
      </c>
      <c r="H80" s="747">
        <v>1</v>
      </c>
      <c r="I80" s="747">
        <v>1</v>
      </c>
      <c r="J80" s="747">
        <v>1</v>
      </c>
      <c r="K80" s="747">
        <v>1</v>
      </c>
      <c r="L80" s="747">
        <v>1</v>
      </c>
      <c r="M80" s="747">
        <v>1</v>
      </c>
      <c r="N80" s="747">
        <v>1</v>
      </c>
      <c r="O80" s="747">
        <v>1</v>
      </c>
      <c r="P80" s="747">
        <v>1</v>
      </c>
      <c r="Q80" s="747">
        <v>1</v>
      </c>
      <c r="T80" s="747">
        <v>1</v>
      </c>
      <c r="U80" s="747">
        <v>1</v>
      </c>
      <c r="V80" s="747">
        <v>1</v>
      </c>
      <c r="W80" s="747">
        <v>1</v>
      </c>
      <c r="X80" s="747">
        <v>1</v>
      </c>
      <c r="Y80" s="747">
        <v>1</v>
      </c>
    </row>
    <row r="81" spans="2:25" ht="16.5" hidden="1" customHeight="1" outlineLevel="1">
      <c r="B81" s="735" t="s">
        <v>534</v>
      </c>
      <c r="C81" s="720" t="s">
        <v>301</v>
      </c>
      <c r="D81" s="721" t="s">
        <v>546</v>
      </c>
      <c r="E81" s="722">
        <f>+'[6]입력 시트(0124)'!E80</f>
        <v>45901</v>
      </c>
      <c r="F81" s="722">
        <f>+'[6]입력 시트(0124)'!F80</f>
        <v>45901</v>
      </c>
      <c r="G81" s="722">
        <f>+'[6]입력 시트(0124)'!G80</f>
        <v>45901</v>
      </c>
      <c r="H81" s="722">
        <f>+'[6]입력 시트(0124)'!H80</f>
        <v>45901</v>
      </c>
      <c r="I81" s="722">
        <f>+'[6]입력 시트(0124)'!I80</f>
        <v>45931</v>
      </c>
      <c r="J81" s="722">
        <f>+'[6]입력 시트(0124)'!F80</f>
        <v>45901</v>
      </c>
      <c r="K81" s="722">
        <f>+'[6]입력 시트(0124)'!G80</f>
        <v>45901</v>
      </c>
      <c r="L81" s="722">
        <f>+'[6]입력 시트(0124)'!H80</f>
        <v>45901</v>
      </c>
      <c r="M81" s="722">
        <f>+'[6]입력 시트(0124)'!I80</f>
        <v>45931</v>
      </c>
      <c r="N81" s="722" t="e">
        <f>+'[6]입력 시트(0124)'!N80</f>
        <v>#REF!</v>
      </c>
      <c r="O81" s="722" t="e">
        <f>+'[6]입력 시트(0124)'!O80</f>
        <v>#REF!</v>
      </c>
      <c r="P81" s="722" t="e">
        <f>+'[6]입력 시트(0124)'!P80</f>
        <v>#REF!</v>
      </c>
      <c r="Q81" s="722" t="e">
        <f>+'[6]입력 시트(0124)'!Q80</f>
        <v>#REF!</v>
      </c>
      <c r="T81" s="722" t="e">
        <f>+'[6]입력 시트(0124)'!T80</f>
        <v>#REF!</v>
      </c>
      <c r="U81" s="722" t="e">
        <f>+'[6]입력 시트(0124)'!U80</f>
        <v>#REF!</v>
      </c>
      <c r="V81" s="722" t="e">
        <f>+'[6]입력 시트(0124)'!V80</f>
        <v>#REF!</v>
      </c>
      <c r="W81" s="722" t="e">
        <f>+'[6]입력 시트(0124)'!W80</f>
        <v>#REF!</v>
      </c>
      <c r="X81" s="722" t="e">
        <f>+'[6]입력 시트(0124)'!X80</f>
        <v>#REF!</v>
      </c>
      <c r="Y81" s="722" t="e">
        <f>+'[6]입력 시트(0124)'!U80</f>
        <v>#REF!</v>
      </c>
    </row>
    <row r="82" spans="2:25" ht="16.5" hidden="1" customHeight="1" outlineLevel="1">
      <c r="B82" s="735" t="s">
        <v>536</v>
      </c>
      <c r="C82" s="720" t="s">
        <v>309</v>
      </c>
      <c r="D82" s="721" t="s">
        <v>537</v>
      </c>
      <c r="E82" s="722" t="str">
        <f>+'[6]입력 시트(0124)'!E81</f>
        <v>CPI</v>
      </c>
      <c r="F82" s="722" t="str">
        <f>+'[6]입력 시트(0124)'!F81</f>
        <v>CPI</v>
      </c>
      <c r="G82" s="722" t="str">
        <f>+'[6]입력 시트(0124)'!G81</f>
        <v>CPI</v>
      </c>
      <c r="H82" s="722" t="str">
        <f>+'[6]입력 시트(0124)'!H81</f>
        <v>CPI</v>
      </c>
      <c r="I82" s="722" t="str">
        <f>+'[6]입력 시트(0124)'!I81</f>
        <v>CPI</v>
      </c>
      <c r="J82" s="722" t="str">
        <f>+'[6]입력 시트(0124)'!F81</f>
        <v>CPI</v>
      </c>
      <c r="K82" s="722" t="str">
        <f>+'[6]입력 시트(0124)'!G81</f>
        <v>CPI</v>
      </c>
      <c r="L82" s="722" t="str">
        <f>+'[6]입력 시트(0124)'!H81</f>
        <v>CPI</v>
      </c>
      <c r="M82" s="722" t="str">
        <f>+'[6]입력 시트(0124)'!I81</f>
        <v>CPI</v>
      </c>
      <c r="N82" s="722" t="e">
        <f>+'[6]입력 시트(0124)'!N81</f>
        <v>#REF!</v>
      </c>
      <c r="O82" s="722" t="e">
        <f>+'[6]입력 시트(0124)'!O81</f>
        <v>#REF!</v>
      </c>
      <c r="P82" s="722" t="e">
        <f>+'[6]입력 시트(0124)'!P81</f>
        <v>#REF!</v>
      </c>
      <c r="Q82" s="722" t="e">
        <f>+'[6]입력 시트(0124)'!Q81</f>
        <v>#REF!</v>
      </c>
      <c r="T82" s="722" t="e">
        <f>+'[6]입력 시트(0124)'!T81</f>
        <v>#REF!</v>
      </c>
      <c r="U82" s="722" t="e">
        <f>+'[6]입력 시트(0124)'!U81</f>
        <v>#REF!</v>
      </c>
      <c r="V82" s="722" t="e">
        <f>+'[6]입력 시트(0124)'!V81</f>
        <v>#REF!</v>
      </c>
      <c r="W82" s="722" t="e">
        <f>+'[6]입력 시트(0124)'!W81</f>
        <v>#REF!</v>
      </c>
      <c r="X82" s="722" t="e">
        <f>+'[6]입력 시트(0124)'!X81</f>
        <v>#REF!</v>
      </c>
      <c r="Y82" s="722" t="e">
        <f>+'[6]입력 시트(0124)'!U81</f>
        <v>#REF!</v>
      </c>
    </row>
    <row r="83" spans="2:25" ht="16.5" hidden="1" customHeight="1" outlineLevel="1">
      <c r="B83" s="735" t="s">
        <v>539</v>
      </c>
      <c r="C83" s="720" t="s">
        <v>301</v>
      </c>
      <c r="D83" s="721"/>
      <c r="E83" s="722">
        <f>+'[6]입력 시트(0124)'!E82</f>
        <v>45901</v>
      </c>
      <c r="F83" s="722">
        <f>+'[6]입력 시트(0124)'!F82</f>
        <v>45901</v>
      </c>
      <c r="G83" s="722">
        <f>+'[6]입력 시트(0124)'!G82</f>
        <v>45901</v>
      </c>
      <c r="H83" s="722">
        <f>+'[6]입력 시트(0124)'!H82</f>
        <v>45901</v>
      </c>
      <c r="I83" s="722">
        <f>+'[6]입력 시트(0124)'!I82</f>
        <v>45931</v>
      </c>
      <c r="J83" s="722">
        <f>+'[6]입력 시트(0124)'!F82</f>
        <v>45901</v>
      </c>
      <c r="K83" s="722">
        <f>+'[6]입력 시트(0124)'!G82</f>
        <v>45901</v>
      </c>
      <c r="L83" s="722">
        <f>+'[6]입력 시트(0124)'!H82</f>
        <v>45901</v>
      </c>
      <c r="M83" s="722">
        <f>+'[6]입력 시트(0124)'!I82</f>
        <v>45931</v>
      </c>
      <c r="N83" s="722" t="e">
        <f>+'[6]입력 시트(0124)'!N82</f>
        <v>#REF!</v>
      </c>
      <c r="O83" s="722" t="e">
        <f>+'[6]입력 시트(0124)'!O82</f>
        <v>#REF!</v>
      </c>
      <c r="P83" s="722" t="e">
        <f>+'[6]입력 시트(0124)'!P82</f>
        <v>#REF!</v>
      </c>
      <c r="Q83" s="722" t="e">
        <f>+'[6]입력 시트(0124)'!Q82</f>
        <v>#REF!</v>
      </c>
      <c r="T83" s="722" t="e">
        <f>+'[6]입력 시트(0124)'!T82</f>
        <v>#REF!</v>
      </c>
      <c r="U83" s="722" t="e">
        <f>+'[6]입력 시트(0124)'!U82</f>
        <v>#REF!</v>
      </c>
      <c r="V83" s="722" t="e">
        <f>+'[6]입력 시트(0124)'!V82</f>
        <v>#REF!</v>
      </c>
      <c r="W83" s="722" t="e">
        <f>+'[6]입력 시트(0124)'!W82</f>
        <v>#REF!</v>
      </c>
      <c r="X83" s="722" t="e">
        <f>+'[6]입력 시트(0124)'!X82</f>
        <v>#REF!</v>
      </c>
      <c r="Y83" s="722" t="e">
        <f>+'[6]입력 시트(0124)'!U82</f>
        <v>#REF!</v>
      </c>
    </row>
    <row r="84" spans="2:25" ht="16.5" hidden="1" customHeight="1" outlineLevel="1">
      <c r="B84" s="735" t="s">
        <v>540</v>
      </c>
      <c r="C84" s="1355" t="s">
        <v>547</v>
      </c>
      <c r="D84" s="1356"/>
      <c r="E84" s="728"/>
      <c r="F84" s="728"/>
      <c r="G84" s="728"/>
      <c r="H84" s="728"/>
      <c r="I84" s="728"/>
      <c r="J84" s="728"/>
      <c r="K84" s="728"/>
      <c r="L84" s="728"/>
      <c r="M84" s="728"/>
      <c r="N84" s="728"/>
      <c r="O84" s="728"/>
      <c r="P84" s="728"/>
      <c r="Q84" s="728"/>
      <c r="T84" s="728"/>
      <c r="U84" s="728"/>
      <c r="V84" s="728"/>
      <c r="W84" s="728"/>
      <c r="X84" s="728"/>
      <c r="Y84" s="728"/>
    </row>
    <row r="85" spans="2:25" ht="16.5" hidden="1" customHeight="1" outlineLevel="1">
      <c r="B85" s="735"/>
      <c r="T85" s="777"/>
      <c r="U85" s="777"/>
      <c r="V85" s="777"/>
      <c r="W85" s="777"/>
      <c r="X85" s="777"/>
      <c r="Y85" s="777"/>
    </row>
    <row r="86" spans="2:25" ht="16.5" customHeight="1" outlineLevel="1">
      <c r="B86" s="730" t="s">
        <v>548</v>
      </c>
      <c r="C86" s="742"/>
      <c r="D86" s="749"/>
      <c r="E86" s="750"/>
      <c r="F86" s="750"/>
      <c r="G86" s="750"/>
      <c r="H86" s="750"/>
      <c r="I86" s="750"/>
      <c r="J86" s="750"/>
      <c r="K86" s="750"/>
      <c r="L86" s="750"/>
      <c r="M86" s="750"/>
      <c r="N86" s="750"/>
      <c r="O86" s="750"/>
      <c r="P86" s="750"/>
      <c r="Q86" s="750"/>
      <c r="T86" s="953"/>
      <c r="U86" s="953"/>
      <c r="V86" s="953"/>
      <c r="W86" s="953"/>
      <c r="X86" s="953"/>
      <c r="Y86" s="953"/>
    </row>
    <row r="87" spans="2:25" ht="16.5" customHeight="1" outlineLevel="1">
      <c r="B87" s="735" t="s">
        <v>487</v>
      </c>
      <c r="E87" s="801"/>
      <c r="F87" s="801"/>
      <c r="G87" s="801"/>
      <c r="H87" s="801"/>
      <c r="I87" s="801"/>
      <c r="J87" s="801"/>
      <c r="K87" s="801"/>
      <c r="L87" s="801"/>
      <c r="M87" s="801"/>
      <c r="N87" s="801"/>
      <c r="O87" s="801"/>
      <c r="P87" s="801"/>
      <c r="Q87" s="801"/>
      <c r="T87" s="801"/>
      <c r="U87" s="801"/>
      <c r="V87" s="801"/>
      <c r="W87" s="801"/>
      <c r="X87" s="801"/>
      <c r="Y87" s="801"/>
    </row>
    <row r="88" spans="2:25" ht="16.5" customHeight="1" outlineLevel="1">
      <c r="B88" s="735" t="s">
        <v>528</v>
      </c>
      <c r="C88" s="724" t="s">
        <v>530</v>
      </c>
      <c r="D88" s="813" t="s">
        <v>531</v>
      </c>
      <c r="E88" s="814">
        <f>+'Input 기초'!F24</f>
        <v>587028</v>
      </c>
      <c r="F88" s="814">
        <f>+'Input 기초'!G24</f>
        <v>1418209</v>
      </c>
      <c r="G88" s="814">
        <f>+'Input 기초'!H24</f>
        <v>548132</v>
      </c>
      <c r="H88" s="814">
        <f>+'Input 기초'!F98</f>
        <v>819000</v>
      </c>
      <c r="I88" s="814">
        <f>+'Input 기초'!G98</f>
        <v>2576600</v>
      </c>
      <c r="J88" s="814">
        <f>+'Input 기초'!H98</f>
        <v>2600000</v>
      </c>
      <c r="K88" s="814">
        <f>+'Input 기초'!I98</f>
        <v>405600</v>
      </c>
      <c r="L88" s="814">
        <f>+'Input 기초'!J98</f>
        <v>449800</v>
      </c>
      <c r="M88" s="814">
        <f>+'Input 기초'!K98</f>
        <v>590200</v>
      </c>
      <c r="N88" s="814">
        <f>+'Input 기초'!L98</f>
        <v>605800</v>
      </c>
      <c r="O88" s="814">
        <f>+'Input 기초'!M98</f>
        <v>616200</v>
      </c>
      <c r="P88" s="814">
        <f>+'Input 기초'!N98</f>
        <v>429000</v>
      </c>
      <c r="Q88" s="814">
        <f>+'Input 기초'!O98</f>
        <v>5.2</v>
      </c>
      <c r="T88" s="814">
        <f>+'Input 기초'!U73</f>
        <v>0</v>
      </c>
      <c r="U88" s="814">
        <f>+'Input 기초'!V73</f>
        <v>0</v>
      </c>
      <c r="V88" s="814">
        <f>+'Input 기초'!W73</f>
        <v>0</v>
      </c>
      <c r="W88" s="814">
        <f>+'Input 기초'!X73</f>
        <v>0</v>
      </c>
      <c r="X88" s="814">
        <f>+'Input 기초'!Y73</f>
        <v>0</v>
      </c>
      <c r="Y88" s="814">
        <f>+'Input 기초'!Z73</f>
        <v>0</v>
      </c>
    </row>
    <row r="89" spans="2:25" ht="16.5" customHeight="1" outlineLevel="1">
      <c r="B89" s="735" t="s">
        <v>542</v>
      </c>
      <c r="C89" s="720" t="s">
        <v>533</v>
      </c>
      <c r="D89" s="721"/>
      <c r="E89" s="815">
        <v>1</v>
      </c>
      <c r="F89" s="815">
        <v>1</v>
      </c>
      <c r="G89" s="815">
        <v>1</v>
      </c>
      <c r="H89" s="815">
        <v>1</v>
      </c>
      <c r="I89" s="815">
        <v>1</v>
      </c>
      <c r="J89" s="815">
        <v>1</v>
      </c>
      <c r="K89" s="815">
        <v>1</v>
      </c>
      <c r="L89" s="815">
        <v>1</v>
      </c>
      <c r="M89" s="815">
        <v>1</v>
      </c>
      <c r="N89" s="815">
        <v>1</v>
      </c>
      <c r="O89" s="815">
        <v>1</v>
      </c>
      <c r="P89" s="815">
        <v>1</v>
      </c>
      <c r="Q89" s="815">
        <v>1</v>
      </c>
      <c r="T89" s="815">
        <v>1</v>
      </c>
      <c r="U89" s="815">
        <v>1</v>
      </c>
      <c r="V89" s="815">
        <v>1</v>
      </c>
      <c r="W89" s="815">
        <v>1</v>
      </c>
      <c r="X89" s="815">
        <v>1</v>
      </c>
      <c r="Y89" s="815">
        <v>1</v>
      </c>
    </row>
    <row r="90" spans="2:25" ht="16.5" customHeight="1" outlineLevel="1">
      <c r="B90" s="735" t="s">
        <v>534</v>
      </c>
      <c r="C90" s="720" t="s">
        <v>301</v>
      </c>
      <c r="D90" s="721" t="s">
        <v>535</v>
      </c>
      <c r="E90" s="799">
        <f>+E18</f>
        <v>46081</v>
      </c>
      <c r="F90" s="799">
        <f>+F18</f>
        <v>46081</v>
      </c>
      <c r="G90" s="799">
        <f>+G18</f>
        <v>46081</v>
      </c>
      <c r="H90" s="799">
        <f t="shared" ref="H90:Q90" si="15">+H18</f>
        <v>46174</v>
      </c>
      <c r="I90" s="799">
        <f t="shared" si="15"/>
        <v>46204</v>
      </c>
      <c r="J90" s="799">
        <f t="shared" si="15"/>
        <v>46174</v>
      </c>
      <c r="K90" s="799">
        <f t="shared" si="15"/>
        <v>46174</v>
      </c>
      <c r="L90" s="799">
        <f t="shared" si="15"/>
        <v>46204</v>
      </c>
      <c r="M90" s="799">
        <f t="shared" si="15"/>
        <v>46204</v>
      </c>
      <c r="N90" s="799">
        <f t="shared" si="15"/>
        <v>46204</v>
      </c>
      <c r="O90" s="799">
        <f t="shared" si="15"/>
        <v>46235</v>
      </c>
      <c r="P90" s="799">
        <f t="shared" si="15"/>
        <v>46235</v>
      </c>
      <c r="Q90" s="799">
        <f t="shared" si="15"/>
        <v>0</v>
      </c>
      <c r="T90" s="799">
        <v>46112</v>
      </c>
      <c r="U90" s="799">
        <v>46112</v>
      </c>
      <c r="V90" s="799">
        <v>46112</v>
      </c>
      <c r="W90" s="799">
        <v>46112</v>
      </c>
      <c r="X90" s="799">
        <v>46112</v>
      </c>
      <c r="Y90" s="799">
        <v>46112</v>
      </c>
    </row>
    <row r="91" spans="2:25" ht="16.5" customHeight="1" outlineLevel="1">
      <c r="B91" s="735" t="s">
        <v>536</v>
      </c>
      <c r="C91" s="720" t="s">
        <v>309</v>
      </c>
      <c r="D91" s="721" t="s">
        <v>537</v>
      </c>
      <c r="E91" s="799" t="str">
        <f>+'[6]입력 시트(0124)'!E90</f>
        <v>CPI</v>
      </c>
      <c r="F91" s="799" t="s">
        <v>538</v>
      </c>
      <c r="G91" s="799" t="s">
        <v>538</v>
      </c>
      <c r="H91" s="799" t="s">
        <v>538</v>
      </c>
      <c r="I91" s="799" t="s">
        <v>538</v>
      </c>
      <c r="J91" s="799" t="s">
        <v>538</v>
      </c>
      <c r="K91" s="799" t="s">
        <v>538</v>
      </c>
      <c r="L91" s="799" t="s">
        <v>538</v>
      </c>
      <c r="M91" s="799" t="s">
        <v>538</v>
      </c>
      <c r="N91" s="799" t="s">
        <v>538</v>
      </c>
      <c r="O91" s="799" t="s">
        <v>538</v>
      </c>
      <c r="P91" s="799" t="s">
        <v>538</v>
      </c>
      <c r="Q91" s="799" t="s">
        <v>538</v>
      </c>
      <c r="T91" s="799" t="e">
        <f>+'[6]입력 시트(0124)'!T90</f>
        <v>#REF!</v>
      </c>
      <c r="U91" s="799" t="s">
        <v>538</v>
      </c>
      <c r="V91" s="799" t="s">
        <v>538</v>
      </c>
      <c r="W91" s="799" t="s">
        <v>538</v>
      </c>
      <c r="X91" s="799" t="s">
        <v>538</v>
      </c>
      <c r="Y91" s="799" t="s">
        <v>538</v>
      </c>
    </row>
    <row r="92" spans="2:25" ht="16.5" customHeight="1" outlineLevel="1">
      <c r="B92" s="735" t="s">
        <v>539</v>
      </c>
      <c r="C92" s="720" t="s">
        <v>301</v>
      </c>
      <c r="D92" s="721"/>
      <c r="E92" s="799">
        <f>+E19</f>
        <v>46173</v>
      </c>
      <c r="F92" s="799">
        <f>+F19</f>
        <v>46173</v>
      </c>
      <c r="G92" s="799">
        <f>+G19</f>
        <v>46173</v>
      </c>
      <c r="H92" s="799">
        <f t="shared" ref="H92:Q92" si="16">+H19</f>
        <v>46266</v>
      </c>
      <c r="I92" s="799">
        <f t="shared" si="16"/>
        <v>46296</v>
      </c>
      <c r="J92" s="799">
        <f t="shared" si="16"/>
        <v>46266</v>
      </c>
      <c r="K92" s="799">
        <f t="shared" si="16"/>
        <v>46266</v>
      </c>
      <c r="L92" s="799">
        <f t="shared" si="16"/>
        <v>46296</v>
      </c>
      <c r="M92" s="799">
        <f t="shared" si="16"/>
        <v>46296</v>
      </c>
      <c r="N92" s="799">
        <f t="shared" si="16"/>
        <v>46296</v>
      </c>
      <c r="O92" s="799">
        <f t="shared" si="16"/>
        <v>46327</v>
      </c>
      <c r="P92" s="799">
        <f t="shared" si="16"/>
        <v>46327</v>
      </c>
      <c r="Q92" s="799">
        <f t="shared" si="16"/>
        <v>46203</v>
      </c>
      <c r="T92" s="799">
        <f t="shared" ref="T92:Y92" si="17">T19</f>
        <v>46203</v>
      </c>
      <c r="U92" s="799">
        <f t="shared" si="17"/>
        <v>46173</v>
      </c>
      <c r="V92" s="799">
        <f t="shared" si="17"/>
        <v>46173</v>
      </c>
      <c r="W92" s="799">
        <f t="shared" si="17"/>
        <v>46173</v>
      </c>
      <c r="X92" s="799">
        <f t="shared" si="17"/>
        <v>46173</v>
      </c>
      <c r="Y92" s="799">
        <f t="shared" si="17"/>
        <v>46203</v>
      </c>
    </row>
    <row r="93" spans="2:25" ht="16.5" customHeight="1" outlineLevel="1">
      <c r="B93" s="735" t="s">
        <v>540</v>
      </c>
      <c r="C93" s="1375" t="s">
        <v>549</v>
      </c>
      <c r="D93" s="1375"/>
      <c r="E93" s="803"/>
      <c r="F93" s="803"/>
      <c r="G93" s="803"/>
      <c r="H93" s="803"/>
      <c r="I93" s="803"/>
      <c r="J93" s="803"/>
      <c r="K93" s="803"/>
      <c r="L93" s="803"/>
      <c r="M93" s="803"/>
      <c r="N93" s="803"/>
      <c r="O93" s="803"/>
      <c r="P93" s="803"/>
      <c r="Q93" s="803"/>
      <c r="T93" s="803"/>
      <c r="U93" s="803"/>
      <c r="V93" s="803"/>
      <c r="W93" s="803"/>
      <c r="X93" s="803"/>
      <c r="Y93" s="803"/>
    </row>
    <row r="94" spans="2:25" ht="16.5" customHeight="1" outlineLevel="1">
      <c r="B94" s="735"/>
      <c r="T94" s="777"/>
      <c r="U94" s="777"/>
      <c r="V94" s="777"/>
      <c r="W94" s="777"/>
      <c r="X94" s="777"/>
      <c r="Y94" s="777"/>
    </row>
    <row r="95" spans="2:25" ht="16.5" hidden="1" customHeight="1" outlineLevel="1">
      <c r="B95" s="730" t="s">
        <v>550</v>
      </c>
      <c r="C95" s="742"/>
      <c r="D95" s="749"/>
      <c r="E95" s="750"/>
      <c r="F95" s="750"/>
      <c r="G95" s="750"/>
      <c r="H95" s="750"/>
      <c r="I95" s="750"/>
      <c r="J95" s="750"/>
      <c r="K95" s="750"/>
      <c r="L95" s="750"/>
      <c r="M95" s="750"/>
      <c r="N95" s="750"/>
      <c r="O95" s="750"/>
      <c r="P95" s="750"/>
      <c r="Q95" s="750"/>
      <c r="T95" s="953"/>
      <c r="U95" s="953"/>
      <c r="V95" s="953"/>
      <c r="W95" s="953"/>
      <c r="X95" s="953"/>
      <c r="Y95" s="953"/>
    </row>
    <row r="96" spans="2:25" ht="16.5" hidden="1" customHeight="1" outlineLevel="1">
      <c r="B96" s="735" t="s">
        <v>487</v>
      </c>
      <c r="E96" s="726"/>
      <c r="F96" s="726"/>
      <c r="G96" s="726"/>
      <c r="H96" s="726"/>
      <c r="I96" s="726"/>
      <c r="J96" s="726"/>
      <c r="K96" s="726"/>
      <c r="L96" s="726"/>
      <c r="M96" s="726"/>
      <c r="N96" s="726"/>
      <c r="O96" s="726"/>
      <c r="P96" s="726"/>
      <c r="Q96" s="726"/>
      <c r="T96" s="726"/>
      <c r="U96" s="726"/>
      <c r="V96" s="726"/>
      <c r="W96" s="726"/>
      <c r="X96" s="726"/>
      <c r="Y96" s="726"/>
    </row>
    <row r="97" spans="2:25" ht="16.5" hidden="1" customHeight="1" outlineLevel="1">
      <c r="B97" s="735" t="s">
        <v>528</v>
      </c>
      <c r="C97" s="724" t="s">
        <v>530</v>
      </c>
      <c r="D97" s="744" t="s">
        <v>551</v>
      </c>
      <c r="E97" s="753" t="s">
        <v>552</v>
      </c>
      <c r="F97" s="753" t="s">
        <v>552</v>
      </c>
      <c r="G97" s="753" t="s">
        <v>552</v>
      </c>
      <c r="H97" s="753" t="s">
        <v>552</v>
      </c>
      <c r="I97" s="753" t="s">
        <v>552</v>
      </c>
      <c r="J97" s="753" t="s">
        <v>552</v>
      </c>
      <c r="K97" s="753" t="s">
        <v>552</v>
      </c>
      <c r="L97" s="753" t="s">
        <v>552</v>
      </c>
      <c r="M97" s="753" t="s">
        <v>552</v>
      </c>
      <c r="N97" s="753" t="s">
        <v>552</v>
      </c>
      <c r="O97" s="753" t="s">
        <v>552</v>
      </c>
      <c r="P97" s="753" t="s">
        <v>552</v>
      </c>
      <c r="Q97" s="753" t="s">
        <v>552</v>
      </c>
      <c r="T97" s="753" t="s">
        <v>552</v>
      </c>
      <c r="U97" s="753" t="s">
        <v>552</v>
      </c>
      <c r="V97" s="753" t="s">
        <v>552</v>
      </c>
      <c r="W97" s="753" t="s">
        <v>552</v>
      </c>
      <c r="X97" s="753" t="s">
        <v>552</v>
      </c>
      <c r="Y97" s="753" t="s">
        <v>552</v>
      </c>
    </row>
    <row r="98" spans="2:25" ht="16.5" hidden="1" customHeight="1" outlineLevel="1">
      <c r="B98" s="735" t="s">
        <v>542</v>
      </c>
      <c r="C98" s="720" t="s">
        <v>533</v>
      </c>
      <c r="D98" s="721"/>
      <c r="E98" s="747" t="s">
        <v>67</v>
      </c>
      <c r="F98" s="747" t="s">
        <v>67</v>
      </c>
      <c r="G98" s="747" t="s">
        <v>67</v>
      </c>
      <c r="H98" s="747" t="s">
        <v>67</v>
      </c>
      <c r="I98" s="747" t="s">
        <v>67</v>
      </c>
      <c r="J98" s="747" t="s">
        <v>67</v>
      </c>
      <c r="K98" s="747" t="s">
        <v>67</v>
      </c>
      <c r="L98" s="747" t="s">
        <v>67</v>
      </c>
      <c r="M98" s="747" t="s">
        <v>67</v>
      </c>
      <c r="N98" s="747" t="s">
        <v>67</v>
      </c>
      <c r="O98" s="747" t="s">
        <v>67</v>
      </c>
      <c r="P98" s="747" t="s">
        <v>67</v>
      </c>
      <c r="Q98" s="747" t="s">
        <v>67</v>
      </c>
      <c r="T98" s="747" t="s">
        <v>67</v>
      </c>
      <c r="U98" s="747" t="s">
        <v>67</v>
      </c>
      <c r="V98" s="747" t="s">
        <v>67</v>
      </c>
      <c r="W98" s="747" t="s">
        <v>67</v>
      </c>
      <c r="X98" s="747" t="s">
        <v>67</v>
      </c>
      <c r="Y98" s="747" t="s">
        <v>67</v>
      </c>
    </row>
    <row r="99" spans="2:25" ht="16.5" hidden="1" customHeight="1" outlineLevel="1">
      <c r="B99" s="735" t="s">
        <v>534</v>
      </c>
      <c r="C99" s="720" t="s">
        <v>301</v>
      </c>
      <c r="D99" s="721" t="s">
        <v>546</v>
      </c>
      <c r="E99" s="722">
        <f>+EDATE(E16,-25)</f>
        <v>45231</v>
      </c>
      <c r="F99" s="722">
        <f t="shared" ref="F99:M99" si="18">+EDATE(F16,-25)</f>
        <v>45200</v>
      </c>
      <c r="G99" s="722">
        <f t="shared" si="18"/>
        <v>45200</v>
      </c>
      <c r="H99" s="722">
        <f t="shared" si="18"/>
        <v>45352</v>
      </c>
      <c r="I99" s="722">
        <f t="shared" si="18"/>
        <v>45383</v>
      </c>
      <c r="J99" s="722">
        <f t="shared" si="18"/>
        <v>45352</v>
      </c>
      <c r="K99" s="722">
        <f t="shared" si="18"/>
        <v>45352</v>
      </c>
      <c r="L99" s="722">
        <f t="shared" si="18"/>
        <v>45383</v>
      </c>
      <c r="M99" s="722">
        <f t="shared" si="18"/>
        <v>45383</v>
      </c>
      <c r="N99" s="722">
        <f>+EDATE(N16,-25)</f>
        <v>45383</v>
      </c>
      <c r="O99" s="722">
        <f>+EDATE(O16,-25)</f>
        <v>45413</v>
      </c>
      <c r="P99" s="722">
        <f>+EDATE(P16,-25)</f>
        <v>45413</v>
      </c>
      <c r="Q99" s="722">
        <f>+EDATE(Q16,-25)</f>
        <v>45260</v>
      </c>
      <c r="T99" s="722">
        <f t="shared" ref="T99:Y99" si="19">+EDATE(T16,-25)</f>
        <v>45200</v>
      </c>
      <c r="U99" s="722">
        <f t="shared" si="19"/>
        <v>45200</v>
      </c>
      <c r="V99" s="722">
        <f t="shared" si="19"/>
        <v>45200</v>
      </c>
      <c r="W99" s="722">
        <f t="shared" si="19"/>
        <v>45200</v>
      </c>
      <c r="X99" s="722">
        <f t="shared" si="19"/>
        <v>45200</v>
      </c>
      <c r="Y99" s="722">
        <f t="shared" si="19"/>
        <v>45260</v>
      </c>
    </row>
    <row r="100" spans="2:25" ht="16.5" hidden="1" customHeight="1" outlineLevel="1">
      <c r="B100" s="735" t="s">
        <v>553</v>
      </c>
      <c r="C100" s="720" t="s">
        <v>309</v>
      </c>
      <c r="D100" s="721" t="s">
        <v>537</v>
      </c>
      <c r="E100" s="722" t="str">
        <f>+'[6]입력 시트(0124)'!E99</f>
        <v>N/A</v>
      </c>
      <c r="F100" s="722" t="str">
        <f>+'[6]입력 시트(0124)'!F99</f>
        <v>N/A</v>
      </c>
      <c r="G100" s="722" t="str">
        <f>+'[6]입력 시트(0124)'!G99</f>
        <v>N/A</v>
      </c>
      <c r="H100" s="722" t="str">
        <f>+'[6]입력 시트(0124)'!H99</f>
        <v>N/A</v>
      </c>
      <c r="I100" s="722" t="str">
        <f>+'[6]입력 시트(0124)'!I99</f>
        <v>N/A</v>
      </c>
      <c r="J100" s="722" t="s">
        <v>554</v>
      </c>
      <c r="K100" s="722" t="s">
        <v>554</v>
      </c>
      <c r="L100" s="722" t="s">
        <v>554</v>
      </c>
      <c r="M100" s="722" t="s">
        <v>554</v>
      </c>
      <c r="N100" s="722" t="e">
        <f>+'[6]입력 시트(0124)'!N99</f>
        <v>#REF!</v>
      </c>
      <c r="O100" s="722" t="e">
        <f>+'[6]입력 시트(0124)'!O99</f>
        <v>#REF!</v>
      </c>
      <c r="P100" s="722" t="e">
        <f>+'[6]입력 시트(0124)'!P99</f>
        <v>#REF!</v>
      </c>
      <c r="Q100" s="722" t="e">
        <f>+'[6]입력 시트(0124)'!Q99</f>
        <v>#REF!</v>
      </c>
      <c r="T100" s="722" t="e">
        <f>+'[6]입력 시트(0124)'!T99</f>
        <v>#REF!</v>
      </c>
      <c r="U100" s="722" t="e">
        <f>+'[6]입력 시트(0124)'!U99</f>
        <v>#REF!</v>
      </c>
      <c r="V100" s="722" t="e">
        <f>+'[6]입력 시트(0124)'!V99</f>
        <v>#REF!</v>
      </c>
      <c r="W100" s="722" t="e">
        <f>+'[6]입력 시트(0124)'!W99</f>
        <v>#REF!</v>
      </c>
      <c r="X100" s="722" t="e">
        <f>+'[6]입력 시트(0124)'!X99</f>
        <v>#REF!</v>
      </c>
      <c r="Y100" s="722" t="s">
        <v>554</v>
      </c>
    </row>
    <row r="101" spans="2:25" ht="16.5" hidden="1" customHeight="1" outlineLevel="1">
      <c r="B101" s="735" t="s">
        <v>539</v>
      </c>
      <c r="C101" s="720" t="s">
        <v>301</v>
      </c>
      <c r="D101" s="721"/>
      <c r="E101" s="722">
        <f>+'[6]입력 시트(0124)'!E100</f>
        <v>45901</v>
      </c>
      <c r="F101" s="722">
        <f>+'[6]입력 시트(0124)'!F100</f>
        <v>45901</v>
      </c>
      <c r="G101" s="722">
        <f>+'[6]입력 시트(0124)'!G100</f>
        <v>45901</v>
      </c>
      <c r="H101" s="722">
        <f>+'[6]입력 시트(0124)'!H100</f>
        <v>45901</v>
      </c>
      <c r="I101" s="722">
        <f>+'[6]입력 시트(0124)'!I100</f>
        <v>45931</v>
      </c>
      <c r="J101" s="722" t="e">
        <f>+'[6]입력 시트(0124)'!J100</f>
        <v>#REF!</v>
      </c>
      <c r="K101" s="722" t="e">
        <f>+'[6]입력 시트(0124)'!K100</f>
        <v>#REF!</v>
      </c>
      <c r="L101" s="722" t="e">
        <f>+'[6]입력 시트(0124)'!L100</f>
        <v>#REF!</v>
      </c>
      <c r="M101" s="722" t="e">
        <f>+'[6]입력 시트(0124)'!M100</f>
        <v>#REF!</v>
      </c>
      <c r="N101" s="722" t="e">
        <f>+'[6]입력 시트(0124)'!N100</f>
        <v>#REF!</v>
      </c>
      <c r="O101" s="722" t="e">
        <f>+'[6]입력 시트(0124)'!O100</f>
        <v>#REF!</v>
      </c>
      <c r="P101" s="722" t="e">
        <f>+'[6]입력 시트(0124)'!P100</f>
        <v>#REF!</v>
      </c>
      <c r="Q101" s="722" t="e">
        <f>+'[6]입력 시트(0124)'!Q100</f>
        <v>#REF!</v>
      </c>
      <c r="T101" s="722" t="e">
        <f>+'[6]입력 시트(0124)'!T100</f>
        <v>#REF!</v>
      </c>
      <c r="U101" s="722" t="e">
        <f>+'[6]입력 시트(0124)'!U100</f>
        <v>#REF!</v>
      </c>
      <c r="V101" s="722" t="e">
        <f>+'[6]입력 시트(0124)'!V100</f>
        <v>#REF!</v>
      </c>
      <c r="W101" s="722" t="e">
        <f>+'[6]입력 시트(0124)'!W100</f>
        <v>#REF!</v>
      </c>
      <c r="X101" s="722" t="e">
        <f>+'[6]입력 시트(0124)'!X100</f>
        <v>#REF!</v>
      </c>
      <c r="Y101" s="722" t="e">
        <f>+'[6]입력 시트(0124)'!Y100</f>
        <v>#REF!</v>
      </c>
    </row>
    <row r="102" spans="2:25" ht="16.5" hidden="1" customHeight="1" outlineLevel="1">
      <c r="B102" s="735" t="s">
        <v>540</v>
      </c>
      <c r="C102" s="1355" t="s">
        <v>547</v>
      </c>
      <c r="D102" s="1356"/>
      <c r="E102" s="728"/>
      <c r="F102" s="728"/>
      <c r="G102" s="728"/>
      <c r="H102" s="728"/>
      <c r="I102" s="728"/>
      <c r="J102" s="728"/>
      <c r="K102" s="728"/>
      <c r="L102" s="728"/>
      <c r="M102" s="728"/>
      <c r="N102" s="728"/>
      <c r="O102" s="728"/>
      <c r="P102" s="728"/>
      <c r="Q102" s="728"/>
      <c r="T102" s="728"/>
      <c r="U102" s="728"/>
      <c r="V102" s="728"/>
      <c r="W102" s="728"/>
      <c r="X102" s="728"/>
      <c r="Y102" s="728"/>
    </row>
    <row r="103" spans="2:25" ht="16.5" hidden="1" customHeight="1" outlineLevel="1">
      <c r="B103" s="735"/>
      <c r="T103" s="777"/>
      <c r="U103" s="777"/>
      <c r="V103" s="777"/>
      <c r="W103" s="777"/>
      <c r="X103" s="777"/>
      <c r="Y103" s="777"/>
    </row>
    <row r="104" spans="2:25" ht="16.5" customHeight="1" outlineLevel="1">
      <c r="B104" s="730" t="s">
        <v>555</v>
      </c>
      <c r="C104" s="742"/>
      <c r="D104" s="749"/>
      <c r="E104" s="750"/>
      <c r="F104" s="750"/>
      <c r="G104" s="750"/>
      <c r="H104" s="750"/>
      <c r="I104" s="750"/>
      <c r="J104" s="750"/>
      <c r="K104" s="750"/>
      <c r="L104" s="750"/>
      <c r="M104" s="750"/>
      <c r="N104" s="750"/>
      <c r="O104" s="750"/>
      <c r="P104" s="750"/>
      <c r="Q104" s="750"/>
      <c r="T104" s="953"/>
      <c r="U104" s="953"/>
      <c r="V104" s="953"/>
      <c r="W104" s="953"/>
      <c r="X104" s="953"/>
      <c r="Y104" s="953"/>
    </row>
    <row r="105" spans="2:25" ht="16.5" customHeight="1" outlineLevel="1">
      <c r="B105" s="735" t="s">
        <v>487</v>
      </c>
      <c r="E105" s="801"/>
      <c r="F105" s="801"/>
      <c r="G105" s="801"/>
      <c r="H105" s="801"/>
      <c r="I105" s="801"/>
      <c r="J105" s="801"/>
      <c r="K105" s="801"/>
      <c r="L105" s="801"/>
      <c r="M105" s="801"/>
      <c r="N105" s="801"/>
      <c r="O105" s="801"/>
      <c r="P105" s="801"/>
      <c r="Q105" s="801"/>
      <c r="T105" s="801"/>
      <c r="U105" s="801"/>
      <c r="V105" s="801"/>
      <c r="W105" s="801"/>
      <c r="X105" s="801"/>
      <c r="Y105" s="801"/>
    </row>
    <row r="106" spans="2:25" ht="16.5" customHeight="1" outlineLevel="1">
      <c r="B106" s="735" t="s">
        <v>528</v>
      </c>
      <c r="C106" s="724" t="s">
        <v>530</v>
      </c>
      <c r="D106" s="813" t="s">
        <v>531</v>
      </c>
      <c r="E106" s="814">
        <f>+'Input 기초'!F25</f>
        <v>1354680</v>
      </c>
      <c r="F106" s="814">
        <f>+'Input 기초'!G25</f>
        <v>3272790</v>
      </c>
      <c r="G106" s="814">
        <f>+'Input 기초'!H25</f>
        <v>1264919.9999999998</v>
      </c>
      <c r="H106" s="816">
        <f>+'Input 기초'!F99</f>
        <v>1890000</v>
      </c>
      <c r="I106" s="816">
        <f>+'Input 기초'!G99</f>
        <v>5946000</v>
      </c>
      <c r="J106" s="816">
        <f>+'Input 기초'!H99</f>
        <v>6000000</v>
      </c>
      <c r="K106" s="816">
        <f>+'Input 기초'!I99</f>
        <v>936000</v>
      </c>
      <c r="L106" s="816">
        <f>+'Input 기초'!J99</f>
        <v>1038000</v>
      </c>
      <c r="M106" s="816">
        <f>+'Input 기초'!K99</f>
        <v>1362000</v>
      </c>
      <c r="N106" s="816">
        <f>+'Input 기초'!L99</f>
        <v>1398000</v>
      </c>
      <c r="O106" s="816">
        <f>+'Input 기초'!M99</f>
        <v>1422000</v>
      </c>
      <c r="P106" s="816">
        <f>+'Input 기초'!N99</f>
        <v>990000</v>
      </c>
      <c r="Q106" s="816">
        <f>+'Input 기초'!O99</f>
        <v>12</v>
      </c>
      <c r="R106" s="777"/>
      <c r="T106" s="816">
        <f>+'Input 기초'!U74</f>
        <v>0</v>
      </c>
      <c r="U106" s="816">
        <f>+'Input 기초'!V74</f>
        <v>0</v>
      </c>
      <c r="V106" s="816">
        <f>+'Input 기초'!W74</f>
        <v>0</v>
      </c>
      <c r="W106" s="816">
        <f>+'Input 기초'!X74</f>
        <v>0</v>
      </c>
      <c r="X106" s="816">
        <f>+'Input 기초'!Y74</f>
        <v>0</v>
      </c>
      <c r="Y106" s="816">
        <f>+'Input 기초'!Z74</f>
        <v>0</v>
      </c>
    </row>
    <row r="107" spans="2:25" ht="16.5" customHeight="1" outlineLevel="1">
      <c r="B107" s="735" t="s">
        <v>542</v>
      </c>
      <c r="C107" s="720" t="s">
        <v>533</v>
      </c>
      <c r="D107" s="721"/>
      <c r="E107" s="815" t="s">
        <v>67</v>
      </c>
      <c r="F107" s="815" t="s">
        <v>67</v>
      </c>
      <c r="G107" s="815" t="s">
        <v>67</v>
      </c>
      <c r="H107" s="815" t="s">
        <v>67</v>
      </c>
      <c r="I107" s="815" t="s">
        <v>67</v>
      </c>
      <c r="J107" s="815" t="s">
        <v>67</v>
      </c>
      <c r="K107" s="815" t="s">
        <v>67</v>
      </c>
      <c r="L107" s="815" t="s">
        <v>67</v>
      </c>
      <c r="M107" s="815" t="s">
        <v>67</v>
      </c>
      <c r="N107" s="815" t="s">
        <v>67</v>
      </c>
      <c r="O107" s="815" t="s">
        <v>67</v>
      </c>
      <c r="P107" s="815" t="s">
        <v>67</v>
      </c>
      <c r="Q107" s="815" t="s">
        <v>67</v>
      </c>
      <c r="T107" s="815" t="s">
        <v>67</v>
      </c>
      <c r="U107" s="815" t="s">
        <v>67</v>
      </c>
      <c r="V107" s="815" t="s">
        <v>67</v>
      </c>
      <c r="W107" s="815" t="s">
        <v>67</v>
      </c>
      <c r="X107" s="815" t="s">
        <v>67</v>
      </c>
      <c r="Y107" s="815" t="s">
        <v>67</v>
      </c>
    </row>
    <row r="108" spans="2:25" ht="16.5" customHeight="1" outlineLevel="1">
      <c r="B108" s="735" t="s">
        <v>534</v>
      </c>
      <c r="C108" s="720" t="s">
        <v>301</v>
      </c>
      <c r="D108" s="721" t="s">
        <v>535</v>
      </c>
      <c r="E108" s="799">
        <f>+E18</f>
        <v>46081</v>
      </c>
      <c r="F108" s="799">
        <f>+F18</f>
        <v>46081</v>
      </c>
      <c r="G108" s="799">
        <f>+G18</f>
        <v>46081</v>
      </c>
      <c r="H108" s="799">
        <f t="shared" ref="H108:Q108" si="20">+H18</f>
        <v>46174</v>
      </c>
      <c r="I108" s="799">
        <f t="shared" si="20"/>
        <v>46204</v>
      </c>
      <c r="J108" s="799">
        <f t="shared" si="20"/>
        <v>46174</v>
      </c>
      <c r="K108" s="799">
        <f t="shared" si="20"/>
        <v>46174</v>
      </c>
      <c r="L108" s="799">
        <f t="shared" si="20"/>
        <v>46204</v>
      </c>
      <c r="M108" s="799">
        <f t="shared" si="20"/>
        <v>46204</v>
      </c>
      <c r="N108" s="799">
        <f t="shared" si="20"/>
        <v>46204</v>
      </c>
      <c r="O108" s="799">
        <f t="shared" si="20"/>
        <v>46235</v>
      </c>
      <c r="P108" s="799">
        <f t="shared" si="20"/>
        <v>46235</v>
      </c>
      <c r="Q108" s="799">
        <f t="shared" si="20"/>
        <v>0</v>
      </c>
      <c r="T108" s="799">
        <v>46112</v>
      </c>
      <c r="U108" s="799">
        <v>46112</v>
      </c>
      <c r="V108" s="799">
        <v>46112</v>
      </c>
      <c r="W108" s="799">
        <v>46112</v>
      </c>
      <c r="X108" s="799">
        <v>46112</v>
      </c>
      <c r="Y108" s="799">
        <v>46112</v>
      </c>
    </row>
    <row r="109" spans="2:25" ht="16.5" customHeight="1" outlineLevel="1">
      <c r="B109" s="735" t="s">
        <v>536</v>
      </c>
      <c r="C109" s="720" t="s">
        <v>309</v>
      </c>
      <c r="D109" s="721" t="s">
        <v>537</v>
      </c>
      <c r="E109" s="799" t="str">
        <f>+'[6]입력 시트(0124)'!E108</f>
        <v>N/A</v>
      </c>
      <c r="F109" s="799" t="str">
        <f>+'[6]입력 시트(0124)'!F108</f>
        <v>N/A</v>
      </c>
      <c r="G109" s="799" t="str">
        <f>+'[6]입력 시트(0124)'!G108</f>
        <v>N/A</v>
      </c>
      <c r="H109" s="799" t="str">
        <f>+'[6]입력 시트(0124)'!H108</f>
        <v>N/A</v>
      </c>
      <c r="I109" s="799" t="str">
        <f>+'[6]입력 시트(0124)'!I108</f>
        <v>N/A</v>
      </c>
      <c r="J109" s="799" t="s">
        <v>554</v>
      </c>
      <c r="K109" s="799" t="s">
        <v>554</v>
      </c>
      <c r="L109" s="799" t="s">
        <v>554</v>
      </c>
      <c r="M109" s="799" t="s">
        <v>554</v>
      </c>
      <c r="N109" s="799" t="s">
        <v>554</v>
      </c>
      <c r="O109" s="799" t="s">
        <v>554</v>
      </c>
      <c r="P109" s="799" t="s">
        <v>554</v>
      </c>
      <c r="Q109" s="799" t="s">
        <v>554</v>
      </c>
      <c r="T109" s="799" t="e">
        <f>+'[6]입력 시트(0124)'!T108</f>
        <v>#REF!</v>
      </c>
      <c r="U109" s="799" t="e">
        <f>+'[6]입력 시트(0124)'!U108</f>
        <v>#REF!</v>
      </c>
      <c r="V109" s="799" t="e">
        <f>+'[6]입력 시트(0124)'!V108</f>
        <v>#REF!</v>
      </c>
      <c r="W109" s="799" t="e">
        <f>+'[6]입력 시트(0124)'!W108</f>
        <v>#REF!</v>
      </c>
      <c r="X109" s="799" t="e">
        <f>+'[6]입력 시트(0124)'!X108</f>
        <v>#REF!</v>
      </c>
      <c r="Y109" s="799" t="s">
        <v>554</v>
      </c>
    </row>
    <row r="110" spans="2:25" ht="16.5" customHeight="1" outlineLevel="1">
      <c r="B110" s="735" t="s">
        <v>539</v>
      </c>
      <c r="C110" s="720" t="s">
        <v>301</v>
      </c>
      <c r="D110" s="721"/>
      <c r="E110" s="799">
        <f>+E19</f>
        <v>46173</v>
      </c>
      <c r="F110" s="799">
        <f>+F19</f>
        <v>46173</v>
      </c>
      <c r="G110" s="799">
        <f>+G19</f>
        <v>46173</v>
      </c>
      <c r="H110" s="799">
        <f t="shared" ref="H110:Q110" si="21">+H19</f>
        <v>46266</v>
      </c>
      <c r="I110" s="799">
        <f t="shared" si="21"/>
        <v>46296</v>
      </c>
      <c r="J110" s="799">
        <f t="shared" si="21"/>
        <v>46266</v>
      </c>
      <c r="K110" s="799">
        <f t="shared" si="21"/>
        <v>46266</v>
      </c>
      <c r="L110" s="799">
        <f t="shared" si="21"/>
        <v>46296</v>
      </c>
      <c r="M110" s="799">
        <f t="shared" si="21"/>
        <v>46296</v>
      </c>
      <c r="N110" s="799">
        <f t="shared" si="21"/>
        <v>46296</v>
      </c>
      <c r="O110" s="799">
        <f t="shared" si="21"/>
        <v>46327</v>
      </c>
      <c r="P110" s="799">
        <f t="shared" si="21"/>
        <v>46327</v>
      </c>
      <c r="Q110" s="799">
        <f t="shared" si="21"/>
        <v>46203</v>
      </c>
      <c r="T110" s="799">
        <f t="shared" ref="T110:Y110" si="22">T19</f>
        <v>46203</v>
      </c>
      <c r="U110" s="799">
        <f t="shared" si="22"/>
        <v>46173</v>
      </c>
      <c r="V110" s="799">
        <f t="shared" si="22"/>
        <v>46173</v>
      </c>
      <c r="W110" s="799">
        <f t="shared" si="22"/>
        <v>46173</v>
      </c>
      <c r="X110" s="799">
        <f t="shared" si="22"/>
        <v>46173</v>
      </c>
      <c r="Y110" s="799">
        <f t="shared" si="22"/>
        <v>46203</v>
      </c>
    </row>
    <row r="111" spans="2:25" ht="16.5" customHeight="1" outlineLevel="1">
      <c r="B111" s="735" t="s">
        <v>540</v>
      </c>
      <c r="C111" s="1375" t="s">
        <v>556</v>
      </c>
      <c r="D111" s="1375"/>
      <c r="E111" s="803"/>
      <c r="F111" s="803"/>
      <c r="G111" s="803"/>
      <c r="H111" s="803"/>
      <c r="I111" s="803"/>
      <c r="J111" s="803"/>
      <c r="K111" s="803"/>
      <c r="L111" s="803"/>
      <c r="M111" s="803"/>
      <c r="N111" s="803"/>
      <c r="O111" s="803"/>
      <c r="P111" s="803"/>
      <c r="Q111" s="803"/>
      <c r="T111" s="803"/>
      <c r="U111" s="803"/>
      <c r="V111" s="803"/>
      <c r="W111" s="803"/>
      <c r="X111" s="803"/>
      <c r="Y111" s="803"/>
    </row>
    <row r="112" spans="2:25" ht="16.5" customHeight="1" outlineLevel="1">
      <c r="B112" s="735"/>
      <c r="E112" s="723"/>
      <c r="F112" s="723"/>
      <c r="G112" s="723"/>
      <c r="H112" s="723"/>
      <c r="I112" s="723"/>
      <c r="J112" s="723"/>
      <c r="K112" s="723"/>
      <c r="L112" s="723"/>
      <c r="M112" s="723"/>
      <c r="N112" s="723"/>
      <c r="O112" s="723"/>
      <c r="P112" s="723"/>
      <c r="Q112" s="723"/>
      <c r="T112" s="954"/>
      <c r="U112" s="954"/>
      <c r="V112" s="954"/>
      <c r="W112" s="954"/>
      <c r="X112" s="954"/>
      <c r="Y112" s="954"/>
    </row>
    <row r="113" spans="2:25" ht="16.5" hidden="1" customHeight="1" outlineLevel="1">
      <c r="B113" s="730" t="s">
        <v>557</v>
      </c>
      <c r="C113" s="742"/>
      <c r="D113" s="749"/>
      <c r="E113" s="750"/>
      <c r="F113" s="750"/>
      <c r="G113" s="750"/>
      <c r="H113" s="750"/>
      <c r="I113" s="750"/>
      <c r="J113" s="750"/>
      <c r="K113" s="750"/>
      <c r="L113" s="750"/>
      <c r="M113" s="750"/>
      <c r="N113" s="750"/>
      <c r="O113" s="750"/>
      <c r="P113" s="750"/>
      <c r="Q113" s="750"/>
      <c r="T113" s="953"/>
      <c r="U113" s="953"/>
      <c r="V113" s="953"/>
      <c r="W113" s="953"/>
      <c r="X113" s="953"/>
      <c r="Y113" s="953"/>
    </row>
    <row r="114" spans="2:25" ht="16.5" hidden="1" customHeight="1" outlineLevel="1">
      <c r="B114" s="735" t="s">
        <v>487</v>
      </c>
      <c r="E114" s="801"/>
      <c r="F114" s="801"/>
      <c r="G114" s="801"/>
      <c r="H114" s="801"/>
      <c r="I114" s="801"/>
      <c r="J114" s="801"/>
      <c r="K114" s="801"/>
      <c r="L114" s="801"/>
      <c r="M114" s="801"/>
      <c r="N114" s="801"/>
      <c r="O114" s="801"/>
      <c r="P114" s="801"/>
      <c r="Q114" s="801"/>
      <c r="T114" s="801"/>
      <c r="U114" s="801"/>
      <c r="V114" s="801"/>
      <c r="W114" s="801"/>
      <c r="X114" s="801"/>
      <c r="Y114" s="801"/>
    </row>
    <row r="115" spans="2:25" ht="16.5" hidden="1" customHeight="1" outlineLevel="1">
      <c r="B115" s="735" t="s">
        <v>528</v>
      </c>
      <c r="C115" s="724" t="s">
        <v>530</v>
      </c>
      <c r="D115" s="813" t="s">
        <v>551</v>
      </c>
      <c r="E115" s="817"/>
      <c r="F115" s="817"/>
      <c r="G115" s="817"/>
      <c r="H115" s="817"/>
      <c r="I115" s="817"/>
      <c r="J115" s="817"/>
      <c r="K115" s="817"/>
      <c r="L115" s="817"/>
      <c r="M115" s="817"/>
      <c r="N115" s="817"/>
      <c r="O115" s="817"/>
      <c r="P115" s="817"/>
      <c r="Q115" s="817"/>
      <c r="T115" s="817"/>
      <c r="U115" s="817"/>
      <c r="V115" s="817"/>
      <c r="W115" s="817"/>
      <c r="X115" s="817"/>
      <c r="Y115" s="817"/>
    </row>
    <row r="116" spans="2:25" ht="16.5" hidden="1" customHeight="1" outlineLevel="1">
      <c r="B116" s="735" t="s">
        <v>542</v>
      </c>
      <c r="C116" s="720" t="s">
        <v>533</v>
      </c>
      <c r="D116" s="721"/>
      <c r="E116" s="815" t="s">
        <v>67</v>
      </c>
      <c r="F116" s="815" t="s">
        <v>67</v>
      </c>
      <c r="G116" s="815" t="s">
        <v>67</v>
      </c>
      <c r="H116" s="815" t="s">
        <v>67</v>
      </c>
      <c r="I116" s="815" t="s">
        <v>67</v>
      </c>
      <c r="J116" s="815" t="s">
        <v>67</v>
      </c>
      <c r="K116" s="815" t="s">
        <v>67</v>
      </c>
      <c r="L116" s="815" t="s">
        <v>67</v>
      </c>
      <c r="M116" s="815" t="s">
        <v>67</v>
      </c>
      <c r="N116" s="815" t="s">
        <v>67</v>
      </c>
      <c r="O116" s="815" t="s">
        <v>67</v>
      </c>
      <c r="P116" s="815" t="s">
        <v>67</v>
      </c>
      <c r="Q116" s="815" t="s">
        <v>67</v>
      </c>
      <c r="T116" s="815" t="s">
        <v>67</v>
      </c>
      <c r="U116" s="815" t="s">
        <v>67</v>
      </c>
      <c r="V116" s="815" t="s">
        <v>67</v>
      </c>
      <c r="W116" s="815" t="s">
        <v>67</v>
      </c>
      <c r="X116" s="815" t="s">
        <v>67</v>
      </c>
      <c r="Y116" s="815" t="s">
        <v>67</v>
      </c>
    </row>
    <row r="117" spans="2:25" ht="16.5" hidden="1" customHeight="1" outlineLevel="1">
      <c r="B117" s="735" t="s">
        <v>534</v>
      </c>
      <c r="C117" s="720" t="s">
        <v>301</v>
      </c>
      <c r="D117" s="721" t="s">
        <v>535</v>
      </c>
      <c r="E117" s="799" t="s">
        <v>480</v>
      </c>
      <c r="F117" s="799" t="s">
        <v>480</v>
      </c>
      <c r="G117" s="799" t="s">
        <v>480</v>
      </c>
      <c r="H117" s="799"/>
      <c r="I117" s="799"/>
      <c r="J117" s="799"/>
      <c r="K117" s="799"/>
      <c r="L117" s="799"/>
      <c r="M117" s="799"/>
      <c r="N117" s="799"/>
      <c r="O117" s="799"/>
      <c r="P117" s="799"/>
      <c r="Q117" s="799" t="e">
        <f>+'[6]입력 시트(0124)'!Q116</f>
        <v>#REF!</v>
      </c>
      <c r="T117" s="799" t="e">
        <f>+'[6]입력 시트(0124)'!T116</f>
        <v>#REF!</v>
      </c>
      <c r="U117" s="799" t="e">
        <f>+'[6]입력 시트(0124)'!U116</f>
        <v>#REF!</v>
      </c>
      <c r="V117" s="799" t="e">
        <f>+'[6]입력 시트(0124)'!V116</f>
        <v>#REF!</v>
      </c>
      <c r="W117" s="799" t="e">
        <f>+'[6]입력 시트(0124)'!W116</f>
        <v>#REF!</v>
      </c>
      <c r="X117" s="799" t="e">
        <f>+'[6]입력 시트(0124)'!X116</f>
        <v>#REF!</v>
      </c>
      <c r="Y117" s="799">
        <v>45931</v>
      </c>
    </row>
    <row r="118" spans="2:25" ht="16.5" hidden="1" customHeight="1" outlineLevel="1">
      <c r="B118" s="735" t="s">
        <v>536</v>
      </c>
      <c r="C118" s="720" t="s">
        <v>309</v>
      </c>
      <c r="D118" s="721" t="s">
        <v>537</v>
      </c>
      <c r="E118" s="799" t="str">
        <f>+'[6]입력 시트(0124)'!E117</f>
        <v>N/A</v>
      </c>
      <c r="F118" s="799" t="str">
        <f>+'[6]입력 시트(0124)'!F117</f>
        <v>N/A</v>
      </c>
      <c r="G118" s="799" t="str">
        <f>+'[6]입력 시트(0124)'!G117</f>
        <v>N/A</v>
      </c>
      <c r="H118" s="799" t="str">
        <f>+'[6]입력 시트(0124)'!H117</f>
        <v>N/A</v>
      </c>
      <c r="I118" s="799" t="str">
        <f>+'[6]입력 시트(0124)'!I117</f>
        <v>N/A</v>
      </c>
      <c r="J118" s="799" t="s">
        <v>554</v>
      </c>
      <c r="K118" s="799" t="s">
        <v>554</v>
      </c>
      <c r="L118" s="799" t="s">
        <v>554</v>
      </c>
      <c r="M118" s="799" t="s">
        <v>554</v>
      </c>
      <c r="N118" s="799" t="s">
        <v>554</v>
      </c>
      <c r="O118" s="799" t="s">
        <v>554</v>
      </c>
      <c r="P118" s="799" t="s">
        <v>554</v>
      </c>
      <c r="Q118" s="799" t="s">
        <v>554</v>
      </c>
      <c r="T118" s="799" t="e">
        <f>+'[6]입력 시트(0124)'!T117</f>
        <v>#REF!</v>
      </c>
      <c r="U118" s="799" t="e">
        <f>+'[6]입력 시트(0124)'!U117</f>
        <v>#REF!</v>
      </c>
      <c r="V118" s="799" t="e">
        <f>+'[6]입력 시트(0124)'!V117</f>
        <v>#REF!</v>
      </c>
      <c r="W118" s="799" t="e">
        <f>+'[6]입력 시트(0124)'!W117</f>
        <v>#REF!</v>
      </c>
      <c r="X118" s="799" t="e">
        <f>+'[6]입력 시트(0124)'!X117</f>
        <v>#REF!</v>
      </c>
      <c r="Y118" s="799" t="s">
        <v>554</v>
      </c>
    </row>
    <row r="119" spans="2:25" ht="16.5" hidden="1" customHeight="1" outlineLevel="1">
      <c r="B119" s="735" t="s">
        <v>539</v>
      </c>
      <c r="C119" s="720" t="s">
        <v>301</v>
      </c>
      <c r="D119" s="721"/>
      <c r="E119" s="799" t="s">
        <v>480</v>
      </c>
      <c r="F119" s="799" t="s">
        <v>480</v>
      </c>
      <c r="G119" s="799" t="s">
        <v>480</v>
      </c>
      <c r="H119" s="799"/>
      <c r="I119" s="799"/>
      <c r="J119" s="799"/>
      <c r="K119" s="799"/>
      <c r="L119" s="799"/>
      <c r="M119" s="799"/>
      <c r="N119" s="799"/>
      <c r="O119" s="799"/>
      <c r="P119" s="799"/>
      <c r="Q119" s="799" t="e">
        <f>+'[6]입력 시트(0124)'!Q118</f>
        <v>#REF!</v>
      </c>
      <c r="T119" s="799" t="e">
        <f>+'[6]입력 시트(0124)'!T118</f>
        <v>#REF!</v>
      </c>
      <c r="U119" s="799" t="e">
        <f>+'[6]입력 시트(0124)'!U118</f>
        <v>#REF!</v>
      </c>
      <c r="V119" s="799" t="e">
        <f>+'[6]입력 시트(0124)'!V118</f>
        <v>#REF!</v>
      </c>
      <c r="W119" s="799" t="e">
        <f>+'[6]입력 시트(0124)'!W118</f>
        <v>#REF!</v>
      </c>
      <c r="X119" s="799" t="e">
        <f>+'[6]입력 시트(0124)'!X118</f>
        <v>#REF!</v>
      </c>
      <c r="Y119" s="799">
        <v>45931</v>
      </c>
    </row>
    <row r="120" spans="2:25" ht="16.5" hidden="1" customHeight="1" outlineLevel="1">
      <c r="B120" s="735" t="s">
        <v>540</v>
      </c>
      <c r="C120" s="1375" t="s">
        <v>558</v>
      </c>
      <c r="D120" s="1375"/>
      <c r="E120" s="803"/>
      <c r="F120" s="803"/>
      <c r="G120" s="803"/>
      <c r="H120" s="803"/>
      <c r="I120" s="803"/>
      <c r="J120" s="803"/>
      <c r="K120" s="803"/>
      <c r="L120" s="803"/>
      <c r="M120" s="803"/>
      <c r="N120" s="803"/>
      <c r="O120" s="803"/>
      <c r="P120" s="803"/>
      <c r="Q120" s="803"/>
      <c r="T120" s="803"/>
      <c r="U120" s="803"/>
      <c r="V120" s="803"/>
      <c r="W120" s="803"/>
      <c r="X120" s="803"/>
      <c r="Y120" s="803"/>
    </row>
    <row r="121" spans="2:25" ht="16.5" hidden="1" customHeight="1" outlineLevel="1">
      <c r="B121" s="735"/>
      <c r="D121" s="1047"/>
      <c r="E121" s="754"/>
      <c r="F121" s="754"/>
      <c r="G121" s="754"/>
      <c r="H121" s="754"/>
      <c r="I121" s="754"/>
      <c r="J121" s="754"/>
      <c r="K121" s="754"/>
      <c r="L121" s="754"/>
      <c r="M121" s="754"/>
      <c r="N121" s="754"/>
      <c r="O121" s="754"/>
      <c r="P121" s="754"/>
      <c r="Q121" s="754"/>
      <c r="T121" s="955"/>
      <c r="U121" s="955"/>
      <c r="V121" s="955"/>
      <c r="W121" s="955"/>
      <c r="X121" s="955"/>
      <c r="Y121" s="955"/>
    </row>
    <row r="122" spans="2:25" ht="16.5" customHeight="1" outlineLevel="1">
      <c r="B122" s="730" t="s">
        <v>559</v>
      </c>
      <c r="C122" s="742"/>
      <c r="D122" s="749"/>
      <c r="E122" s="755">
        <f>+E125/E24</f>
        <v>40000000</v>
      </c>
      <c r="F122" s="755"/>
      <c r="G122" s="755"/>
      <c r="H122" s="755"/>
      <c r="I122" s="755"/>
      <c r="J122" s="755">
        <f>+J125/J24</f>
        <v>40000000</v>
      </c>
      <c r="K122" s="755">
        <f>+K125/K24</f>
        <v>40000000</v>
      </c>
      <c r="L122" s="755">
        <f t="shared" ref="L122:M122" si="23">+L125/L24</f>
        <v>40000000</v>
      </c>
      <c r="M122" s="755">
        <f t="shared" si="23"/>
        <v>40000000</v>
      </c>
      <c r="N122" s="755">
        <f>+N125/N24</f>
        <v>40000000</v>
      </c>
      <c r="O122" s="755">
        <f>+O125/O24</f>
        <v>40000000</v>
      </c>
      <c r="P122" s="755">
        <f>+P125/P24</f>
        <v>40000000</v>
      </c>
      <c r="Q122" s="755" t="e">
        <f>+Q125/Q24</f>
        <v>#DIV/0!</v>
      </c>
      <c r="T122" s="956">
        <f>+T125/T24</f>
        <v>0</v>
      </c>
      <c r="U122" s="956"/>
      <c r="V122" s="956"/>
      <c r="W122" s="956"/>
      <c r="X122" s="956"/>
      <c r="Y122" s="956">
        <f>+Y125/Y24</f>
        <v>0</v>
      </c>
    </row>
    <row r="123" spans="2:25" ht="16.5" customHeight="1" outlineLevel="1">
      <c r="B123" s="735" t="s">
        <v>487</v>
      </c>
      <c r="E123" s="801"/>
      <c r="F123" s="801"/>
      <c r="G123" s="801"/>
      <c r="H123" s="801"/>
      <c r="I123" s="801"/>
      <c r="J123" s="801"/>
      <c r="K123" s="801"/>
      <c r="L123" s="801"/>
      <c r="M123" s="801"/>
      <c r="N123" s="801"/>
      <c r="O123" s="801"/>
      <c r="P123" s="801"/>
      <c r="Q123" s="801"/>
      <c r="T123" s="801"/>
      <c r="U123" s="801"/>
      <c r="V123" s="801"/>
      <c r="W123" s="801"/>
      <c r="X123" s="801"/>
      <c r="Y123" s="801"/>
    </row>
    <row r="124" spans="2:25" ht="16.5" customHeight="1" outlineLevel="1">
      <c r="B124" s="735" t="s">
        <v>560</v>
      </c>
      <c r="E124" s="818">
        <v>0</v>
      </c>
      <c r="F124" s="818">
        <v>0</v>
      </c>
      <c r="G124" s="818">
        <v>0</v>
      </c>
      <c r="H124" s="818">
        <v>0</v>
      </c>
      <c r="I124" s="818">
        <v>0</v>
      </c>
      <c r="J124" s="818">
        <v>0</v>
      </c>
      <c r="K124" s="818">
        <v>0</v>
      </c>
      <c r="L124" s="818">
        <v>0</v>
      </c>
      <c r="M124" s="818">
        <v>0</v>
      </c>
      <c r="N124" s="818">
        <v>0</v>
      </c>
      <c r="O124" s="818">
        <v>0</v>
      </c>
      <c r="P124" s="818">
        <v>0</v>
      </c>
      <c r="Q124" s="818">
        <v>0</v>
      </c>
      <c r="T124" s="818">
        <v>0</v>
      </c>
      <c r="U124" s="818">
        <v>0</v>
      </c>
      <c r="V124" s="818">
        <v>0</v>
      </c>
      <c r="W124" s="818">
        <v>0</v>
      </c>
      <c r="X124" s="818">
        <v>0</v>
      </c>
      <c r="Y124" s="818">
        <v>0</v>
      </c>
    </row>
    <row r="125" spans="2:25" ht="16.5" customHeight="1" outlineLevel="1">
      <c r="B125" s="735" t="s">
        <v>528</v>
      </c>
      <c r="C125" s="724" t="s">
        <v>530</v>
      </c>
      <c r="D125" s="813" t="s">
        <v>531</v>
      </c>
      <c r="E125" s="819">
        <f>+'Input 기초'!F27</f>
        <v>9031200</v>
      </c>
      <c r="F125" s="819">
        <f>+'Input 기초'!G27</f>
        <v>21818600</v>
      </c>
      <c r="G125" s="819">
        <f>+'Input 기초'!H27</f>
        <v>8432800</v>
      </c>
      <c r="H125" s="819">
        <f>+'Input 기초'!F101</f>
        <v>12600000</v>
      </c>
      <c r="I125" s="819">
        <f>+'Input 기초'!G101</f>
        <v>49550000</v>
      </c>
      <c r="J125" s="819">
        <f>+'Input 기초'!H101</f>
        <v>40000000</v>
      </c>
      <c r="K125" s="819">
        <f>+'Input 기초'!I101</f>
        <v>6240000</v>
      </c>
      <c r="L125" s="819">
        <f>+'Input 기초'!J101</f>
        <v>6920000</v>
      </c>
      <c r="M125" s="819">
        <f>+'Input 기초'!K101</f>
        <v>9080000</v>
      </c>
      <c r="N125" s="819">
        <f>+'Input 기초'!L101</f>
        <v>9320000</v>
      </c>
      <c r="O125" s="819">
        <f>+'Input 기초'!M101</f>
        <v>9480000</v>
      </c>
      <c r="P125" s="819">
        <f>+'Input 기초'!N101</f>
        <v>6600000</v>
      </c>
      <c r="Q125" s="819"/>
      <c r="T125" s="819">
        <f>+'Input 기초'!U76</f>
        <v>0</v>
      </c>
      <c r="U125" s="819">
        <f>+'Input 기초'!V76</f>
        <v>0</v>
      </c>
      <c r="V125" s="819">
        <f>+'Input 기초'!W76</f>
        <v>0</v>
      </c>
      <c r="W125" s="819">
        <f>+'Input 기초'!X76</f>
        <v>0</v>
      </c>
      <c r="X125" s="819">
        <f>+'Input 기초'!Y76</f>
        <v>0</v>
      </c>
      <c r="Y125" s="819">
        <f>+'Input 기초'!Z76</f>
        <v>0</v>
      </c>
    </row>
    <row r="126" spans="2:25" ht="16.5" customHeight="1" outlineLevel="1">
      <c r="B126" s="735" t="s">
        <v>542</v>
      </c>
      <c r="C126" s="720" t="s">
        <v>533</v>
      </c>
      <c r="D126" s="721"/>
      <c r="E126" s="815" t="s">
        <v>67</v>
      </c>
      <c r="F126" s="815" t="s">
        <v>67</v>
      </c>
      <c r="G126" s="815" t="s">
        <v>67</v>
      </c>
      <c r="H126" s="815" t="s">
        <v>67</v>
      </c>
      <c r="I126" s="815" t="s">
        <v>67</v>
      </c>
      <c r="J126" s="815" t="s">
        <v>67</v>
      </c>
      <c r="K126" s="815" t="s">
        <v>67</v>
      </c>
      <c r="L126" s="815" t="s">
        <v>67</v>
      </c>
      <c r="M126" s="815" t="s">
        <v>67</v>
      </c>
      <c r="N126" s="815" t="s">
        <v>67</v>
      </c>
      <c r="O126" s="815" t="s">
        <v>67</v>
      </c>
      <c r="P126" s="815" t="s">
        <v>67</v>
      </c>
      <c r="Q126" s="815" t="s">
        <v>67</v>
      </c>
      <c r="T126" s="815" t="s">
        <v>67</v>
      </c>
      <c r="U126" s="815" t="s">
        <v>67</v>
      </c>
      <c r="V126" s="815" t="s">
        <v>67</v>
      </c>
      <c r="W126" s="815" t="s">
        <v>67</v>
      </c>
      <c r="X126" s="815" t="s">
        <v>67</v>
      </c>
      <c r="Y126" s="815" t="s">
        <v>67</v>
      </c>
    </row>
    <row r="127" spans="2:25" ht="16.5" customHeight="1" outlineLevel="1">
      <c r="B127" s="735" t="s">
        <v>534</v>
      </c>
      <c r="C127" s="720" t="s">
        <v>301</v>
      </c>
      <c r="D127" s="721" t="s">
        <v>535</v>
      </c>
      <c r="E127" s="799">
        <f>+E18</f>
        <v>46081</v>
      </c>
      <c r="F127" s="799">
        <f>+F18</f>
        <v>46081</v>
      </c>
      <c r="G127" s="799">
        <f>+G18</f>
        <v>46081</v>
      </c>
      <c r="H127" s="799">
        <f t="shared" ref="H127:Q127" si="24">H19</f>
        <v>46266</v>
      </c>
      <c r="I127" s="799">
        <f t="shared" si="24"/>
        <v>46296</v>
      </c>
      <c r="J127" s="799">
        <f t="shared" si="24"/>
        <v>46266</v>
      </c>
      <c r="K127" s="799">
        <f t="shared" si="24"/>
        <v>46266</v>
      </c>
      <c r="L127" s="799">
        <f t="shared" si="24"/>
        <v>46296</v>
      </c>
      <c r="M127" s="799">
        <f t="shared" si="24"/>
        <v>46296</v>
      </c>
      <c r="N127" s="799">
        <f t="shared" si="24"/>
        <v>46296</v>
      </c>
      <c r="O127" s="799">
        <f t="shared" si="24"/>
        <v>46327</v>
      </c>
      <c r="P127" s="799">
        <f t="shared" si="24"/>
        <v>46327</v>
      </c>
      <c r="Q127" s="799">
        <f t="shared" si="24"/>
        <v>46203</v>
      </c>
      <c r="T127" s="799">
        <f t="shared" ref="T127:Y127" si="25">T19</f>
        <v>46203</v>
      </c>
      <c r="U127" s="799">
        <f t="shared" si="25"/>
        <v>46173</v>
      </c>
      <c r="V127" s="799">
        <f t="shared" si="25"/>
        <v>46173</v>
      </c>
      <c r="W127" s="799">
        <f t="shared" si="25"/>
        <v>46173</v>
      </c>
      <c r="X127" s="799">
        <f t="shared" si="25"/>
        <v>46173</v>
      </c>
      <c r="Y127" s="799">
        <f t="shared" si="25"/>
        <v>46203</v>
      </c>
    </row>
    <row r="128" spans="2:25" ht="16.5" customHeight="1" outlineLevel="1">
      <c r="B128" s="735" t="s">
        <v>536</v>
      </c>
      <c r="C128" s="720" t="s">
        <v>309</v>
      </c>
      <c r="D128" s="721" t="s">
        <v>537</v>
      </c>
      <c r="E128" s="799" t="str">
        <f>+'[6]입력 시트(0124)'!E127</f>
        <v>N/A</v>
      </c>
      <c r="F128" s="799" t="s">
        <v>554</v>
      </c>
      <c r="G128" s="799" t="s">
        <v>554</v>
      </c>
      <c r="H128" s="799" t="s">
        <v>554</v>
      </c>
      <c r="I128" s="799" t="s">
        <v>554</v>
      </c>
      <c r="J128" s="799" t="s">
        <v>554</v>
      </c>
      <c r="K128" s="799" t="s">
        <v>554</v>
      </c>
      <c r="L128" s="799" t="s">
        <v>554</v>
      </c>
      <c r="M128" s="799" t="s">
        <v>554</v>
      </c>
      <c r="N128" s="799" t="s">
        <v>554</v>
      </c>
      <c r="O128" s="799" t="s">
        <v>554</v>
      </c>
      <c r="P128" s="799" t="s">
        <v>554</v>
      </c>
      <c r="Q128" s="799" t="s">
        <v>554</v>
      </c>
      <c r="T128" s="799" t="e">
        <f>+'[6]입력 시트(0124)'!T127</f>
        <v>#REF!</v>
      </c>
      <c r="U128" s="799" t="s">
        <v>554</v>
      </c>
      <c r="V128" s="799" t="s">
        <v>554</v>
      </c>
      <c r="W128" s="799" t="s">
        <v>554</v>
      </c>
      <c r="X128" s="799" t="s">
        <v>554</v>
      </c>
      <c r="Y128" s="799" t="s">
        <v>554</v>
      </c>
    </row>
    <row r="129" spans="2:25" ht="16.5" customHeight="1" outlineLevel="1">
      <c r="B129" s="735" t="s">
        <v>539</v>
      </c>
      <c r="C129" s="720" t="s">
        <v>301</v>
      </c>
      <c r="D129" s="721"/>
      <c r="E129" s="799">
        <f>+E19</f>
        <v>46173</v>
      </c>
      <c r="F129" s="799">
        <f>+F19</f>
        <v>46173</v>
      </c>
      <c r="G129" s="799">
        <f>+G19</f>
        <v>46173</v>
      </c>
      <c r="H129" s="799">
        <f t="shared" ref="H129:Q129" si="26">H19</f>
        <v>46266</v>
      </c>
      <c r="I129" s="799">
        <f t="shared" si="26"/>
        <v>46296</v>
      </c>
      <c r="J129" s="799">
        <f t="shared" si="26"/>
        <v>46266</v>
      </c>
      <c r="K129" s="799">
        <f t="shared" si="26"/>
        <v>46266</v>
      </c>
      <c r="L129" s="799">
        <f t="shared" si="26"/>
        <v>46296</v>
      </c>
      <c r="M129" s="799">
        <f t="shared" si="26"/>
        <v>46296</v>
      </c>
      <c r="N129" s="799">
        <f t="shared" si="26"/>
        <v>46296</v>
      </c>
      <c r="O129" s="799">
        <f t="shared" si="26"/>
        <v>46327</v>
      </c>
      <c r="P129" s="799">
        <f t="shared" si="26"/>
        <v>46327</v>
      </c>
      <c r="Q129" s="799">
        <f t="shared" si="26"/>
        <v>46203</v>
      </c>
      <c r="T129" s="799">
        <f t="shared" ref="T129:Y129" si="27">T19</f>
        <v>46203</v>
      </c>
      <c r="U129" s="799">
        <f t="shared" si="27"/>
        <v>46173</v>
      </c>
      <c r="V129" s="799">
        <f t="shared" si="27"/>
        <v>46173</v>
      </c>
      <c r="W129" s="799">
        <f t="shared" si="27"/>
        <v>46173</v>
      </c>
      <c r="X129" s="799">
        <f t="shared" si="27"/>
        <v>46173</v>
      </c>
      <c r="Y129" s="799">
        <f t="shared" si="27"/>
        <v>46203</v>
      </c>
    </row>
    <row r="130" spans="2:25" ht="16.5" customHeight="1" outlineLevel="1">
      <c r="B130" s="735" t="s">
        <v>540</v>
      </c>
      <c r="C130" s="1361"/>
      <c r="D130" s="1362"/>
      <c r="E130" s="803"/>
      <c r="F130" s="803"/>
      <c r="G130" s="803"/>
      <c r="H130" s="803"/>
      <c r="I130" s="803"/>
      <c r="J130" s="803"/>
      <c r="K130" s="803"/>
      <c r="L130" s="803"/>
      <c r="M130" s="803"/>
      <c r="N130" s="803"/>
      <c r="O130" s="803"/>
      <c r="P130" s="803"/>
      <c r="Q130" s="803"/>
      <c r="T130" s="803"/>
      <c r="U130" s="803"/>
      <c r="V130" s="803"/>
      <c r="W130" s="803"/>
      <c r="X130" s="803"/>
      <c r="Y130" s="803"/>
    </row>
    <row r="131" spans="2:25" ht="16.5" customHeight="1" outlineLevel="1">
      <c r="B131" s="735"/>
      <c r="E131" s="756"/>
      <c r="F131" s="756"/>
      <c r="G131" s="756"/>
      <c r="H131" s="756"/>
      <c r="I131" s="756"/>
      <c r="J131" s="756"/>
      <c r="K131" s="756"/>
      <c r="L131" s="756"/>
      <c r="M131" s="756"/>
      <c r="N131" s="756"/>
      <c r="O131" s="756"/>
      <c r="P131" s="756"/>
      <c r="Q131" s="756"/>
      <c r="T131" s="957"/>
      <c r="U131" s="957"/>
      <c r="V131" s="957"/>
      <c r="W131" s="957"/>
      <c r="X131" s="957"/>
      <c r="Y131" s="957"/>
    </row>
    <row r="132" spans="2:25" ht="16.5" hidden="1" customHeight="1" outlineLevel="1">
      <c r="B132" s="730" t="s">
        <v>561</v>
      </c>
      <c r="C132" s="742"/>
      <c r="D132" s="749"/>
      <c r="E132" s="750"/>
      <c r="F132" s="750"/>
      <c r="G132" s="750"/>
      <c r="H132" s="750"/>
      <c r="I132" s="750"/>
      <c r="J132" s="750"/>
      <c r="K132" s="750"/>
      <c r="L132" s="750"/>
      <c r="M132" s="750"/>
      <c r="N132" s="750"/>
      <c r="O132" s="750"/>
      <c r="P132" s="750"/>
      <c r="Q132" s="750"/>
      <c r="T132" s="953"/>
      <c r="U132" s="953"/>
      <c r="V132" s="953"/>
      <c r="W132" s="953"/>
      <c r="X132" s="953"/>
      <c r="Y132" s="953"/>
    </row>
    <row r="133" spans="2:25" ht="16.5" hidden="1" customHeight="1" outlineLevel="1">
      <c r="B133" s="735" t="s">
        <v>487</v>
      </c>
      <c r="E133" s="801" t="s">
        <v>545</v>
      </c>
      <c r="F133" s="801" t="s">
        <v>545</v>
      </c>
      <c r="G133" s="801" t="s">
        <v>545</v>
      </c>
      <c r="H133" s="801" t="s">
        <v>545</v>
      </c>
      <c r="I133" s="801" t="s">
        <v>545</v>
      </c>
      <c r="J133" s="801" t="s">
        <v>545</v>
      </c>
      <c r="K133" s="801" t="s">
        <v>545</v>
      </c>
      <c r="L133" s="801" t="s">
        <v>545</v>
      </c>
      <c r="M133" s="801" t="s">
        <v>545</v>
      </c>
      <c r="N133" s="801" t="s">
        <v>545</v>
      </c>
      <c r="O133" s="801" t="s">
        <v>545</v>
      </c>
      <c r="P133" s="801" t="s">
        <v>545</v>
      </c>
      <c r="Q133" s="801" t="s">
        <v>545</v>
      </c>
      <c r="T133" s="801" t="s">
        <v>545</v>
      </c>
      <c r="U133" s="801" t="s">
        <v>545</v>
      </c>
      <c r="V133" s="801" t="s">
        <v>545</v>
      </c>
      <c r="W133" s="801" t="s">
        <v>545</v>
      </c>
      <c r="X133" s="801" t="s">
        <v>545</v>
      </c>
      <c r="Y133" s="801" t="s">
        <v>545</v>
      </c>
    </row>
    <row r="134" spans="2:25" ht="16.5" hidden="1" customHeight="1" outlineLevel="1">
      <c r="B134" s="735" t="s">
        <v>528</v>
      </c>
      <c r="C134" s="724" t="s">
        <v>530</v>
      </c>
      <c r="D134" s="813" t="s">
        <v>531</v>
      </c>
      <c r="E134" s="820"/>
      <c r="F134" s="820"/>
      <c r="G134" s="820"/>
      <c r="H134" s="820"/>
      <c r="I134" s="820"/>
      <c r="J134" s="820"/>
      <c r="K134" s="820"/>
      <c r="L134" s="820"/>
      <c r="M134" s="820"/>
      <c r="N134" s="820"/>
      <c r="O134" s="820"/>
      <c r="P134" s="820"/>
      <c r="Q134" s="820"/>
      <c r="T134" s="820"/>
      <c r="U134" s="820"/>
      <c r="V134" s="820"/>
      <c r="W134" s="820"/>
      <c r="X134" s="820"/>
      <c r="Y134" s="820"/>
    </row>
    <row r="135" spans="2:25" ht="16.5" hidden="1" customHeight="1" outlineLevel="1">
      <c r="B135" s="735" t="s">
        <v>542</v>
      </c>
      <c r="C135" s="720" t="s">
        <v>533</v>
      </c>
      <c r="D135" s="721"/>
      <c r="E135" s="815">
        <v>1</v>
      </c>
      <c r="F135" s="815">
        <v>1</v>
      </c>
      <c r="G135" s="815">
        <v>1</v>
      </c>
      <c r="H135" s="815">
        <v>1</v>
      </c>
      <c r="I135" s="815">
        <v>1</v>
      </c>
      <c r="J135" s="815">
        <v>1</v>
      </c>
      <c r="K135" s="815">
        <v>1</v>
      </c>
      <c r="L135" s="815">
        <v>1</v>
      </c>
      <c r="M135" s="815">
        <v>1</v>
      </c>
      <c r="N135" s="815">
        <v>1</v>
      </c>
      <c r="O135" s="815">
        <v>1</v>
      </c>
      <c r="P135" s="815">
        <v>1</v>
      </c>
      <c r="Q135" s="815">
        <v>1</v>
      </c>
      <c r="T135" s="815">
        <v>1</v>
      </c>
      <c r="U135" s="815">
        <v>1</v>
      </c>
      <c r="V135" s="815">
        <v>1</v>
      </c>
      <c r="W135" s="815">
        <v>1</v>
      </c>
      <c r="X135" s="815">
        <v>1</v>
      </c>
      <c r="Y135" s="815">
        <v>1</v>
      </c>
    </row>
    <row r="136" spans="2:25" ht="16.5" hidden="1" customHeight="1" outlineLevel="1">
      <c r="B136" s="735" t="s">
        <v>534</v>
      </c>
      <c r="C136" s="720" t="s">
        <v>301</v>
      </c>
      <c r="D136" s="721" t="s">
        <v>535</v>
      </c>
      <c r="E136" s="799"/>
      <c r="F136" s="799"/>
      <c r="G136" s="799"/>
      <c r="H136" s="799"/>
      <c r="I136" s="799"/>
      <c r="J136" s="799"/>
      <c r="K136" s="799"/>
      <c r="L136" s="799"/>
      <c r="M136" s="799"/>
      <c r="N136" s="799"/>
      <c r="O136" s="799"/>
      <c r="P136" s="799"/>
      <c r="Q136" s="799"/>
      <c r="T136" s="799"/>
      <c r="U136" s="799"/>
      <c r="V136" s="799"/>
      <c r="W136" s="799"/>
      <c r="X136" s="799"/>
      <c r="Y136" s="799"/>
    </row>
    <row r="137" spans="2:25" ht="16.5" hidden="1" customHeight="1" outlineLevel="1">
      <c r="B137" s="735" t="s">
        <v>536</v>
      </c>
      <c r="C137" s="720" t="s">
        <v>309</v>
      </c>
      <c r="D137" s="721" t="s">
        <v>537</v>
      </c>
      <c r="E137" s="799"/>
      <c r="F137" s="799"/>
      <c r="G137" s="799"/>
      <c r="H137" s="799"/>
      <c r="I137" s="799"/>
      <c r="J137" s="799"/>
      <c r="K137" s="799"/>
      <c r="L137" s="799"/>
      <c r="M137" s="799"/>
      <c r="N137" s="799"/>
      <c r="O137" s="799"/>
      <c r="P137" s="799"/>
      <c r="Q137" s="799"/>
      <c r="T137" s="799"/>
      <c r="U137" s="799"/>
      <c r="V137" s="799"/>
      <c r="W137" s="799"/>
      <c r="X137" s="799"/>
      <c r="Y137" s="799"/>
    </row>
    <row r="138" spans="2:25" ht="16.5" hidden="1" customHeight="1" outlineLevel="1">
      <c r="B138" s="735" t="s">
        <v>539</v>
      </c>
      <c r="C138" s="720" t="s">
        <v>301</v>
      </c>
      <c r="D138" s="721"/>
      <c r="E138" s="799"/>
      <c r="F138" s="799"/>
      <c r="G138" s="799"/>
      <c r="H138" s="799"/>
      <c r="I138" s="799"/>
      <c r="J138" s="799"/>
      <c r="K138" s="799"/>
      <c r="L138" s="799"/>
      <c r="M138" s="799"/>
      <c r="N138" s="799"/>
      <c r="O138" s="799"/>
      <c r="P138" s="799"/>
      <c r="Q138" s="799"/>
      <c r="T138" s="799"/>
      <c r="U138" s="799"/>
      <c r="V138" s="799"/>
      <c r="W138" s="799"/>
      <c r="X138" s="799"/>
      <c r="Y138" s="799"/>
    </row>
    <row r="139" spans="2:25" ht="16.5" hidden="1" customHeight="1" outlineLevel="1">
      <c r="B139" s="735" t="s">
        <v>540</v>
      </c>
      <c r="C139" s="740" t="s">
        <v>501</v>
      </c>
      <c r="E139" s="803"/>
      <c r="F139" s="803"/>
      <c r="G139" s="803"/>
      <c r="H139" s="803"/>
      <c r="I139" s="803"/>
      <c r="J139" s="803"/>
      <c r="K139" s="803"/>
      <c r="L139" s="803"/>
      <c r="M139" s="803"/>
      <c r="N139" s="803"/>
      <c r="O139" s="803"/>
      <c r="P139" s="803"/>
      <c r="Q139" s="803"/>
      <c r="T139" s="803"/>
      <c r="U139" s="803"/>
      <c r="V139" s="803"/>
      <c r="W139" s="803"/>
      <c r="X139" s="803"/>
      <c r="Y139" s="803"/>
    </row>
    <row r="140" spans="2:25" ht="16.5" hidden="1" customHeight="1" outlineLevel="1">
      <c r="B140" s="735"/>
      <c r="T140" s="777"/>
      <c r="U140" s="777"/>
      <c r="V140" s="777"/>
      <c r="W140" s="777"/>
      <c r="X140" s="777"/>
      <c r="Y140" s="777"/>
    </row>
    <row r="141" spans="2:25" ht="16.5" hidden="1" customHeight="1" outlineLevel="1">
      <c r="B141" s="730" t="s">
        <v>562</v>
      </c>
      <c r="C141" s="742"/>
      <c r="D141" s="749"/>
      <c r="E141" s="750"/>
      <c r="F141" s="750"/>
      <c r="G141" s="750"/>
      <c r="H141" s="750"/>
      <c r="I141" s="750"/>
      <c r="J141" s="750"/>
      <c r="K141" s="750"/>
      <c r="L141" s="750"/>
      <c r="M141" s="750"/>
      <c r="N141" s="750"/>
      <c r="O141" s="750"/>
      <c r="P141" s="750"/>
      <c r="Q141" s="750"/>
      <c r="T141" s="953"/>
      <c r="U141" s="953"/>
      <c r="V141" s="953"/>
      <c r="W141" s="953"/>
      <c r="X141" s="953"/>
      <c r="Y141" s="953"/>
    </row>
    <row r="142" spans="2:25" ht="16.5" hidden="1" customHeight="1" outlineLevel="1">
      <c r="B142" s="735" t="s">
        <v>487</v>
      </c>
      <c r="E142" s="801" t="s">
        <v>545</v>
      </c>
      <c r="F142" s="801" t="s">
        <v>545</v>
      </c>
      <c r="G142" s="801" t="s">
        <v>545</v>
      </c>
      <c r="H142" s="801" t="s">
        <v>545</v>
      </c>
      <c r="I142" s="801" t="s">
        <v>545</v>
      </c>
      <c r="J142" s="801" t="s">
        <v>545</v>
      </c>
      <c r="K142" s="801" t="s">
        <v>545</v>
      </c>
      <c r="L142" s="801" t="s">
        <v>545</v>
      </c>
      <c r="M142" s="801" t="s">
        <v>545</v>
      </c>
      <c r="N142" s="801" t="s">
        <v>545</v>
      </c>
      <c r="O142" s="801" t="s">
        <v>545</v>
      </c>
      <c r="P142" s="801" t="s">
        <v>545</v>
      </c>
      <c r="Q142" s="801" t="s">
        <v>545</v>
      </c>
      <c r="T142" s="801" t="s">
        <v>545</v>
      </c>
      <c r="U142" s="801" t="s">
        <v>545</v>
      </c>
      <c r="V142" s="801" t="s">
        <v>545</v>
      </c>
      <c r="W142" s="801" t="s">
        <v>545</v>
      </c>
      <c r="X142" s="801" t="s">
        <v>545</v>
      </c>
      <c r="Y142" s="801" t="s">
        <v>545</v>
      </c>
    </row>
    <row r="143" spans="2:25" ht="16.5" hidden="1" customHeight="1" outlineLevel="1">
      <c r="B143" s="735" t="s">
        <v>528</v>
      </c>
      <c r="C143" s="724" t="s">
        <v>530</v>
      </c>
      <c r="D143" s="813" t="s">
        <v>531</v>
      </c>
      <c r="E143" s="820"/>
      <c r="F143" s="820"/>
      <c r="G143" s="820"/>
      <c r="H143" s="820"/>
      <c r="I143" s="820"/>
      <c r="J143" s="820"/>
      <c r="K143" s="820"/>
      <c r="L143" s="820"/>
      <c r="M143" s="820"/>
      <c r="N143" s="820"/>
      <c r="O143" s="820"/>
      <c r="P143" s="820"/>
      <c r="Q143" s="820"/>
      <c r="T143" s="820"/>
      <c r="U143" s="820"/>
      <c r="V143" s="820"/>
      <c r="W143" s="820"/>
      <c r="X143" s="820"/>
      <c r="Y143" s="820"/>
    </row>
    <row r="144" spans="2:25" ht="16.5" hidden="1" customHeight="1" outlineLevel="1">
      <c r="B144" s="735" t="s">
        <v>542</v>
      </c>
      <c r="C144" s="720" t="s">
        <v>533</v>
      </c>
      <c r="D144" s="721"/>
      <c r="E144" s="815">
        <v>1</v>
      </c>
      <c r="F144" s="815">
        <v>1</v>
      </c>
      <c r="G144" s="815">
        <v>1</v>
      </c>
      <c r="H144" s="815">
        <v>1</v>
      </c>
      <c r="I144" s="815">
        <v>1</v>
      </c>
      <c r="J144" s="815">
        <v>1</v>
      </c>
      <c r="K144" s="815">
        <v>1</v>
      </c>
      <c r="L144" s="815">
        <v>1</v>
      </c>
      <c r="M144" s="815">
        <v>1</v>
      </c>
      <c r="N144" s="815">
        <v>1</v>
      </c>
      <c r="O144" s="815">
        <v>1</v>
      </c>
      <c r="P144" s="815">
        <v>1</v>
      </c>
      <c r="Q144" s="815">
        <v>1</v>
      </c>
      <c r="T144" s="815">
        <v>1</v>
      </c>
      <c r="U144" s="815">
        <v>1</v>
      </c>
      <c r="V144" s="815">
        <v>1</v>
      </c>
      <c r="W144" s="815">
        <v>1</v>
      </c>
      <c r="X144" s="815">
        <v>1</v>
      </c>
      <c r="Y144" s="815">
        <v>1</v>
      </c>
    </row>
    <row r="145" spans="2:25" ht="16.5" hidden="1" customHeight="1" outlineLevel="1">
      <c r="B145" s="735" t="s">
        <v>534</v>
      </c>
      <c r="C145" s="720" t="s">
        <v>301</v>
      </c>
      <c r="D145" s="721" t="s">
        <v>535</v>
      </c>
      <c r="E145" s="799"/>
      <c r="F145" s="799"/>
      <c r="G145" s="799"/>
      <c r="H145" s="799"/>
      <c r="I145" s="799"/>
      <c r="J145" s="799"/>
      <c r="K145" s="799"/>
      <c r="L145" s="799"/>
      <c r="M145" s="799"/>
      <c r="N145" s="799"/>
      <c r="O145" s="799"/>
      <c r="P145" s="799"/>
      <c r="Q145" s="799"/>
      <c r="T145" s="799"/>
      <c r="U145" s="799"/>
      <c r="V145" s="799"/>
      <c r="W145" s="799"/>
      <c r="X145" s="799"/>
      <c r="Y145" s="799"/>
    </row>
    <row r="146" spans="2:25" ht="16.5" hidden="1" customHeight="1" outlineLevel="1">
      <c r="B146" s="735" t="s">
        <v>536</v>
      </c>
      <c r="C146" s="720" t="s">
        <v>309</v>
      </c>
      <c r="D146" s="721" t="s">
        <v>537</v>
      </c>
      <c r="E146" s="799"/>
      <c r="F146" s="799"/>
      <c r="G146" s="799"/>
      <c r="H146" s="799"/>
      <c r="I146" s="799"/>
      <c r="J146" s="799"/>
      <c r="K146" s="799"/>
      <c r="L146" s="799"/>
      <c r="M146" s="799"/>
      <c r="N146" s="799"/>
      <c r="O146" s="799"/>
      <c r="P146" s="799"/>
      <c r="Q146" s="799"/>
      <c r="T146" s="799"/>
      <c r="U146" s="799"/>
      <c r="V146" s="799"/>
      <c r="W146" s="799"/>
      <c r="X146" s="799"/>
      <c r="Y146" s="799"/>
    </row>
    <row r="147" spans="2:25" ht="16.5" hidden="1" customHeight="1" outlineLevel="1">
      <c r="B147" s="735" t="s">
        <v>539</v>
      </c>
      <c r="C147" s="720" t="s">
        <v>301</v>
      </c>
      <c r="D147" s="721"/>
      <c r="E147" s="799"/>
      <c r="F147" s="799"/>
      <c r="G147" s="799"/>
      <c r="H147" s="799"/>
      <c r="I147" s="799"/>
      <c r="J147" s="799"/>
      <c r="K147" s="799"/>
      <c r="L147" s="799"/>
      <c r="M147" s="799"/>
      <c r="N147" s="799"/>
      <c r="O147" s="799"/>
      <c r="P147" s="799"/>
      <c r="Q147" s="799"/>
      <c r="T147" s="799"/>
      <c r="U147" s="799"/>
      <c r="V147" s="799"/>
      <c r="W147" s="799"/>
      <c r="X147" s="799"/>
      <c r="Y147" s="799"/>
    </row>
    <row r="148" spans="2:25" ht="16.5" hidden="1" customHeight="1" outlineLevel="1">
      <c r="B148" s="735" t="s">
        <v>540</v>
      </c>
      <c r="C148" s="740" t="s">
        <v>501</v>
      </c>
      <c r="E148" s="803"/>
      <c r="F148" s="803"/>
      <c r="G148" s="803"/>
      <c r="H148" s="803"/>
      <c r="I148" s="803"/>
      <c r="J148" s="803"/>
      <c r="K148" s="803"/>
      <c r="L148" s="803"/>
      <c r="M148" s="803"/>
      <c r="N148" s="803"/>
      <c r="O148" s="803"/>
      <c r="P148" s="803"/>
      <c r="Q148" s="803"/>
      <c r="T148" s="803"/>
      <c r="U148" s="803"/>
      <c r="V148" s="803"/>
      <c r="W148" s="803"/>
      <c r="X148" s="803"/>
      <c r="Y148" s="803"/>
    </row>
    <row r="149" spans="2:25" ht="16.5" hidden="1" customHeight="1" outlineLevel="1">
      <c r="B149" s="735"/>
      <c r="T149" s="777"/>
      <c r="U149" s="777"/>
      <c r="V149" s="777"/>
      <c r="W149" s="777"/>
      <c r="X149" s="777"/>
      <c r="Y149" s="777"/>
    </row>
    <row r="150" spans="2:25" ht="16.5" customHeight="1" outlineLevel="1">
      <c r="B150" s="730" t="s">
        <v>430</v>
      </c>
      <c r="C150" s="742"/>
      <c r="D150" s="749"/>
      <c r="E150" s="750"/>
      <c r="F150" s="750"/>
      <c r="G150" s="750"/>
      <c r="H150" s="750"/>
      <c r="I150" s="750"/>
      <c r="J150" s="750"/>
      <c r="K150" s="750"/>
      <c r="L150" s="750"/>
      <c r="M150" s="750"/>
      <c r="N150" s="750"/>
      <c r="O150" s="750"/>
      <c r="P150" s="750"/>
      <c r="Q150" s="750"/>
      <c r="T150" s="953"/>
      <c r="U150" s="953"/>
      <c r="V150" s="953"/>
      <c r="W150" s="953"/>
      <c r="X150" s="953"/>
      <c r="Y150" s="953"/>
    </row>
    <row r="151" spans="2:25" ht="16.5" customHeight="1" outlineLevel="1">
      <c r="B151" s="735" t="s">
        <v>487</v>
      </c>
      <c r="E151" s="801"/>
      <c r="F151" s="801"/>
      <c r="G151" s="801"/>
      <c r="H151" s="801"/>
      <c r="I151" s="801"/>
      <c r="J151" s="801"/>
      <c r="K151" s="801"/>
      <c r="L151" s="801"/>
      <c r="M151" s="801"/>
      <c r="N151" s="801"/>
      <c r="O151" s="801"/>
      <c r="P151" s="801"/>
      <c r="Q151" s="801"/>
      <c r="T151" s="801"/>
      <c r="U151" s="801"/>
      <c r="V151" s="801"/>
      <c r="W151" s="801"/>
      <c r="X151" s="801"/>
      <c r="Y151" s="801"/>
    </row>
    <row r="152" spans="2:25" ht="16.5" customHeight="1" outlineLevel="1">
      <c r="B152" s="735" t="s">
        <v>528</v>
      </c>
      <c r="C152" s="724" t="s">
        <v>530</v>
      </c>
      <c r="D152" s="813" t="s">
        <v>531</v>
      </c>
      <c r="E152" s="819">
        <f>+'Input 기초'!F26</f>
        <v>880542</v>
      </c>
      <c r="F152" s="819">
        <f>+'Input 기초'!G26</f>
        <v>2127313.5</v>
      </c>
      <c r="G152" s="819">
        <f>+'Input 기초'!H26</f>
        <v>822197.99999999988</v>
      </c>
      <c r="H152" s="821">
        <f>+'Input 기초'!F100</f>
        <v>1228500</v>
      </c>
      <c r="I152" s="821">
        <f>+'Input 기초'!G100</f>
        <v>3864900</v>
      </c>
      <c r="J152" s="821">
        <f>+'Input 기초'!H100</f>
        <v>3900000</v>
      </c>
      <c r="K152" s="821">
        <f>+'Input 기초'!I100</f>
        <v>608400</v>
      </c>
      <c r="L152" s="821">
        <f>+'Input 기초'!J100</f>
        <v>674700</v>
      </c>
      <c r="M152" s="821">
        <f>+'Input 기초'!K100</f>
        <v>885300</v>
      </c>
      <c r="N152" s="821">
        <f>+'Input 기초'!L100</f>
        <v>908700</v>
      </c>
      <c r="O152" s="821">
        <f>+'Input 기초'!M100</f>
        <v>924300</v>
      </c>
      <c r="P152" s="821">
        <f>+'Input 기초'!N100</f>
        <v>643500</v>
      </c>
      <c r="Q152" s="821"/>
      <c r="T152" s="821">
        <f>+'Input 기초'!U75</f>
        <v>0</v>
      </c>
      <c r="U152" s="821">
        <f>+'Input 기초'!V75</f>
        <v>0</v>
      </c>
      <c r="V152" s="821">
        <f>+'Input 기초'!W75</f>
        <v>0</v>
      </c>
      <c r="W152" s="821">
        <f>+'Input 기초'!X75</f>
        <v>0</v>
      </c>
      <c r="X152" s="821">
        <f>+'Input 기초'!Y75</f>
        <v>0</v>
      </c>
      <c r="Y152" s="821">
        <f>+'Input 기초'!Z75</f>
        <v>0</v>
      </c>
    </row>
    <row r="153" spans="2:25" ht="16.5" customHeight="1" outlineLevel="1">
      <c r="B153" s="735" t="s">
        <v>542</v>
      </c>
      <c r="C153" s="720" t="s">
        <v>533</v>
      </c>
      <c r="D153" s="721"/>
      <c r="E153" s="815">
        <v>1</v>
      </c>
      <c r="F153" s="815">
        <v>1</v>
      </c>
      <c r="G153" s="815">
        <v>1</v>
      </c>
      <c r="H153" s="815">
        <v>1</v>
      </c>
      <c r="I153" s="815">
        <v>1</v>
      </c>
      <c r="J153" s="815">
        <v>1</v>
      </c>
      <c r="K153" s="815">
        <v>1</v>
      </c>
      <c r="L153" s="815">
        <v>1</v>
      </c>
      <c r="M153" s="815">
        <v>1</v>
      </c>
      <c r="N153" s="815">
        <v>1</v>
      </c>
      <c r="O153" s="815">
        <v>1</v>
      </c>
      <c r="P153" s="815">
        <v>1</v>
      </c>
      <c r="Q153" s="815">
        <v>1</v>
      </c>
      <c r="T153" s="815">
        <v>1</v>
      </c>
      <c r="U153" s="815">
        <v>1</v>
      </c>
      <c r="V153" s="815">
        <v>1</v>
      </c>
      <c r="W153" s="815">
        <v>1</v>
      </c>
      <c r="X153" s="815">
        <v>1</v>
      </c>
      <c r="Y153" s="815">
        <v>1</v>
      </c>
    </row>
    <row r="154" spans="2:25" ht="16.5" customHeight="1" outlineLevel="1">
      <c r="B154" s="735" t="s">
        <v>534</v>
      </c>
      <c r="C154" s="720" t="s">
        <v>301</v>
      </c>
      <c r="D154" s="721" t="s">
        <v>535</v>
      </c>
      <c r="E154" s="799">
        <f>+E18</f>
        <v>46081</v>
      </c>
      <c r="F154" s="799">
        <f>+F18</f>
        <v>46081</v>
      </c>
      <c r="G154" s="799">
        <f>+G18</f>
        <v>46081</v>
      </c>
      <c r="H154" s="799">
        <f t="shared" ref="H154:Q154" si="28">H19</f>
        <v>46266</v>
      </c>
      <c r="I154" s="799">
        <f t="shared" si="28"/>
        <v>46296</v>
      </c>
      <c r="J154" s="799">
        <f t="shared" si="28"/>
        <v>46266</v>
      </c>
      <c r="K154" s="799">
        <f t="shared" si="28"/>
        <v>46266</v>
      </c>
      <c r="L154" s="799">
        <f t="shared" si="28"/>
        <v>46296</v>
      </c>
      <c r="M154" s="799">
        <f t="shared" si="28"/>
        <v>46296</v>
      </c>
      <c r="N154" s="799">
        <f t="shared" si="28"/>
        <v>46296</v>
      </c>
      <c r="O154" s="799">
        <f t="shared" si="28"/>
        <v>46327</v>
      </c>
      <c r="P154" s="799">
        <f t="shared" si="28"/>
        <v>46327</v>
      </c>
      <c r="Q154" s="799">
        <f t="shared" si="28"/>
        <v>46203</v>
      </c>
      <c r="T154" s="799">
        <f t="shared" ref="T154:Y154" si="29">T19</f>
        <v>46203</v>
      </c>
      <c r="U154" s="799">
        <f t="shared" si="29"/>
        <v>46173</v>
      </c>
      <c r="V154" s="799">
        <f t="shared" si="29"/>
        <v>46173</v>
      </c>
      <c r="W154" s="799">
        <f t="shared" si="29"/>
        <v>46173</v>
      </c>
      <c r="X154" s="799">
        <f t="shared" si="29"/>
        <v>46173</v>
      </c>
      <c r="Y154" s="799">
        <f t="shared" si="29"/>
        <v>46203</v>
      </c>
    </row>
    <row r="155" spans="2:25" ht="16.5" customHeight="1" outlineLevel="1">
      <c r="B155" s="735" t="s">
        <v>536</v>
      </c>
      <c r="C155" s="720" t="s">
        <v>309</v>
      </c>
      <c r="D155" s="721" t="s">
        <v>537</v>
      </c>
      <c r="E155" s="799" t="str">
        <f>+'[6]입력 시트(0124)'!E154</f>
        <v>CPI</v>
      </c>
      <c r="F155" s="799" t="str">
        <f>+'[6]입력 시트(0124)'!F154</f>
        <v>CPI</v>
      </c>
      <c r="G155" s="799" t="str">
        <f>+'[6]입력 시트(0124)'!G154</f>
        <v>CPI</v>
      </c>
      <c r="H155" s="799" t="str">
        <f>+'[6]입력 시트(0124)'!H154</f>
        <v>CPI</v>
      </c>
      <c r="I155" s="799" t="str">
        <f>+'[6]입력 시트(0124)'!I154</f>
        <v>CPI</v>
      </c>
      <c r="J155" s="799" t="s">
        <v>538</v>
      </c>
      <c r="K155" s="799" t="s">
        <v>538</v>
      </c>
      <c r="L155" s="799" t="s">
        <v>538</v>
      </c>
      <c r="M155" s="799" t="s">
        <v>538</v>
      </c>
      <c r="N155" s="799" t="s">
        <v>538</v>
      </c>
      <c r="O155" s="799" t="s">
        <v>538</v>
      </c>
      <c r="P155" s="799" t="s">
        <v>538</v>
      </c>
      <c r="Q155" s="799" t="s">
        <v>538</v>
      </c>
      <c r="T155" s="799" t="e">
        <f>+'[6]입력 시트(0124)'!T154</f>
        <v>#REF!</v>
      </c>
      <c r="U155" s="799" t="e">
        <f>+'[6]입력 시트(0124)'!U154</f>
        <v>#REF!</v>
      </c>
      <c r="V155" s="799" t="e">
        <f>+'[6]입력 시트(0124)'!V154</f>
        <v>#REF!</v>
      </c>
      <c r="W155" s="799" t="e">
        <f>+'[6]입력 시트(0124)'!W154</f>
        <v>#REF!</v>
      </c>
      <c r="X155" s="799" t="e">
        <f>+'[6]입력 시트(0124)'!X154</f>
        <v>#REF!</v>
      </c>
      <c r="Y155" s="799" t="s">
        <v>538</v>
      </c>
    </row>
    <row r="156" spans="2:25" ht="16.5" customHeight="1" outlineLevel="1">
      <c r="B156" s="735" t="s">
        <v>539</v>
      </c>
      <c r="C156" s="720" t="s">
        <v>301</v>
      </c>
      <c r="D156" s="721"/>
      <c r="E156" s="799">
        <f>+E19</f>
        <v>46173</v>
      </c>
      <c r="F156" s="799">
        <f>+F19</f>
        <v>46173</v>
      </c>
      <c r="G156" s="799">
        <f>+G19</f>
        <v>46173</v>
      </c>
      <c r="H156" s="799">
        <f t="shared" ref="H156:Q156" si="30">H19</f>
        <v>46266</v>
      </c>
      <c r="I156" s="799">
        <f t="shared" si="30"/>
        <v>46296</v>
      </c>
      <c r="J156" s="799">
        <f t="shared" si="30"/>
        <v>46266</v>
      </c>
      <c r="K156" s="799">
        <f t="shared" si="30"/>
        <v>46266</v>
      </c>
      <c r="L156" s="799">
        <f t="shared" si="30"/>
        <v>46296</v>
      </c>
      <c r="M156" s="799">
        <f t="shared" si="30"/>
        <v>46296</v>
      </c>
      <c r="N156" s="799">
        <f t="shared" si="30"/>
        <v>46296</v>
      </c>
      <c r="O156" s="799">
        <f t="shared" si="30"/>
        <v>46327</v>
      </c>
      <c r="P156" s="799">
        <f t="shared" si="30"/>
        <v>46327</v>
      </c>
      <c r="Q156" s="799">
        <f t="shared" si="30"/>
        <v>46203</v>
      </c>
      <c r="T156" s="799">
        <f t="shared" ref="T156:Y156" si="31">T19</f>
        <v>46203</v>
      </c>
      <c r="U156" s="799">
        <f t="shared" si="31"/>
        <v>46173</v>
      </c>
      <c r="V156" s="799">
        <f t="shared" si="31"/>
        <v>46173</v>
      </c>
      <c r="W156" s="799">
        <f t="shared" si="31"/>
        <v>46173</v>
      </c>
      <c r="X156" s="799">
        <f t="shared" si="31"/>
        <v>46173</v>
      </c>
      <c r="Y156" s="799">
        <f t="shared" si="31"/>
        <v>46203</v>
      </c>
    </row>
    <row r="157" spans="2:25" ht="34.9" customHeight="1" outlineLevel="1">
      <c r="B157" s="735" t="s">
        <v>540</v>
      </c>
      <c r="C157" s="1375" t="s">
        <v>563</v>
      </c>
      <c r="D157" s="1375"/>
      <c r="E157" s="803"/>
      <c r="F157" s="803"/>
      <c r="G157" s="803"/>
      <c r="H157" s="803"/>
      <c r="I157" s="803"/>
      <c r="J157" s="803"/>
      <c r="K157" s="803"/>
      <c r="L157" s="803"/>
      <c r="M157" s="803"/>
      <c r="N157" s="803"/>
      <c r="O157" s="803"/>
      <c r="P157" s="803"/>
      <c r="Q157" s="803"/>
      <c r="T157" s="803"/>
      <c r="U157" s="803"/>
      <c r="V157" s="803"/>
      <c r="W157" s="803"/>
      <c r="X157" s="803"/>
      <c r="Y157" s="803"/>
    </row>
    <row r="158" spans="2:25" ht="16.5" customHeight="1" outlineLevel="1">
      <c r="B158" s="735"/>
      <c r="T158" s="777"/>
      <c r="U158" s="777"/>
      <c r="V158" s="777"/>
      <c r="W158" s="777"/>
      <c r="X158" s="777"/>
      <c r="Y158" s="777"/>
    </row>
    <row r="159" spans="2:25" s="707" customFormat="1" ht="15">
      <c r="C159" s="708"/>
      <c r="E159" s="779"/>
      <c r="F159" s="780"/>
      <c r="G159" s="780"/>
      <c r="H159" s="780"/>
      <c r="I159" s="780"/>
      <c r="J159" s="780"/>
      <c r="K159" s="780"/>
      <c r="L159" s="780"/>
      <c r="M159" s="780"/>
      <c r="N159" s="780"/>
      <c r="O159" s="780"/>
      <c r="P159" s="780"/>
      <c r="Q159" s="786" t="s">
        <v>564</v>
      </c>
      <c r="R159" s="781"/>
      <c r="S159" s="782"/>
      <c r="T159" s="780"/>
      <c r="U159" s="780"/>
      <c r="V159" s="780"/>
      <c r="W159" s="780"/>
      <c r="X159" s="780"/>
      <c r="Y159" s="780"/>
    </row>
    <row r="160" spans="2:25" s="707" customFormat="1" ht="27.75" customHeight="1">
      <c r="B160" s="713" t="s">
        <v>565</v>
      </c>
      <c r="C160" s="714"/>
      <c r="D160" s="714" t="s">
        <v>527</v>
      </c>
      <c r="E160" s="715" t="s">
        <v>528</v>
      </c>
      <c r="F160" s="715" t="s">
        <v>528</v>
      </c>
      <c r="G160" s="715" t="s">
        <v>528</v>
      </c>
      <c r="H160" s="715" t="s">
        <v>528</v>
      </c>
      <c r="I160" s="715" t="s">
        <v>528</v>
      </c>
      <c r="J160" s="715" t="s">
        <v>528</v>
      </c>
      <c r="K160" s="715" t="s">
        <v>528</v>
      </c>
      <c r="L160" s="715" t="s">
        <v>528</v>
      </c>
      <c r="M160" s="715" t="s">
        <v>528</v>
      </c>
      <c r="N160" s="715" t="s">
        <v>528</v>
      </c>
      <c r="O160" s="715" t="s">
        <v>528</v>
      </c>
      <c r="P160" s="715" t="s">
        <v>528</v>
      </c>
      <c r="Q160" s="715" t="s">
        <v>528</v>
      </c>
      <c r="R160" s="784"/>
      <c r="S160" s="783"/>
      <c r="T160" s="944" t="s">
        <v>528</v>
      </c>
      <c r="U160" s="944" t="s">
        <v>528</v>
      </c>
      <c r="V160" s="944" t="s">
        <v>528</v>
      </c>
      <c r="W160" s="944" t="s">
        <v>528</v>
      </c>
      <c r="X160" s="944" t="s">
        <v>528</v>
      </c>
      <c r="Y160" s="944" t="s">
        <v>528</v>
      </c>
    </row>
    <row r="161" spans="2:25" s="757" customFormat="1" ht="16.5" outlineLevel="1">
      <c r="D161" s="1048"/>
      <c r="E161" s="1046"/>
      <c r="F161" s="1046"/>
      <c r="G161" s="1046"/>
      <c r="H161" s="758"/>
      <c r="I161" s="758"/>
      <c r="J161" s="758">
        <f t="shared" ref="J161:Q161" si="32">+J183+J219</f>
        <v>680000000</v>
      </c>
      <c r="K161" s="758">
        <f t="shared" si="32"/>
        <v>106080000</v>
      </c>
      <c r="L161" s="758">
        <f t="shared" si="32"/>
        <v>117640000</v>
      </c>
      <c r="M161" s="758">
        <f t="shared" si="32"/>
        <v>154360000</v>
      </c>
      <c r="N161" s="758">
        <f t="shared" si="32"/>
        <v>158440000</v>
      </c>
      <c r="O161" s="758">
        <f t="shared" si="32"/>
        <v>161160000</v>
      </c>
      <c r="P161" s="758">
        <f t="shared" si="32"/>
        <v>112200000</v>
      </c>
      <c r="Q161" s="787">
        <f t="shared" si="32"/>
        <v>0</v>
      </c>
      <c r="R161" s="785"/>
      <c r="T161" s="787">
        <f>+T183+T219</f>
        <v>0</v>
      </c>
      <c r="U161" s="787"/>
      <c r="V161" s="787"/>
      <c r="W161" s="787"/>
      <c r="X161" s="787"/>
      <c r="Y161" s="787">
        <f>+Y183+Y219</f>
        <v>0</v>
      </c>
    </row>
    <row r="162" spans="2:25" s="788" customFormat="1" ht="16.5" outlineLevel="1">
      <c r="B162" s="1150"/>
      <c r="C162" s="1150"/>
      <c r="D162" s="1150"/>
      <c r="E162" s="1151"/>
      <c r="F162" s="1152"/>
      <c r="G162" s="1152"/>
      <c r="H162" s="1152"/>
      <c r="I162" s="1152"/>
      <c r="J162" s="1152"/>
      <c r="K162" s="1152"/>
      <c r="L162" s="1152"/>
      <c r="M162" s="1152"/>
      <c r="N162" s="1152"/>
      <c r="O162" s="1152"/>
      <c r="P162" s="1152"/>
      <c r="Q162" s="791">
        <f t="shared" ref="Q162" si="33">Q165+Q183+Q201</f>
        <v>0</v>
      </c>
      <c r="R162" s="785"/>
      <c r="T162" s="791">
        <f t="shared" ref="T162:Y162" si="34">T165+T183+T201</f>
        <v>0</v>
      </c>
      <c r="U162" s="791">
        <f t="shared" si="34"/>
        <v>0</v>
      </c>
      <c r="V162" s="791">
        <f t="shared" si="34"/>
        <v>0</v>
      </c>
      <c r="W162" s="791">
        <f t="shared" si="34"/>
        <v>0</v>
      </c>
      <c r="X162" s="791">
        <f t="shared" si="34"/>
        <v>0</v>
      </c>
      <c r="Y162" s="791">
        <f t="shared" si="34"/>
        <v>0</v>
      </c>
    </row>
    <row r="163" spans="2:25" outlineLevel="1">
      <c r="B163" s="803" t="s">
        <v>425</v>
      </c>
      <c r="C163" s="777"/>
      <c r="E163" s="775" t="b">
        <f>+E165+E183+E201+E219='Input 기초'!F29+'Input 기초'!F35</f>
        <v>1</v>
      </c>
      <c r="F163" s="775" t="b">
        <f>+F165+F183+F201+F219='Input 기초'!G29+'Input 기초'!G35</f>
        <v>1</v>
      </c>
      <c r="G163" s="775" t="b">
        <f>+G165+G183+G201+G219='Input 기초'!H29+'Input 기초'!H35</f>
        <v>1</v>
      </c>
      <c r="H163" s="775" t="b">
        <f>+H165+H183+H201+H219='Input 기초'!F103+'Input 기초'!F109</f>
        <v>1</v>
      </c>
      <c r="I163" s="775" t="b">
        <f>+I165+I183+I201+I219='Input 기초'!G103+'Input 기초'!G109</f>
        <v>1</v>
      </c>
      <c r="J163" s="775" t="b">
        <f>+J165+J183+J201+J219='Input 기초'!H103+'Input 기초'!H109</f>
        <v>1</v>
      </c>
      <c r="K163" s="775" t="b">
        <f>+K165+K183+K201+K219='Input 기초'!I103+'Input 기초'!I109</f>
        <v>1</v>
      </c>
      <c r="L163" s="775" t="b">
        <f>+L165+L183+L201+L219='Input 기초'!J103+'Input 기초'!J109</f>
        <v>1</v>
      </c>
      <c r="M163" s="775" t="b">
        <f>+M165+M183+M201+M219='Input 기초'!K103+'Input 기초'!K109</f>
        <v>1</v>
      </c>
      <c r="N163" s="775" t="b">
        <f>+N165+N183+N201+N219='Input 기초'!L103+'Input 기초'!L109</f>
        <v>1</v>
      </c>
      <c r="O163" s="775" t="b">
        <f>+O165+O183+O201+O219='Input 기초'!M103+'Input 기초'!M109</f>
        <v>1</v>
      </c>
      <c r="P163" s="775" t="b">
        <f>+P165+P183+P201+P219='Input 기초'!N103+'Input 기초'!N109</f>
        <v>1</v>
      </c>
      <c r="Q163" s="775"/>
      <c r="T163" s="952" t="b">
        <f>+T165+T183+T201+T219='Input 기초'!U78+'Input 기초'!U84</f>
        <v>1</v>
      </c>
      <c r="U163" s="952" t="b">
        <f>+U165+U183+U201+U219='Input 기초'!V78+'Input 기초'!V84</f>
        <v>1</v>
      </c>
      <c r="V163" s="952" t="b">
        <f>+V165+V183+V201+V219='Input 기초'!W78+'Input 기초'!W84</f>
        <v>1</v>
      </c>
      <c r="W163" s="952" t="b">
        <f>+W165+W183+W201+W219='Input 기초'!X78+'Input 기초'!X84</f>
        <v>1</v>
      </c>
      <c r="X163" s="952" t="b">
        <f>+X165+X183+X201+X219='Input 기초'!Y78+'Input 기초'!Y84</f>
        <v>1</v>
      </c>
      <c r="Y163" s="952" t="b">
        <f>+Y165+Y183+Y201+Y219='Input 기초'!Z78+'Input 기초'!Z84</f>
        <v>1</v>
      </c>
    </row>
    <row r="164" spans="2:25" ht="16.5" customHeight="1" outlineLevel="1">
      <c r="B164" s="735" t="s">
        <v>487</v>
      </c>
      <c r="C164" s="777"/>
      <c r="D164" s="777"/>
      <c r="E164" s="801"/>
      <c r="F164" s="801"/>
      <c r="G164" s="801"/>
      <c r="H164" s="801"/>
      <c r="I164" s="801"/>
      <c r="J164" s="801"/>
      <c r="K164" s="801"/>
      <c r="L164" s="801"/>
      <c r="M164" s="801"/>
      <c r="N164" s="801"/>
      <c r="O164" s="801"/>
      <c r="P164" s="801"/>
      <c r="Q164" s="801"/>
      <c r="T164" s="801"/>
      <c r="U164" s="801"/>
      <c r="V164" s="801"/>
      <c r="W164" s="801"/>
      <c r="X164" s="801"/>
      <c r="Y164" s="801"/>
    </row>
    <row r="165" spans="2:25" outlineLevel="1">
      <c r="B165" s="735" t="s">
        <v>528</v>
      </c>
      <c r="D165" s="813" t="s">
        <v>567</v>
      </c>
      <c r="E165" s="814">
        <f>+'Input 기초'!F30</f>
        <v>180624000</v>
      </c>
      <c r="F165" s="814">
        <f>+'Input 기초'!G30</f>
        <v>436372000</v>
      </c>
      <c r="G165" s="814">
        <f>+'Input 기초'!H30</f>
        <v>168655999.99999997</v>
      </c>
      <c r="H165" s="821">
        <f>+'Input 기초'!F104</f>
        <v>252000000</v>
      </c>
      <c r="I165" s="821">
        <f>+'Input 기초'!G104</f>
        <v>792800000</v>
      </c>
      <c r="J165" s="821">
        <f>+'Input 기초'!H104</f>
        <v>800000000</v>
      </c>
      <c r="K165" s="821">
        <f>+'Input 기초'!I104</f>
        <v>124800000</v>
      </c>
      <c r="L165" s="821">
        <f>+'Input 기초'!J104</f>
        <v>138400000</v>
      </c>
      <c r="M165" s="821">
        <f>+'Input 기초'!K104</f>
        <v>181600000</v>
      </c>
      <c r="N165" s="821">
        <f>+'Input 기초'!L104</f>
        <v>186400000</v>
      </c>
      <c r="O165" s="821">
        <f>+'Input 기초'!M104</f>
        <v>189600000</v>
      </c>
      <c r="P165" s="821">
        <f>+'Input 기초'!N104</f>
        <v>132000000</v>
      </c>
      <c r="Q165" s="821"/>
      <c r="T165" s="821">
        <f>+'Input 기초'!U79</f>
        <v>0</v>
      </c>
      <c r="U165" s="821">
        <f>+'Input 기초'!V79</f>
        <v>0</v>
      </c>
      <c r="V165" s="821">
        <f>+'Input 기초'!W79</f>
        <v>0</v>
      </c>
      <c r="W165" s="821">
        <f>+'Input 기초'!X79</f>
        <v>0</v>
      </c>
      <c r="X165" s="821">
        <f>+'Input 기초'!Y79</f>
        <v>0</v>
      </c>
      <c r="Y165" s="821">
        <f>+'Input 기초'!Z79</f>
        <v>0</v>
      </c>
    </row>
    <row r="166" spans="2:25" ht="16.5" customHeight="1" outlineLevel="1">
      <c r="B166" s="735" t="s">
        <v>542</v>
      </c>
      <c r="D166" s="721" t="s">
        <v>533</v>
      </c>
      <c r="E166" s="822">
        <v>1</v>
      </c>
      <c r="F166" s="822">
        <v>1</v>
      </c>
      <c r="G166" s="822">
        <v>1</v>
      </c>
      <c r="H166" s="822">
        <v>1</v>
      </c>
      <c r="I166" s="822">
        <v>1</v>
      </c>
      <c r="J166" s="822">
        <v>1</v>
      </c>
      <c r="K166" s="822">
        <v>1</v>
      </c>
      <c r="L166" s="822">
        <v>1</v>
      </c>
      <c r="M166" s="822">
        <v>1</v>
      </c>
      <c r="N166" s="822">
        <v>1</v>
      </c>
      <c r="O166" s="822">
        <v>1</v>
      </c>
      <c r="P166" s="822">
        <v>1</v>
      </c>
      <c r="Q166" s="822">
        <v>1</v>
      </c>
      <c r="T166" s="822">
        <v>1</v>
      </c>
      <c r="U166" s="822">
        <v>1</v>
      </c>
      <c r="V166" s="822">
        <v>1</v>
      </c>
      <c r="W166" s="822">
        <v>1</v>
      </c>
      <c r="X166" s="822">
        <v>1</v>
      </c>
      <c r="Y166" s="822">
        <v>1</v>
      </c>
    </row>
    <row r="167" spans="2:25" ht="16.5" customHeight="1" outlineLevel="1">
      <c r="B167" s="735" t="s">
        <v>534</v>
      </c>
      <c r="D167" s="721" t="s">
        <v>301</v>
      </c>
      <c r="E167" s="823">
        <f>+E18</f>
        <v>46081</v>
      </c>
      <c r="F167" s="823">
        <f>+F18</f>
        <v>46081</v>
      </c>
      <c r="G167" s="823">
        <f>+G18</f>
        <v>46081</v>
      </c>
      <c r="H167" s="823">
        <f t="shared" ref="H167:P167" si="35">+H18</f>
        <v>46174</v>
      </c>
      <c r="I167" s="823">
        <f t="shared" si="35"/>
        <v>46204</v>
      </c>
      <c r="J167" s="823">
        <f t="shared" si="35"/>
        <v>46174</v>
      </c>
      <c r="K167" s="823">
        <f t="shared" si="35"/>
        <v>46174</v>
      </c>
      <c r="L167" s="823">
        <f t="shared" si="35"/>
        <v>46204</v>
      </c>
      <c r="M167" s="823">
        <f t="shared" si="35"/>
        <v>46204</v>
      </c>
      <c r="N167" s="823">
        <f t="shared" si="35"/>
        <v>46204</v>
      </c>
      <c r="O167" s="823">
        <f t="shared" si="35"/>
        <v>46235</v>
      </c>
      <c r="P167" s="823">
        <f t="shared" si="35"/>
        <v>46235</v>
      </c>
      <c r="Q167" s="823"/>
      <c r="T167" s="823"/>
      <c r="U167" s="823"/>
      <c r="V167" s="823"/>
      <c r="W167" s="823"/>
      <c r="X167" s="823"/>
      <c r="Y167" s="823"/>
    </row>
    <row r="168" spans="2:25" ht="16.5" customHeight="1" outlineLevel="1">
      <c r="B168" s="735" t="s">
        <v>536</v>
      </c>
      <c r="D168" s="721" t="s">
        <v>309</v>
      </c>
      <c r="E168" s="824"/>
      <c r="F168" s="824"/>
      <c r="G168" s="824"/>
      <c r="H168" s="824"/>
      <c r="I168" s="824"/>
      <c r="J168" s="824"/>
      <c r="K168" s="824"/>
      <c r="L168" s="824"/>
      <c r="M168" s="824"/>
      <c r="N168" s="824"/>
      <c r="O168" s="824"/>
      <c r="P168" s="824"/>
      <c r="Q168" s="824"/>
      <c r="T168" s="824"/>
      <c r="U168" s="824"/>
      <c r="V168" s="824"/>
      <c r="W168" s="824"/>
      <c r="X168" s="824"/>
      <c r="Y168" s="824"/>
    </row>
    <row r="169" spans="2:25" outlineLevel="1">
      <c r="B169" s="735" t="s">
        <v>568</v>
      </c>
      <c r="C169" s="740" t="s">
        <v>569</v>
      </c>
      <c r="D169" s="716">
        <v>1</v>
      </c>
      <c r="E169" s="825">
        <v>0.5</v>
      </c>
      <c r="F169" s="825">
        <v>0.5</v>
      </c>
      <c r="G169" s="825">
        <v>0.5</v>
      </c>
      <c r="H169" s="825">
        <v>0.5</v>
      </c>
      <c r="I169" s="825">
        <v>0.5</v>
      </c>
      <c r="J169" s="825">
        <v>0.5</v>
      </c>
      <c r="K169" s="825">
        <v>0.5</v>
      </c>
      <c r="L169" s="825">
        <v>0.5</v>
      </c>
      <c r="M169" s="825">
        <v>0.5</v>
      </c>
      <c r="N169" s="825">
        <v>0.5</v>
      </c>
      <c r="O169" s="825">
        <v>0.5</v>
      </c>
      <c r="P169" s="825">
        <v>0.5</v>
      </c>
      <c r="Q169" s="825">
        <v>0.5</v>
      </c>
      <c r="T169" s="825">
        <v>0.5</v>
      </c>
      <c r="U169" s="825">
        <v>0.5</v>
      </c>
      <c r="V169" s="825">
        <v>0.5</v>
      </c>
      <c r="W169" s="825">
        <v>0.5</v>
      </c>
      <c r="X169" s="825">
        <v>0.5</v>
      </c>
      <c r="Y169" s="825">
        <v>0.5</v>
      </c>
    </row>
    <row r="170" spans="2:25" outlineLevel="1">
      <c r="B170" s="735"/>
      <c r="C170" s="740" t="s">
        <v>309</v>
      </c>
      <c r="D170" s="716">
        <f t="shared" ref="D170:D178" si="36">+D169+1</f>
        <v>2</v>
      </c>
      <c r="E170" s="825">
        <v>0</v>
      </c>
      <c r="F170" s="825">
        <v>0</v>
      </c>
      <c r="G170" s="825">
        <v>0</v>
      </c>
      <c r="H170" s="825">
        <v>0</v>
      </c>
      <c r="I170" s="825">
        <v>0</v>
      </c>
      <c r="J170" s="825">
        <v>0</v>
      </c>
      <c r="K170" s="825">
        <v>0</v>
      </c>
      <c r="L170" s="825">
        <v>0</v>
      </c>
      <c r="M170" s="825">
        <v>0</v>
      </c>
      <c r="N170" s="825">
        <v>0</v>
      </c>
      <c r="O170" s="825">
        <v>0</v>
      </c>
      <c r="P170" s="825">
        <v>0</v>
      </c>
      <c r="Q170" s="825">
        <v>0</v>
      </c>
      <c r="T170" s="825">
        <v>0</v>
      </c>
      <c r="U170" s="825">
        <v>0</v>
      </c>
      <c r="V170" s="825">
        <v>0</v>
      </c>
      <c r="W170" s="825">
        <v>0</v>
      </c>
      <c r="X170" s="825">
        <v>0</v>
      </c>
      <c r="Y170" s="825">
        <v>0</v>
      </c>
    </row>
    <row r="171" spans="2:25" outlineLevel="1">
      <c r="B171" s="735"/>
      <c r="C171" s="740" t="s">
        <v>309</v>
      </c>
      <c r="D171" s="716">
        <f t="shared" si="36"/>
        <v>3</v>
      </c>
      <c r="E171" s="825">
        <v>0.4</v>
      </c>
      <c r="F171" s="825">
        <v>0.4</v>
      </c>
      <c r="G171" s="825">
        <v>0.4</v>
      </c>
      <c r="H171" s="825">
        <v>0.4</v>
      </c>
      <c r="I171" s="825">
        <v>0.4</v>
      </c>
      <c r="J171" s="825">
        <v>0.4</v>
      </c>
      <c r="K171" s="825">
        <v>0.4</v>
      </c>
      <c r="L171" s="825">
        <v>0.4</v>
      </c>
      <c r="M171" s="825">
        <v>0.4</v>
      </c>
      <c r="N171" s="825">
        <v>0.4</v>
      </c>
      <c r="O171" s="825">
        <v>0.4</v>
      </c>
      <c r="P171" s="825">
        <v>0.4</v>
      </c>
      <c r="Q171" s="825">
        <v>0</v>
      </c>
      <c r="T171" s="825">
        <v>0</v>
      </c>
      <c r="U171" s="825">
        <v>0</v>
      </c>
      <c r="V171" s="825">
        <v>0</v>
      </c>
      <c r="W171" s="825">
        <v>0</v>
      </c>
      <c r="X171" s="825">
        <v>0</v>
      </c>
      <c r="Y171" s="825">
        <v>0</v>
      </c>
    </row>
    <row r="172" spans="2:25" outlineLevel="1">
      <c r="B172" s="735"/>
      <c r="C172" s="740" t="s">
        <v>309</v>
      </c>
      <c r="D172" s="716">
        <f t="shared" si="36"/>
        <v>4</v>
      </c>
      <c r="E172" s="825">
        <v>0.1</v>
      </c>
      <c r="F172" s="825">
        <v>0.1</v>
      </c>
      <c r="G172" s="825">
        <v>0.1</v>
      </c>
      <c r="H172" s="825">
        <v>0.1</v>
      </c>
      <c r="I172" s="825">
        <v>0.1</v>
      </c>
      <c r="J172" s="825">
        <v>0.1</v>
      </c>
      <c r="K172" s="825">
        <v>0.1</v>
      </c>
      <c r="L172" s="825">
        <v>0.1</v>
      </c>
      <c r="M172" s="825">
        <v>0.1</v>
      </c>
      <c r="N172" s="825">
        <v>0.1</v>
      </c>
      <c r="O172" s="825">
        <v>0.1</v>
      </c>
      <c r="P172" s="825">
        <v>0.1</v>
      </c>
      <c r="Q172" s="825">
        <v>0.4</v>
      </c>
      <c r="T172" s="825">
        <v>0.4</v>
      </c>
      <c r="U172" s="825">
        <v>0.4</v>
      </c>
      <c r="V172" s="825">
        <v>0.4</v>
      </c>
      <c r="W172" s="825">
        <v>0.4</v>
      </c>
      <c r="X172" s="825">
        <v>0.4</v>
      </c>
      <c r="Y172" s="825">
        <v>0.4</v>
      </c>
    </row>
    <row r="173" spans="2:25" outlineLevel="1">
      <c r="B173" s="735"/>
      <c r="C173" s="740" t="s">
        <v>309</v>
      </c>
      <c r="D173" s="716">
        <f t="shared" si="36"/>
        <v>5</v>
      </c>
      <c r="E173" s="825">
        <v>0</v>
      </c>
      <c r="F173" s="825">
        <v>0</v>
      </c>
      <c r="G173" s="825">
        <v>0</v>
      </c>
      <c r="H173" s="825">
        <v>0</v>
      </c>
      <c r="I173" s="825">
        <v>0</v>
      </c>
      <c r="J173" s="825">
        <v>0</v>
      </c>
      <c r="K173" s="825">
        <v>0</v>
      </c>
      <c r="L173" s="825">
        <v>0</v>
      </c>
      <c r="M173" s="825">
        <v>0</v>
      </c>
      <c r="N173" s="825">
        <v>0</v>
      </c>
      <c r="O173" s="825">
        <v>0</v>
      </c>
      <c r="P173" s="825">
        <v>0</v>
      </c>
      <c r="Q173" s="825">
        <v>0.1</v>
      </c>
      <c r="T173" s="825">
        <v>0.1</v>
      </c>
      <c r="U173" s="825">
        <v>0.1</v>
      </c>
      <c r="V173" s="825">
        <v>0.1</v>
      </c>
      <c r="W173" s="825">
        <v>0.1</v>
      </c>
      <c r="X173" s="825">
        <v>0.1</v>
      </c>
      <c r="Y173" s="825">
        <v>0.1</v>
      </c>
    </row>
    <row r="174" spans="2:25" outlineLevel="1">
      <c r="B174" s="735"/>
      <c r="C174" s="740" t="s">
        <v>309</v>
      </c>
      <c r="D174" s="716">
        <f t="shared" si="36"/>
        <v>6</v>
      </c>
      <c r="E174" s="825">
        <v>0</v>
      </c>
      <c r="F174" s="825">
        <v>0</v>
      </c>
      <c r="G174" s="825">
        <v>0</v>
      </c>
      <c r="H174" s="825">
        <v>0</v>
      </c>
      <c r="I174" s="825">
        <v>0</v>
      </c>
      <c r="J174" s="825">
        <v>0</v>
      </c>
      <c r="K174" s="825">
        <v>0</v>
      </c>
      <c r="L174" s="825">
        <v>0</v>
      </c>
      <c r="M174" s="825">
        <v>0</v>
      </c>
      <c r="N174" s="825">
        <v>0</v>
      </c>
      <c r="O174" s="825">
        <v>0</v>
      </c>
      <c r="P174" s="825">
        <v>0</v>
      </c>
      <c r="Q174" s="825">
        <v>0</v>
      </c>
      <c r="T174" s="825">
        <v>0</v>
      </c>
      <c r="U174" s="825">
        <v>0</v>
      </c>
      <c r="V174" s="825">
        <v>0</v>
      </c>
      <c r="W174" s="825">
        <v>0</v>
      </c>
      <c r="X174" s="825">
        <v>0</v>
      </c>
      <c r="Y174" s="825">
        <v>0</v>
      </c>
    </row>
    <row r="175" spans="2:25" outlineLevel="1">
      <c r="B175" s="735"/>
      <c r="C175" s="740" t="s">
        <v>309</v>
      </c>
      <c r="D175" s="716">
        <f t="shared" si="36"/>
        <v>7</v>
      </c>
      <c r="E175" s="825">
        <v>0</v>
      </c>
      <c r="F175" s="825">
        <v>0</v>
      </c>
      <c r="G175" s="825">
        <v>0</v>
      </c>
      <c r="H175" s="825">
        <v>0</v>
      </c>
      <c r="I175" s="825">
        <v>0</v>
      </c>
      <c r="J175" s="825">
        <v>0</v>
      </c>
      <c r="K175" s="825">
        <v>0</v>
      </c>
      <c r="L175" s="825">
        <v>0</v>
      </c>
      <c r="M175" s="825">
        <v>0</v>
      </c>
      <c r="N175" s="825">
        <v>0</v>
      </c>
      <c r="O175" s="825">
        <v>0</v>
      </c>
      <c r="P175" s="825">
        <v>0</v>
      </c>
      <c r="Q175" s="825">
        <v>0</v>
      </c>
      <c r="T175" s="825">
        <v>0</v>
      </c>
      <c r="U175" s="825">
        <v>0</v>
      </c>
      <c r="V175" s="825">
        <v>0</v>
      </c>
      <c r="W175" s="825">
        <v>0</v>
      </c>
      <c r="X175" s="825">
        <v>0</v>
      </c>
      <c r="Y175" s="825">
        <v>0</v>
      </c>
    </row>
    <row r="176" spans="2:25" outlineLevel="2">
      <c r="B176" s="735"/>
      <c r="C176" s="740" t="s">
        <v>309</v>
      </c>
      <c r="D176" s="716">
        <f t="shared" si="36"/>
        <v>8</v>
      </c>
      <c r="E176" s="825"/>
      <c r="F176" s="825"/>
      <c r="G176" s="825"/>
      <c r="H176" s="825"/>
      <c r="I176" s="825"/>
      <c r="J176" s="825"/>
      <c r="K176" s="825"/>
      <c r="L176" s="825"/>
      <c r="M176" s="825"/>
      <c r="N176" s="825"/>
      <c r="O176" s="825"/>
      <c r="P176" s="825"/>
      <c r="Q176" s="825"/>
      <c r="T176" s="825"/>
      <c r="U176" s="825"/>
      <c r="V176" s="825"/>
      <c r="W176" s="825"/>
      <c r="X176" s="825"/>
      <c r="Y176" s="825"/>
    </row>
    <row r="177" spans="2:25" outlineLevel="2">
      <c r="B177" s="735"/>
      <c r="C177" s="740" t="s">
        <v>309</v>
      </c>
      <c r="D177" s="716">
        <f t="shared" si="36"/>
        <v>9</v>
      </c>
      <c r="E177" s="825"/>
      <c r="F177" s="825"/>
      <c r="G177" s="825"/>
      <c r="H177" s="825"/>
      <c r="I177" s="825"/>
      <c r="J177" s="825"/>
      <c r="K177" s="825"/>
      <c r="L177" s="825"/>
      <c r="M177" s="825"/>
      <c r="N177" s="825"/>
      <c r="O177" s="825"/>
      <c r="P177" s="825"/>
      <c r="Q177" s="825"/>
      <c r="T177" s="825"/>
      <c r="U177" s="825"/>
      <c r="V177" s="825"/>
      <c r="W177" s="825"/>
      <c r="X177" s="825"/>
      <c r="Y177" s="825"/>
    </row>
    <row r="178" spans="2:25" outlineLevel="2">
      <c r="B178" s="735"/>
      <c r="C178" s="740" t="s">
        <v>309</v>
      </c>
      <c r="D178" s="716">
        <f t="shared" si="36"/>
        <v>10</v>
      </c>
      <c r="E178" s="825"/>
      <c r="F178" s="825"/>
      <c r="G178" s="825"/>
      <c r="H178" s="825"/>
      <c r="I178" s="825"/>
      <c r="J178" s="825"/>
      <c r="K178" s="825"/>
      <c r="L178" s="825"/>
      <c r="M178" s="825"/>
      <c r="N178" s="825"/>
      <c r="O178" s="825"/>
      <c r="P178" s="825"/>
      <c r="Q178" s="825"/>
      <c r="T178" s="825"/>
      <c r="U178" s="825"/>
      <c r="V178" s="825"/>
      <c r="W178" s="825"/>
      <c r="X178" s="825"/>
      <c r="Y178" s="825"/>
    </row>
    <row r="179" spans="2:25" ht="13.5" outlineLevel="1">
      <c r="B179" s="735" t="s">
        <v>540</v>
      </c>
      <c r="C179" s="1375" t="s">
        <v>570</v>
      </c>
      <c r="D179" s="1375"/>
      <c r="E179" s="826"/>
      <c r="F179" s="826"/>
      <c r="G179" s="826"/>
      <c r="H179" s="826"/>
      <c r="I179" s="826"/>
      <c r="J179" s="826"/>
      <c r="K179" s="826"/>
      <c r="L179" s="826"/>
      <c r="M179" s="826"/>
      <c r="N179" s="826"/>
      <c r="O179" s="826"/>
      <c r="P179" s="826"/>
      <c r="Q179" s="826"/>
      <c r="T179" s="826"/>
      <c r="U179" s="826"/>
      <c r="V179" s="826"/>
      <c r="W179" s="826"/>
      <c r="X179" s="826"/>
      <c r="Y179" s="826"/>
    </row>
    <row r="180" spans="2:25" outlineLevel="1">
      <c r="E180" s="754"/>
      <c r="F180" s="754"/>
      <c r="G180" s="754"/>
      <c r="H180" s="754"/>
      <c r="I180" s="754"/>
      <c r="J180" s="754"/>
      <c r="K180" s="754"/>
      <c r="L180" s="754"/>
      <c r="M180" s="754"/>
      <c r="N180" s="754"/>
      <c r="O180" s="754"/>
      <c r="P180" s="754"/>
      <c r="Q180" s="754"/>
      <c r="T180" s="955"/>
      <c r="U180" s="955"/>
      <c r="V180" s="955"/>
      <c r="W180" s="955"/>
      <c r="X180" s="955"/>
      <c r="Y180" s="955"/>
    </row>
    <row r="181" spans="2:25" outlineLevel="1">
      <c r="B181" s="803" t="s">
        <v>427</v>
      </c>
      <c r="D181" s="749"/>
      <c r="E181" s="755">
        <f>+E183/E24</f>
        <v>180000000</v>
      </c>
      <c r="F181" s="755"/>
      <c r="G181" s="755"/>
      <c r="H181" s="755"/>
      <c r="I181" s="755"/>
      <c r="J181" s="755">
        <f t="shared" ref="J181:Q181" si="37">+J183/J24</f>
        <v>180000000</v>
      </c>
      <c r="K181" s="755">
        <f t="shared" si="37"/>
        <v>180000000</v>
      </c>
      <c r="L181" s="755">
        <f t="shared" si="37"/>
        <v>180000000</v>
      </c>
      <c r="M181" s="755">
        <f t="shared" si="37"/>
        <v>180000000</v>
      </c>
      <c r="N181" s="755">
        <f t="shared" si="37"/>
        <v>180000000</v>
      </c>
      <c r="O181" s="755">
        <f t="shared" si="37"/>
        <v>180000000</v>
      </c>
      <c r="P181" s="755">
        <f t="shared" si="37"/>
        <v>180000000</v>
      </c>
      <c r="Q181" s="755" t="e">
        <f t="shared" si="37"/>
        <v>#DIV/0!</v>
      </c>
      <c r="T181" s="956">
        <f>+T183/T24</f>
        <v>0</v>
      </c>
      <c r="U181" s="956"/>
      <c r="V181" s="956"/>
      <c r="W181" s="956"/>
      <c r="X181" s="956"/>
      <c r="Y181" s="956">
        <f>+Y183/Y24</f>
        <v>0</v>
      </c>
    </row>
    <row r="182" spans="2:25" ht="16.5" customHeight="1" outlineLevel="1">
      <c r="B182" s="735" t="s">
        <v>487</v>
      </c>
      <c r="C182" s="760"/>
      <c r="D182" s="759"/>
      <c r="E182" s="801"/>
      <c r="F182" s="801"/>
      <c r="G182" s="801"/>
      <c r="H182" s="801"/>
      <c r="I182" s="801"/>
      <c r="J182" s="801"/>
      <c r="K182" s="801"/>
      <c r="L182" s="801"/>
      <c r="M182" s="801"/>
      <c r="N182" s="801"/>
      <c r="O182" s="801"/>
      <c r="P182" s="801"/>
      <c r="Q182" s="801"/>
      <c r="R182" s="745"/>
      <c r="T182" s="801"/>
      <c r="U182" s="801"/>
      <c r="V182" s="801"/>
      <c r="W182" s="801"/>
      <c r="X182" s="801"/>
      <c r="Y182" s="801"/>
    </row>
    <row r="183" spans="2:25" outlineLevel="1">
      <c r="B183" s="735" t="s">
        <v>528</v>
      </c>
      <c r="D183" s="813" t="s">
        <v>571</v>
      </c>
      <c r="E183" s="814">
        <f>+'Input 기초'!F31</f>
        <v>40640400</v>
      </c>
      <c r="F183" s="814">
        <f>+'Input 기초'!G31</f>
        <v>98183700</v>
      </c>
      <c r="G183" s="814">
        <f>+'Input 기초'!H31</f>
        <v>37947600</v>
      </c>
      <c r="H183" s="821">
        <f>+'Input 기초'!F105</f>
        <v>56700000</v>
      </c>
      <c r="I183" s="821">
        <f>+'Input 기초'!G105</f>
        <v>178380000</v>
      </c>
      <c r="J183" s="821">
        <f>+'Input 기초'!H105</f>
        <v>180000000</v>
      </c>
      <c r="K183" s="821">
        <f>+'Input 기초'!I105</f>
        <v>28080000</v>
      </c>
      <c r="L183" s="821">
        <f>+'Input 기초'!J105</f>
        <v>31140000</v>
      </c>
      <c r="M183" s="821">
        <f>+'Input 기초'!K105</f>
        <v>40860000</v>
      </c>
      <c r="N183" s="821">
        <f>+'Input 기초'!L105</f>
        <v>41940000</v>
      </c>
      <c r="O183" s="821">
        <f>+'Input 기초'!M105</f>
        <v>42660000</v>
      </c>
      <c r="P183" s="821">
        <f>+'Input 기초'!N105</f>
        <v>29700000</v>
      </c>
      <c r="Q183" s="821"/>
      <c r="R183" s="761"/>
      <c r="T183" s="821">
        <f>+'Input 기초'!U80</f>
        <v>0</v>
      </c>
      <c r="U183" s="821">
        <f>+'Input 기초'!V80</f>
        <v>0</v>
      </c>
      <c r="V183" s="821">
        <f>+'Input 기초'!W80</f>
        <v>0</v>
      </c>
      <c r="W183" s="821">
        <f>+'Input 기초'!X80</f>
        <v>0</v>
      </c>
      <c r="X183" s="821">
        <f>+'Input 기초'!Y80</f>
        <v>0</v>
      </c>
      <c r="Y183" s="821">
        <f>+'Input 기초'!Z80</f>
        <v>0</v>
      </c>
    </row>
    <row r="184" spans="2:25" ht="16.5" customHeight="1" outlineLevel="1">
      <c r="B184" s="735" t="s">
        <v>542</v>
      </c>
      <c r="D184" s="721" t="s">
        <v>533</v>
      </c>
      <c r="E184" s="822">
        <v>1</v>
      </c>
      <c r="F184" s="822">
        <v>1</v>
      </c>
      <c r="G184" s="822">
        <v>1</v>
      </c>
      <c r="H184" s="822">
        <v>1</v>
      </c>
      <c r="I184" s="822">
        <v>1</v>
      </c>
      <c r="J184" s="822">
        <v>1</v>
      </c>
      <c r="K184" s="822">
        <v>1</v>
      </c>
      <c r="L184" s="822">
        <v>1</v>
      </c>
      <c r="M184" s="822">
        <v>1</v>
      </c>
      <c r="N184" s="822">
        <v>1</v>
      </c>
      <c r="O184" s="822">
        <v>1</v>
      </c>
      <c r="P184" s="822">
        <v>1</v>
      </c>
      <c r="Q184" s="822">
        <v>1</v>
      </c>
      <c r="T184" s="822">
        <v>1</v>
      </c>
      <c r="U184" s="822">
        <v>1</v>
      </c>
      <c r="V184" s="822">
        <v>1</v>
      </c>
      <c r="W184" s="822">
        <v>1</v>
      </c>
      <c r="X184" s="822">
        <v>1</v>
      </c>
      <c r="Y184" s="822">
        <v>1</v>
      </c>
    </row>
    <row r="185" spans="2:25" ht="16.5" customHeight="1" outlineLevel="1">
      <c r="B185" s="735" t="s">
        <v>534</v>
      </c>
      <c r="C185" s="740" t="s">
        <v>572</v>
      </c>
      <c r="D185" s="721" t="s">
        <v>301</v>
      </c>
      <c r="E185" s="823">
        <f>+E18</f>
        <v>46081</v>
      </c>
      <c r="F185" s="823">
        <f>+F18</f>
        <v>46081</v>
      </c>
      <c r="G185" s="823">
        <f>+G18</f>
        <v>46081</v>
      </c>
      <c r="H185" s="823">
        <f t="shared" ref="H185:Q185" si="38">+H18</f>
        <v>46174</v>
      </c>
      <c r="I185" s="823">
        <f t="shared" si="38"/>
        <v>46204</v>
      </c>
      <c r="J185" s="823">
        <f t="shared" si="38"/>
        <v>46174</v>
      </c>
      <c r="K185" s="823">
        <f t="shared" si="38"/>
        <v>46174</v>
      </c>
      <c r="L185" s="823">
        <f t="shared" si="38"/>
        <v>46204</v>
      </c>
      <c r="M185" s="823">
        <f t="shared" si="38"/>
        <v>46204</v>
      </c>
      <c r="N185" s="823">
        <f t="shared" si="38"/>
        <v>46204</v>
      </c>
      <c r="O185" s="823">
        <f t="shared" si="38"/>
        <v>46235</v>
      </c>
      <c r="P185" s="823">
        <f t="shared" si="38"/>
        <v>46235</v>
      </c>
      <c r="Q185" s="823">
        <f t="shared" si="38"/>
        <v>0</v>
      </c>
      <c r="T185" s="823"/>
      <c r="U185" s="823"/>
      <c r="V185" s="823"/>
      <c r="W185" s="823"/>
      <c r="X185" s="823"/>
      <c r="Y185" s="823"/>
    </row>
    <row r="186" spans="2:25" ht="16.5" customHeight="1" outlineLevel="1">
      <c r="B186" s="735" t="s">
        <v>536</v>
      </c>
      <c r="D186" s="721" t="s">
        <v>309</v>
      </c>
      <c r="E186" s="824"/>
      <c r="F186" s="824"/>
      <c r="G186" s="824"/>
      <c r="H186" s="824"/>
      <c r="I186" s="824"/>
      <c r="J186" s="824"/>
      <c r="K186" s="824"/>
      <c r="L186" s="824"/>
      <c r="M186" s="824"/>
      <c r="N186" s="824"/>
      <c r="O186" s="824"/>
      <c r="P186" s="824"/>
      <c r="Q186" s="824"/>
      <c r="T186" s="824"/>
      <c r="U186" s="824"/>
      <c r="V186" s="824"/>
      <c r="W186" s="824"/>
      <c r="X186" s="824"/>
      <c r="Y186" s="824"/>
    </row>
    <row r="187" spans="2:25" outlineLevel="1">
      <c r="B187" s="735" t="s">
        <v>568</v>
      </c>
      <c r="C187" s="740" t="s">
        <v>569</v>
      </c>
      <c r="D187" s="716">
        <v>1</v>
      </c>
      <c r="E187" s="825">
        <v>1</v>
      </c>
      <c r="F187" s="825">
        <v>1</v>
      </c>
      <c r="G187" s="825">
        <v>1</v>
      </c>
      <c r="H187" s="825">
        <v>1</v>
      </c>
      <c r="I187" s="825">
        <v>1</v>
      </c>
      <c r="J187" s="825">
        <v>1</v>
      </c>
      <c r="K187" s="825">
        <v>1</v>
      </c>
      <c r="L187" s="825">
        <v>1</v>
      </c>
      <c r="M187" s="825">
        <v>1</v>
      </c>
      <c r="N187" s="825">
        <v>1</v>
      </c>
      <c r="O187" s="825">
        <v>1</v>
      </c>
      <c r="P187" s="825">
        <v>1</v>
      </c>
      <c r="Q187" s="825">
        <v>1</v>
      </c>
      <c r="T187" s="825">
        <v>1</v>
      </c>
      <c r="U187" s="825">
        <v>1</v>
      </c>
      <c r="V187" s="825">
        <v>1</v>
      </c>
      <c r="W187" s="825">
        <v>1</v>
      </c>
      <c r="X187" s="825">
        <v>1</v>
      </c>
      <c r="Y187" s="825">
        <v>1</v>
      </c>
    </row>
    <row r="188" spans="2:25" outlineLevel="1">
      <c r="B188" s="735"/>
      <c r="C188" s="740" t="s">
        <v>309</v>
      </c>
      <c r="D188" s="716">
        <f t="shared" ref="D188:D196" si="39">+D187+1</f>
        <v>2</v>
      </c>
      <c r="E188" s="825">
        <f>+'[6]입력 시트(0124)'!E200</f>
        <v>0</v>
      </c>
      <c r="F188" s="825">
        <f>+'[6]입력 시트(0124)'!F200</f>
        <v>0</v>
      </c>
      <c r="G188" s="825">
        <f>+'[6]입력 시트(0124)'!G200</f>
        <v>0</v>
      </c>
      <c r="H188" s="825">
        <f>+'[6]입력 시트(0124)'!H200</f>
        <v>0</v>
      </c>
      <c r="I188" s="825">
        <f>+'[6]입력 시트(0124)'!I200</f>
        <v>0</v>
      </c>
      <c r="J188" s="825">
        <v>0</v>
      </c>
      <c r="K188" s="825">
        <v>0</v>
      </c>
      <c r="L188" s="825">
        <v>0</v>
      </c>
      <c r="M188" s="825">
        <v>0</v>
      </c>
      <c r="N188" s="825">
        <v>0</v>
      </c>
      <c r="O188" s="825">
        <v>0</v>
      </c>
      <c r="P188" s="825">
        <v>0</v>
      </c>
      <c r="Q188" s="825">
        <v>0</v>
      </c>
      <c r="T188" s="825" t="e">
        <f>+'[6]입력 시트(0124)'!T200</f>
        <v>#REF!</v>
      </c>
      <c r="U188" s="825" t="e">
        <f>+'[6]입력 시트(0124)'!U200</f>
        <v>#REF!</v>
      </c>
      <c r="V188" s="825" t="e">
        <f>+'[6]입력 시트(0124)'!V200</f>
        <v>#REF!</v>
      </c>
      <c r="W188" s="825" t="e">
        <f>+'[6]입력 시트(0124)'!W200</f>
        <v>#REF!</v>
      </c>
      <c r="X188" s="825" t="e">
        <f>+'[6]입력 시트(0124)'!X200</f>
        <v>#REF!</v>
      </c>
      <c r="Y188" s="825">
        <v>0</v>
      </c>
    </row>
    <row r="189" spans="2:25" outlineLevel="1">
      <c r="B189" s="735"/>
      <c r="C189" s="740" t="s">
        <v>309</v>
      </c>
      <c r="D189" s="716">
        <f t="shared" si="39"/>
        <v>3</v>
      </c>
      <c r="E189" s="825">
        <f>+'[6]입력 시트(0124)'!E201</f>
        <v>0</v>
      </c>
      <c r="F189" s="825">
        <f>+'[6]입력 시트(0124)'!F201</f>
        <v>0</v>
      </c>
      <c r="G189" s="825">
        <f>+'[6]입력 시트(0124)'!G201</f>
        <v>0</v>
      </c>
      <c r="H189" s="825">
        <f>+'[6]입력 시트(0124)'!H201</f>
        <v>0</v>
      </c>
      <c r="I189" s="825">
        <f>+'[6]입력 시트(0124)'!I201</f>
        <v>0</v>
      </c>
      <c r="J189" s="825">
        <v>0</v>
      </c>
      <c r="K189" s="825">
        <v>0</v>
      </c>
      <c r="L189" s="825">
        <v>0</v>
      </c>
      <c r="M189" s="825">
        <v>0</v>
      </c>
      <c r="N189" s="825">
        <v>0</v>
      </c>
      <c r="O189" s="825">
        <v>0</v>
      </c>
      <c r="P189" s="825">
        <v>0</v>
      </c>
      <c r="Q189" s="825">
        <v>0</v>
      </c>
      <c r="T189" s="825" t="e">
        <f>+'[6]입력 시트(0124)'!T201</f>
        <v>#REF!</v>
      </c>
      <c r="U189" s="825" t="e">
        <f>+'[6]입력 시트(0124)'!U201</f>
        <v>#REF!</v>
      </c>
      <c r="V189" s="825" t="e">
        <f>+'[6]입력 시트(0124)'!V201</f>
        <v>#REF!</v>
      </c>
      <c r="W189" s="825" t="e">
        <f>+'[6]입력 시트(0124)'!W201</f>
        <v>#REF!</v>
      </c>
      <c r="X189" s="825" t="e">
        <f>+'[6]입력 시트(0124)'!X201</f>
        <v>#REF!</v>
      </c>
      <c r="Y189" s="825">
        <v>0</v>
      </c>
    </row>
    <row r="190" spans="2:25" outlineLevel="1">
      <c r="B190" s="735"/>
      <c r="C190" s="740" t="s">
        <v>309</v>
      </c>
      <c r="D190" s="716">
        <f t="shared" si="39"/>
        <v>4</v>
      </c>
      <c r="E190" s="825">
        <f>+'[6]입력 시트(0124)'!E202</f>
        <v>0</v>
      </c>
      <c r="F190" s="825">
        <f>+'[6]입력 시트(0124)'!F202</f>
        <v>0</v>
      </c>
      <c r="G190" s="825">
        <f>+'[6]입력 시트(0124)'!G202</f>
        <v>0</v>
      </c>
      <c r="H190" s="825">
        <f>+'[6]입력 시트(0124)'!H202</f>
        <v>0</v>
      </c>
      <c r="I190" s="825">
        <f>+'[6]입력 시트(0124)'!I202</f>
        <v>0</v>
      </c>
      <c r="J190" s="825">
        <v>0</v>
      </c>
      <c r="K190" s="825">
        <v>0</v>
      </c>
      <c r="L190" s="825">
        <v>0</v>
      </c>
      <c r="M190" s="825">
        <v>0</v>
      </c>
      <c r="N190" s="825">
        <v>0</v>
      </c>
      <c r="O190" s="825">
        <v>0</v>
      </c>
      <c r="P190" s="825">
        <v>0</v>
      </c>
      <c r="Q190" s="825">
        <v>0</v>
      </c>
      <c r="T190" s="825" t="e">
        <f>+'[6]입력 시트(0124)'!T202</f>
        <v>#REF!</v>
      </c>
      <c r="U190" s="825" t="e">
        <f>+'[6]입력 시트(0124)'!U202</f>
        <v>#REF!</v>
      </c>
      <c r="V190" s="825" t="e">
        <f>+'[6]입력 시트(0124)'!V202</f>
        <v>#REF!</v>
      </c>
      <c r="W190" s="825" t="e">
        <f>+'[6]입력 시트(0124)'!W202</f>
        <v>#REF!</v>
      </c>
      <c r="X190" s="825" t="e">
        <f>+'[6]입력 시트(0124)'!X202</f>
        <v>#REF!</v>
      </c>
      <c r="Y190" s="825">
        <v>0</v>
      </c>
    </row>
    <row r="191" spans="2:25" outlineLevel="1">
      <c r="B191" s="735"/>
      <c r="C191" s="740" t="s">
        <v>309</v>
      </c>
      <c r="D191" s="716">
        <f t="shared" si="39"/>
        <v>5</v>
      </c>
      <c r="E191" s="825">
        <v>0</v>
      </c>
      <c r="F191" s="825">
        <v>0</v>
      </c>
      <c r="G191" s="825">
        <v>0</v>
      </c>
      <c r="H191" s="825">
        <v>0</v>
      </c>
      <c r="I191" s="825">
        <v>0</v>
      </c>
      <c r="J191" s="825">
        <v>0</v>
      </c>
      <c r="K191" s="825">
        <v>0</v>
      </c>
      <c r="L191" s="825">
        <v>0</v>
      </c>
      <c r="M191" s="825">
        <v>0</v>
      </c>
      <c r="N191" s="825">
        <v>0</v>
      </c>
      <c r="O191" s="825">
        <v>0</v>
      </c>
      <c r="P191" s="825">
        <v>0</v>
      </c>
      <c r="Q191" s="825">
        <v>0</v>
      </c>
      <c r="T191" s="825">
        <v>0</v>
      </c>
      <c r="U191" s="825">
        <v>0</v>
      </c>
      <c r="V191" s="825">
        <v>0</v>
      </c>
      <c r="W191" s="825">
        <v>0</v>
      </c>
      <c r="X191" s="825">
        <v>0</v>
      </c>
      <c r="Y191" s="825">
        <v>0</v>
      </c>
    </row>
    <row r="192" spans="2:25" outlineLevel="1">
      <c r="B192" s="735"/>
      <c r="C192" s="740" t="s">
        <v>309</v>
      </c>
      <c r="D192" s="716">
        <f t="shared" si="39"/>
        <v>6</v>
      </c>
      <c r="E192" s="825">
        <f>+'[6]입력 시트(0124)'!E204</f>
        <v>0</v>
      </c>
      <c r="F192" s="825">
        <f>+'[6]입력 시트(0124)'!F204</f>
        <v>0</v>
      </c>
      <c r="G192" s="825">
        <f>+'[6]입력 시트(0124)'!G204</f>
        <v>0</v>
      </c>
      <c r="H192" s="825">
        <f>+'[6]입력 시트(0124)'!H204</f>
        <v>0</v>
      </c>
      <c r="I192" s="825">
        <f>+'[6]입력 시트(0124)'!I204</f>
        <v>0</v>
      </c>
      <c r="J192" s="825">
        <v>0</v>
      </c>
      <c r="K192" s="825">
        <v>0</v>
      </c>
      <c r="L192" s="825">
        <v>0</v>
      </c>
      <c r="M192" s="825">
        <v>0</v>
      </c>
      <c r="N192" s="825">
        <v>0</v>
      </c>
      <c r="O192" s="825">
        <v>0</v>
      </c>
      <c r="P192" s="825">
        <v>0</v>
      </c>
      <c r="Q192" s="825">
        <v>0</v>
      </c>
      <c r="T192" s="825" t="e">
        <f>+'[6]입력 시트(0124)'!T204</f>
        <v>#REF!</v>
      </c>
      <c r="U192" s="825" t="e">
        <f>+'[6]입력 시트(0124)'!U204</f>
        <v>#REF!</v>
      </c>
      <c r="V192" s="825" t="e">
        <f>+'[6]입력 시트(0124)'!V204</f>
        <v>#REF!</v>
      </c>
      <c r="W192" s="825" t="e">
        <f>+'[6]입력 시트(0124)'!W204</f>
        <v>#REF!</v>
      </c>
      <c r="X192" s="825" t="e">
        <f>+'[6]입력 시트(0124)'!X204</f>
        <v>#REF!</v>
      </c>
      <c r="Y192" s="825">
        <v>0</v>
      </c>
    </row>
    <row r="193" spans="2:25" outlineLevel="1">
      <c r="B193" s="735"/>
      <c r="C193" s="740" t="s">
        <v>309</v>
      </c>
      <c r="D193" s="716">
        <f t="shared" si="39"/>
        <v>7</v>
      </c>
      <c r="E193" s="825">
        <f>+'[6]입력 시트(0124)'!E205</f>
        <v>0</v>
      </c>
      <c r="F193" s="825">
        <f>+'[6]입력 시트(0124)'!F205</f>
        <v>0</v>
      </c>
      <c r="G193" s="825">
        <f>+'[6]입력 시트(0124)'!G205</f>
        <v>0</v>
      </c>
      <c r="H193" s="825">
        <f>+'[6]입력 시트(0124)'!H205</f>
        <v>0</v>
      </c>
      <c r="I193" s="825">
        <f>+'[6]입력 시트(0124)'!I205</f>
        <v>0</v>
      </c>
      <c r="J193" s="825">
        <v>0</v>
      </c>
      <c r="K193" s="825">
        <v>0</v>
      </c>
      <c r="L193" s="825">
        <v>0</v>
      </c>
      <c r="M193" s="825">
        <v>0</v>
      </c>
      <c r="N193" s="825">
        <v>0</v>
      </c>
      <c r="O193" s="825">
        <v>0</v>
      </c>
      <c r="P193" s="825">
        <v>0</v>
      </c>
      <c r="Q193" s="825">
        <v>0</v>
      </c>
      <c r="T193" s="825" t="e">
        <f>+'[6]입력 시트(0124)'!T205</f>
        <v>#REF!</v>
      </c>
      <c r="U193" s="825" t="e">
        <f>+'[6]입력 시트(0124)'!U205</f>
        <v>#REF!</v>
      </c>
      <c r="V193" s="825" t="e">
        <f>+'[6]입력 시트(0124)'!V205</f>
        <v>#REF!</v>
      </c>
      <c r="W193" s="825" t="e">
        <f>+'[6]입력 시트(0124)'!W205</f>
        <v>#REF!</v>
      </c>
      <c r="X193" s="825" t="e">
        <f>+'[6]입력 시트(0124)'!X205</f>
        <v>#REF!</v>
      </c>
      <c r="Y193" s="825">
        <v>0</v>
      </c>
    </row>
    <row r="194" spans="2:25" outlineLevel="1">
      <c r="B194" s="735"/>
      <c r="C194" s="740" t="s">
        <v>309</v>
      </c>
      <c r="D194" s="716">
        <f t="shared" si="39"/>
        <v>8</v>
      </c>
      <c r="E194" s="825">
        <f>+'[6]입력 시트(0124)'!E206</f>
        <v>0</v>
      </c>
      <c r="F194" s="825">
        <f>+'[6]입력 시트(0124)'!F206</f>
        <v>0</v>
      </c>
      <c r="G194" s="825">
        <f>+'[6]입력 시트(0124)'!G206</f>
        <v>0</v>
      </c>
      <c r="H194" s="825">
        <f>+'[6]입력 시트(0124)'!H206</f>
        <v>0</v>
      </c>
      <c r="I194" s="825">
        <f>+'[6]입력 시트(0124)'!I206</f>
        <v>0</v>
      </c>
      <c r="J194" s="825">
        <v>0</v>
      </c>
      <c r="K194" s="825">
        <v>0</v>
      </c>
      <c r="L194" s="825">
        <v>0</v>
      </c>
      <c r="M194" s="825">
        <v>0</v>
      </c>
      <c r="N194" s="825">
        <v>0</v>
      </c>
      <c r="O194" s="825">
        <v>0</v>
      </c>
      <c r="P194" s="825">
        <v>0</v>
      </c>
      <c r="Q194" s="825">
        <v>0</v>
      </c>
      <c r="T194" s="825" t="e">
        <f>+'[6]입력 시트(0124)'!T206</f>
        <v>#REF!</v>
      </c>
      <c r="U194" s="825" t="e">
        <f>+'[6]입력 시트(0124)'!U206</f>
        <v>#REF!</v>
      </c>
      <c r="V194" s="825" t="e">
        <f>+'[6]입력 시트(0124)'!V206</f>
        <v>#REF!</v>
      </c>
      <c r="W194" s="825" t="e">
        <f>+'[6]입력 시트(0124)'!W206</f>
        <v>#REF!</v>
      </c>
      <c r="X194" s="825" t="e">
        <f>+'[6]입력 시트(0124)'!X206</f>
        <v>#REF!</v>
      </c>
      <c r="Y194" s="825">
        <v>0</v>
      </c>
    </row>
    <row r="195" spans="2:25" outlineLevel="1">
      <c r="B195" s="735"/>
      <c r="C195" s="740" t="s">
        <v>309</v>
      </c>
      <c r="D195" s="716">
        <f t="shared" si="39"/>
        <v>9</v>
      </c>
      <c r="E195" s="825">
        <f>+'[6]입력 시트(0124)'!E207</f>
        <v>0</v>
      </c>
      <c r="F195" s="825">
        <f>+'[6]입력 시트(0124)'!F207</f>
        <v>0</v>
      </c>
      <c r="G195" s="825">
        <f>+'[6]입력 시트(0124)'!G207</f>
        <v>0</v>
      </c>
      <c r="H195" s="825">
        <f>+'[6]입력 시트(0124)'!H207</f>
        <v>0</v>
      </c>
      <c r="I195" s="825">
        <f>+'[6]입력 시트(0124)'!I207</f>
        <v>0</v>
      </c>
      <c r="J195" s="825">
        <v>0</v>
      </c>
      <c r="K195" s="825">
        <v>0</v>
      </c>
      <c r="L195" s="825">
        <v>0</v>
      </c>
      <c r="M195" s="825">
        <v>0</v>
      </c>
      <c r="N195" s="825">
        <v>0</v>
      </c>
      <c r="O195" s="825">
        <v>0</v>
      </c>
      <c r="P195" s="825">
        <v>0</v>
      </c>
      <c r="Q195" s="825">
        <v>0</v>
      </c>
      <c r="T195" s="825" t="e">
        <f>+'[6]입력 시트(0124)'!T207</f>
        <v>#REF!</v>
      </c>
      <c r="U195" s="825" t="e">
        <f>+'[6]입력 시트(0124)'!U207</f>
        <v>#REF!</v>
      </c>
      <c r="V195" s="825" t="e">
        <f>+'[6]입력 시트(0124)'!V207</f>
        <v>#REF!</v>
      </c>
      <c r="W195" s="825" t="e">
        <f>+'[6]입력 시트(0124)'!W207</f>
        <v>#REF!</v>
      </c>
      <c r="X195" s="825" t="e">
        <f>+'[6]입력 시트(0124)'!X207</f>
        <v>#REF!</v>
      </c>
      <c r="Y195" s="825">
        <v>0</v>
      </c>
    </row>
    <row r="196" spans="2:25" outlineLevel="1">
      <c r="B196" s="735"/>
      <c r="C196" s="740" t="s">
        <v>309</v>
      </c>
      <c r="D196" s="716">
        <f t="shared" si="39"/>
        <v>10</v>
      </c>
      <c r="E196" s="825">
        <f>+'[6]입력 시트(0124)'!E208</f>
        <v>0</v>
      </c>
      <c r="F196" s="825">
        <f>+'[6]입력 시트(0124)'!F208</f>
        <v>0</v>
      </c>
      <c r="G196" s="825">
        <f>+'[6]입력 시트(0124)'!G208</f>
        <v>0</v>
      </c>
      <c r="H196" s="825">
        <f>+'[6]입력 시트(0124)'!H208</f>
        <v>0</v>
      </c>
      <c r="I196" s="825">
        <f>+'[6]입력 시트(0124)'!I208</f>
        <v>0</v>
      </c>
      <c r="J196" s="825">
        <v>0</v>
      </c>
      <c r="K196" s="825">
        <v>0</v>
      </c>
      <c r="L196" s="825">
        <v>0</v>
      </c>
      <c r="M196" s="825">
        <v>0</v>
      </c>
      <c r="N196" s="825">
        <v>0</v>
      </c>
      <c r="O196" s="825">
        <v>0</v>
      </c>
      <c r="P196" s="825">
        <v>0</v>
      </c>
      <c r="Q196" s="825">
        <v>0</v>
      </c>
      <c r="T196" s="825" t="e">
        <f>+'[6]입력 시트(0124)'!T208</f>
        <v>#REF!</v>
      </c>
      <c r="U196" s="825" t="e">
        <f>+'[6]입력 시트(0124)'!U208</f>
        <v>#REF!</v>
      </c>
      <c r="V196" s="825" t="e">
        <f>+'[6]입력 시트(0124)'!V208</f>
        <v>#REF!</v>
      </c>
      <c r="W196" s="825" t="e">
        <f>+'[6]입력 시트(0124)'!W208</f>
        <v>#REF!</v>
      </c>
      <c r="X196" s="825" t="e">
        <f>+'[6]입력 시트(0124)'!X208</f>
        <v>#REF!</v>
      </c>
      <c r="Y196" s="825">
        <v>0</v>
      </c>
    </row>
    <row r="197" spans="2:25" outlineLevel="1">
      <c r="B197" s="735" t="s">
        <v>540</v>
      </c>
      <c r="C197" s="762"/>
      <c r="E197" s="826"/>
      <c r="F197" s="826"/>
      <c r="G197" s="826"/>
      <c r="H197" s="826"/>
      <c r="I197" s="826"/>
      <c r="J197" s="826"/>
      <c r="K197" s="826"/>
      <c r="L197" s="826"/>
      <c r="M197" s="826"/>
      <c r="N197" s="826"/>
      <c r="O197" s="826"/>
      <c r="P197" s="826"/>
      <c r="Q197" s="826"/>
      <c r="T197" s="826"/>
      <c r="U197" s="826"/>
      <c r="V197" s="826"/>
      <c r="W197" s="826"/>
      <c r="X197" s="826"/>
      <c r="Y197" s="826"/>
    </row>
    <row r="198" spans="2:25" outlineLevel="1">
      <c r="T198" s="777"/>
      <c r="U198" s="777"/>
      <c r="V198" s="777"/>
      <c r="W198" s="777"/>
      <c r="X198" s="777"/>
      <c r="Y198" s="777"/>
    </row>
    <row r="199" spans="2:25" outlineLevel="1">
      <c r="B199" s="803" t="s">
        <v>573</v>
      </c>
      <c r="D199" s="749"/>
      <c r="E199" s="750"/>
      <c r="F199" s="750"/>
      <c r="G199" s="750"/>
      <c r="H199" s="750"/>
      <c r="I199" s="750"/>
      <c r="J199" s="750"/>
      <c r="K199" s="750"/>
      <c r="L199" s="750"/>
      <c r="M199" s="750"/>
      <c r="N199" s="750"/>
      <c r="O199" s="750"/>
      <c r="P199" s="750"/>
      <c r="Q199" s="750"/>
      <c r="T199" s="953"/>
      <c r="U199" s="953"/>
      <c r="V199" s="953"/>
      <c r="W199" s="953"/>
      <c r="X199" s="953"/>
      <c r="Y199" s="953"/>
    </row>
    <row r="200" spans="2:25" ht="16.5" customHeight="1" outlineLevel="1">
      <c r="B200" s="735" t="s">
        <v>487</v>
      </c>
      <c r="C200" s="760"/>
      <c r="D200" s="759"/>
      <c r="E200" s="801"/>
      <c r="F200" s="801"/>
      <c r="G200" s="801"/>
      <c r="H200" s="801"/>
      <c r="I200" s="801"/>
      <c r="J200" s="801"/>
      <c r="K200" s="801"/>
      <c r="L200" s="801"/>
      <c r="M200" s="801"/>
      <c r="N200" s="801"/>
      <c r="O200" s="801"/>
      <c r="P200" s="801"/>
      <c r="Q200" s="801"/>
      <c r="T200" s="801"/>
      <c r="U200" s="801"/>
      <c r="V200" s="801"/>
      <c r="W200" s="801"/>
      <c r="X200" s="801"/>
      <c r="Y200" s="801"/>
    </row>
    <row r="201" spans="2:25" outlineLevel="1">
      <c r="B201" s="735" t="s">
        <v>528</v>
      </c>
      <c r="D201" s="813" t="s">
        <v>571</v>
      </c>
      <c r="E201" s="814">
        <f>+'Input 기초'!F32</f>
        <v>27093600</v>
      </c>
      <c r="F201" s="814">
        <f>+'Input 기초'!G32</f>
        <v>65455800</v>
      </c>
      <c r="G201" s="814">
        <f>+'Input 기초'!H32</f>
        <v>25298399.999999996</v>
      </c>
      <c r="H201" s="821">
        <f>+'Input 기초'!F106</f>
        <v>37800000</v>
      </c>
      <c r="I201" s="821">
        <f>+'Input 기초'!G106</f>
        <v>118920000</v>
      </c>
      <c r="J201" s="821">
        <f>+'Input 기초'!H106</f>
        <v>120000000</v>
      </c>
      <c r="K201" s="821">
        <f>+'Input 기초'!I106</f>
        <v>18720000</v>
      </c>
      <c r="L201" s="821">
        <f>+'Input 기초'!J106</f>
        <v>20760000</v>
      </c>
      <c r="M201" s="821">
        <f>+'Input 기초'!K106</f>
        <v>27240000</v>
      </c>
      <c r="N201" s="821">
        <f>+'Input 기초'!L106</f>
        <v>27960000</v>
      </c>
      <c r="O201" s="821">
        <f>+'Input 기초'!M106</f>
        <v>28440000</v>
      </c>
      <c r="P201" s="821">
        <f>+'Input 기초'!N106</f>
        <v>19800000</v>
      </c>
      <c r="Q201" s="821"/>
      <c r="T201" s="821">
        <f>+'Input 기초'!U81</f>
        <v>0</v>
      </c>
      <c r="U201" s="821">
        <f>+'Input 기초'!V81</f>
        <v>0</v>
      </c>
      <c r="V201" s="821">
        <f>+'Input 기초'!W81</f>
        <v>0</v>
      </c>
      <c r="W201" s="821">
        <f>+'Input 기초'!X81</f>
        <v>0</v>
      </c>
      <c r="X201" s="821">
        <f>+'Input 기초'!Y81</f>
        <v>0</v>
      </c>
      <c r="Y201" s="821">
        <f>+'Input 기초'!Z81</f>
        <v>0</v>
      </c>
    </row>
    <row r="202" spans="2:25" ht="16.5" customHeight="1" outlineLevel="1">
      <c r="B202" s="735" t="s">
        <v>542</v>
      </c>
      <c r="D202" s="721" t="s">
        <v>533</v>
      </c>
      <c r="E202" s="827" t="s">
        <v>574</v>
      </c>
      <c r="F202" s="827" t="s">
        <v>574</v>
      </c>
      <c r="G202" s="827" t="s">
        <v>574</v>
      </c>
      <c r="H202" s="827" t="s">
        <v>574</v>
      </c>
      <c r="I202" s="827" t="s">
        <v>574</v>
      </c>
      <c r="J202" s="827" t="s">
        <v>574</v>
      </c>
      <c r="K202" s="827" t="s">
        <v>574</v>
      </c>
      <c r="L202" s="827" t="s">
        <v>574</v>
      </c>
      <c r="M202" s="827" t="s">
        <v>574</v>
      </c>
      <c r="N202" s="827" t="s">
        <v>574</v>
      </c>
      <c r="O202" s="827" t="s">
        <v>574</v>
      </c>
      <c r="P202" s="827" t="s">
        <v>574</v>
      </c>
      <c r="Q202" s="827" t="s">
        <v>574</v>
      </c>
      <c r="T202" s="958" t="s">
        <v>574</v>
      </c>
      <c r="U202" s="958" t="s">
        <v>574</v>
      </c>
      <c r="V202" s="958" t="s">
        <v>574</v>
      </c>
      <c r="W202" s="958" t="s">
        <v>574</v>
      </c>
      <c r="X202" s="958" t="s">
        <v>574</v>
      </c>
      <c r="Y202" s="958" t="s">
        <v>574</v>
      </c>
    </row>
    <row r="203" spans="2:25" ht="16.5" customHeight="1" outlineLevel="1">
      <c r="B203" s="735" t="s">
        <v>543</v>
      </c>
      <c r="D203" s="721" t="s">
        <v>301</v>
      </c>
      <c r="E203" s="823">
        <f t="shared" ref="E203:Q203" si="40">E18</f>
        <v>46081</v>
      </c>
      <c r="F203" s="823">
        <f t="shared" si="40"/>
        <v>46081</v>
      </c>
      <c r="G203" s="823">
        <f t="shared" si="40"/>
        <v>46081</v>
      </c>
      <c r="H203" s="823">
        <f t="shared" si="40"/>
        <v>46174</v>
      </c>
      <c r="I203" s="823">
        <f t="shared" si="40"/>
        <v>46204</v>
      </c>
      <c r="J203" s="823">
        <f t="shared" si="40"/>
        <v>46174</v>
      </c>
      <c r="K203" s="823">
        <f t="shared" si="40"/>
        <v>46174</v>
      </c>
      <c r="L203" s="823">
        <f t="shared" si="40"/>
        <v>46204</v>
      </c>
      <c r="M203" s="823">
        <f t="shared" si="40"/>
        <v>46204</v>
      </c>
      <c r="N203" s="823">
        <f t="shared" si="40"/>
        <v>46204</v>
      </c>
      <c r="O203" s="823">
        <f t="shared" si="40"/>
        <v>46235</v>
      </c>
      <c r="P203" s="823">
        <f t="shared" si="40"/>
        <v>46235</v>
      </c>
      <c r="Q203" s="823">
        <f t="shared" si="40"/>
        <v>0</v>
      </c>
      <c r="T203" s="823">
        <f t="shared" ref="T203:Y203" si="41">T18</f>
        <v>46053</v>
      </c>
      <c r="U203" s="823">
        <f t="shared" si="41"/>
        <v>46022</v>
      </c>
      <c r="V203" s="823">
        <f t="shared" si="41"/>
        <v>46022</v>
      </c>
      <c r="W203" s="823">
        <f t="shared" si="41"/>
        <v>46022</v>
      </c>
      <c r="X203" s="823">
        <f t="shared" si="41"/>
        <v>46022</v>
      </c>
      <c r="Y203" s="823">
        <f t="shared" si="41"/>
        <v>46053</v>
      </c>
    </row>
    <row r="204" spans="2:25" ht="16.5" customHeight="1" outlineLevel="1">
      <c r="B204" s="735" t="s">
        <v>536</v>
      </c>
      <c r="D204" s="721" t="s">
        <v>309</v>
      </c>
      <c r="E204" s="824"/>
      <c r="F204" s="824"/>
      <c r="G204" s="824"/>
      <c r="H204" s="824"/>
      <c r="I204" s="824"/>
      <c r="J204" s="824"/>
      <c r="K204" s="824"/>
      <c r="L204" s="824"/>
      <c r="M204" s="824"/>
      <c r="N204" s="824"/>
      <c r="O204" s="824"/>
      <c r="P204" s="824"/>
      <c r="Q204" s="824"/>
      <c r="T204" s="824"/>
      <c r="U204" s="824"/>
      <c r="V204" s="824"/>
      <c r="W204" s="824"/>
      <c r="X204" s="824"/>
      <c r="Y204" s="824"/>
    </row>
    <row r="205" spans="2:25" outlineLevel="1">
      <c r="B205" s="735" t="s">
        <v>568</v>
      </c>
      <c r="C205" s="740" t="s">
        <v>569</v>
      </c>
      <c r="D205" s="716">
        <v>1</v>
      </c>
      <c r="E205" s="825">
        <v>1</v>
      </c>
      <c r="F205" s="825">
        <v>1</v>
      </c>
      <c r="G205" s="825">
        <v>1</v>
      </c>
      <c r="H205" s="825">
        <v>1</v>
      </c>
      <c r="I205" s="825">
        <v>1</v>
      </c>
      <c r="J205" s="825">
        <v>1</v>
      </c>
      <c r="K205" s="825">
        <v>1</v>
      </c>
      <c r="L205" s="825">
        <v>1</v>
      </c>
      <c r="M205" s="825">
        <v>1</v>
      </c>
      <c r="N205" s="825">
        <v>1</v>
      </c>
      <c r="O205" s="825">
        <v>1</v>
      </c>
      <c r="P205" s="825">
        <v>1</v>
      </c>
      <c r="Q205" s="825">
        <v>1</v>
      </c>
      <c r="T205" s="825">
        <v>1</v>
      </c>
      <c r="U205" s="825">
        <v>1</v>
      </c>
      <c r="V205" s="825">
        <v>1</v>
      </c>
      <c r="W205" s="825">
        <v>1</v>
      </c>
      <c r="X205" s="825">
        <v>1</v>
      </c>
      <c r="Y205" s="825">
        <v>1</v>
      </c>
    </row>
    <row r="206" spans="2:25" outlineLevel="1">
      <c r="B206" s="735"/>
      <c r="C206" s="740" t="s">
        <v>309</v>
      </c>
      <c r="D206" s="716">
        <f t="shared" ref="D206:D214" si="42">+D205+1</f>
        <v>2</v>
      </c>
      <c r="E206" s="825">
        <f>+'[6]입력 시트(0124)'!E232</f>
        <v>0</v>
      </c>
      <c r="F206" s="825">
        <f>+'[6]입력 시트(0124)'!F232</f>
        <v>0</v>
      </c>
      <c r="G206" s="825">
        <f>+'[6]입력 시트(0124)'!G232</f>
        <v>0</v>
      </c>
      <c r="H206" s="825">
        <f>+'[6]입력 시트(0124)'!H232</f>
        <v>0</v>
      </c>
      <c r="I206" s="825">
        <f>+'[6]입력 시트(0124)'!I232</f>
        <v>0</v>
      </c>
      <c r="J206" s="825">
        <v>0</v>
      </c>
      <c r="K206" s="825">
        <v>0</v>
      </c>
      <c r="L206" s="825">
        <v>0</v>
      </c>
      <c r="M206" s="825">
        <v>0</v>
      </c>
      <c r="N206" s="825">
        <v>0</v>
      </c>
      <c r="O206" s="825">
        <v>0</v>
      </c>
      <c r="P206" s="825">
        <v>0</v>
      </c>
      <c r="Q206" s="825">
        <v>0</v>
      </c>
      <c r="T206" s="825" t="e">
        <f>+'[6]입력 시트(0124)'!T232</f>
        <v>#REF!</v>
      </c>
      <c r="U206" s="825" t="e">
        <f>+'[6]입력 시트(0124)'!U232</f>
        <v>#REF!</v>
      </c>
      <c r="V206" s="825" t="e">
        <f>+'[6]입력 시트(0124)'!V232</f>
        <v>#REF!</v>
      </c>
      <c r="W206" s="825" t="e">
        <f>+'[6]입력 시트(0124)'!W232</f>
        <v>#REF!</v>
      </c>
      <c r="X206" s="825" t="e">
        <f>+'[6]입력 시트(0124)'!X232</f>
        <v>#REF!</v>
      </c>
      <c r="Y206" s="825">
        <v>0</v>
      </c>
    </row>
    <row r="207" spans="2:25" outlineLevel="1">
      <c r="B207" s="735"/>
      <c r="C207" s="740" t="s">
        <v>309</v>
      </c>
      <c r="D207" s="716">
        <f t="shared" si="42"/>
        <v>3</v>
      </c>
      <c r="E207" s="825">
        <f>+'[6]입력 시트(0124)'!E233</f>
        <v>0</v>
      </c>
      <c r="F207" s="825">
        <f>+'[6]입력 시트(0124)'!F233</f>
        <v>0</v>
      </c>
      <c r="G207" s="825">
        <f>+'[6]입력 시트(0124)'!G233</f>
        <v>0</v>
      </c>
      <c r="H207" s="825">
        <f>+'[6]입력 시트(0124)'!H233</f>
        <v>0</v>
      </c>
      <c r="I207" s="825">
        <f>+'[6]입력 시트(0124)'!I233</f>
        <v>0</v>
      </c>
      <c r="J207" s="825">
        <v>0</v>
      </c>
      <c r="K207" s="825">
        <v>0</v>
      </c>
      <c r="L207" s="825">
        <v>0</v>
      </c>
      <c r="M207" s="825">
        <v>0</v>
      </c>
      <c r="N207" s="825">
        <v>0</v>
      </c>
      <c r="O207" s="825">
        <v>0</v>
      </c>
      <c r="P207" s="825">
        <v>0</v>
      </c>
      <c r="Q207" s="825">
        <v>0</v>
      </c>
      <c r="T207" s="825" t="e">
        <f>+'[6]입력 시트(0124)'!T233</f>
        <v>#REF!</v>
      </c>
      <c r="U207" s="825" t="e">
        <f>+'[6]입력 시트(0124)'!U233</f>
        <v>#REF!</v>
      </c>
      <c r="V207" s="825" t="e">
        <f>+'[6]입력 시트(0124)'!V233</f>
        <v>#REF!</v>
      </c>
      <c r="W207" s="825" t="e">
        <f>+'[6]입력 시트(0124)'!W233</f>
        <v>#REF!</v>
      </c>
      <c r="X207" s="825" t="e">
        <f>+'[6]입력 시트(0124)'!X233</f>
        <v>#REF!</v>
      </c>
      <c r="Y207" s="825">
        <v>0</v>
      </c>
    </row>
    <row r="208" spans="2:25" outlineLevel="1">
      <c r="B208" s="735"/>
      <c r="C208" s="740" t="s">
        <v>309</v>
      </c>
      <c r="D208" s="716">
        <f t="shared" si="42"/>
        <v>4</v>
      </c>
      <c r="E208" s="825">
        <f>+'[6]입력 시트(0124)'!E234</f>
        <v>0</v>
      </c>
      <c r="F208" s="825">
        <f>+'[6]입력 시트(0124)'!F234</f>
        <v>0</v>
      </c>
      <c r="G208" s="825">
        <f>+'[6]입력 시트(0124)'!G234</f>
        <v>0</v>
      </c>
      <c r="H208" s="825">
        <f>+'[6]입력 시트(0124)'!H234</f>
        <v>0</v>
      </c>
      <c r="I208" s="825">
        <f>+'[6]입력 시트(0124)'!I234</f>
        <v>0</v>
      </c>
      <c r="J208" s="825">
        <v>0</v>
      </c>
      <c r="K208" s="825">
        <v>0</v>
      </c>
      <c r="L208" s="825">
        <v>0</v>
      </c>
      <c r="M208" s="825">
        <v>0</v>
      </c>
      <c r="N208" s="825">
        <v>0</v>
      </c>
      <c r="O208" s="825">
        <v>0</v>
      </c>
      <c r="P208" s="825">
        <v>0</v>
      </c>
      <c r="Q208" s="825">
        <v>0</v>
      </c>
      <c r="T208" s="825" t="e">
        <f>+'[6]입력 시트(0124)'!T234</f>
        <v>#REF!</v>
      </c>
      <c r="U208" s="825" t="e">
        <f>+'[6]입력 시트(0124)'!U234</f>
        <v>#REF!</v>
      </c>
      <c r="V208" s="825" t="e">
        <f>+'[6]입력 시트(0124)'!V234</f>
        <v>#REF!</v>
      </c>
      <c r="W208" s="825" t="e">
        <f>+'[6]입력 시트(0124)'!W234</f>
        <v>#REF!</v>
      </c>
      <c r="X208" s="825" t="e">
        <f>+'[6]입력 시트(0124)'!X234</f>
        <v>#REF!</v>
      </c>
      <c r="Y208" s="825">
        <v>0</v>
      </c>
    </row>
    <row r="209" spans="2:25" outlineLevel="1">
      <c r="B209" s="735"/>
      <c r="C209" s="740" t="s">
        <v>309</v>
      </c>
      <c r="D209" s="716">
        <f t="shared" si="42"/>
        <v>5</v>
      </c>
      <c r="E209" s="825">
        <f>+'[6]입력 시트(0124)'!E235</f>
        <v>0</v>
      </c>
      <c r="F209" s="825">
        <f>+'[6]입력 시트(0124)'!F235</f>
        <v>0</v>
      </c>
      <c r="G209" s="825">
        <f>+'[6]입력 시트(0124)'!G235</f>
        <v>0</v>
      </c>
      <c r="H209" s="825">
        <f>+'[6]입력 시트(0124)'!H235</f>
        <v>0</v>
      </c>
      <c r="I209" s="825">
        <f>+'[6]입력 시트(0124)'!I235</f>
        <v>0</v>
      </c>
      <c r="J209" s="825">
        <v>0</v>
      </c>
      <c r="K209" s="825">
        <v>0</v>
      </c>
      <c r="L209" s="825">
        <v>0</v>
      </c>
      <c r="M209" s="825">
        <v>0</v>
      </c>
      <c r="N209" s="825">
        <v>0</v>
      </c>
      <c r="O209" s="825">
        <v>0</v>
      </c>
      <c r="P209" s="825">
        <v>0</v>
      </c>
      <c r="Q209" s="825">
        <v>0</v>
      </c>
      <c r="T209" s="825" t="e">
        <f>+'[6]입력 시트(0124)'!T235</f>
        <v>#REF!</v>
      </c>
      <c r="U209" s="825" t="e">
        <f>+'[6]입력 시트(0124)'!U235</f>
        <v>#REF!</v>
      </c>
      <c r="V209" s="825" t="e">
        <f>+'[6]입력 시트(0124)'!V235</f>
        <v>#REF!</v>
      </c>
      <c r="W209" s="825" t="e">
        <f>+'[6]입력 시트(0124)'!W235</f>
        <v>#REF!</v>
      </c>
      <c r="X209" s="825" t="e">
        <f>+'[6]입력 시트(0124)'!X235</f>
        <v>#REF!</v>
      </c>
      <c r="Y209" s="825">
        <v>0</v>
      </c>
    </row>
    <row r="210" spans="2:25" outlineLevel="1">
      <c r="B210" s="735"/>
      <c r="C210" s="740" t="s">
        <v>309</v>
      </c>
      <c r="D210" s="716">
        <f t="shared" si="42"/>
        <v>6</v>
      </c>
      <c r="E210" s="825">
        <f>+'[6]입력 시트(0124)'!E236</f>
        <v>0</v>
      </c>
      <c r="F210" s="825">
        <f>+'[6]입력 시트(0124)'!F236</f>
        <v>0</v>
      </c>
      <c r="G210" s="825">
        <f>+'[6]입력 시트(0124)'!G236</f>
        <v>0</v>
      </c>
      <c r="H210" s="825">
        <f>+'[6]입력 시트(0124)'!H236</f>
        <v>0</v>
      </c>
      <c r="I210" s="825">
        <f>+'[6]입력 시트(0124)'!I236</f>
        <v>0</v>
      </c>
      <c r="J210" s="825">
        <v>0</v>
      </c>
      <c r="K210" s="825">
        <v>0</v>
      </c>
      <c r="L210" s="825">
        <v>0</v>
      </c>
      <c r="M210" s="825">
        <v>0</v>
      </c>
      <c r="N210" s="825">
        <v>0</v>
      </c>
      <c r="O210" s="825">
        <v>0</v>
      </c>
      <c r="P210" s="825">
        <v>0</v>
      </c>
      <c r="Q210" s="825">
        <v>0</v>
      </c>
      <c r="T210" s="825" t="e">
        <f>+'[6]입력 시트(0124)'!T236</f>
        <v>#REF!</v>
      </c>
      <c r="U210" s="825" t="e">
        <f>+'[6]입력 시트(0124)'!U236</f>
        <v>#REF!</v>
      </c>
      <c r="V210" s="825" t="e">
        <f>+'[6]입력 시트(0124)'!V236</f>
        <v>#REF!</v>
      </c>
      <c r="W210" s="825" t="e">
        <f>+'[6]입력 시트(0124)'!W236</f>
        <v>#REF!</v>
      </c>
      <c r="X210" s="825" t="e">
        <f>+'[6]입력 시트(0124)'!X236</f>
        <v>#REF!</v>
      </c>
      <c r="Y210" s="825">
        <v>0</v>
      </c>
    </row>
    <row r="211" spans="2:25" outlineLevel="1">
      <c r="B211" s="735"/>
      <c r="C211" s="740" t="s">
        <v>309</v>
      </c>
      <c r="D211" s="716">
        <f t="shared" si="42"/>
        <v>7</v>
      </c>
      <c r="E211" s="825">
        <f>+'[6]입력 시트(0124)'!E237</f>
        <v>0</v>
      </c>
      <c r="F211" s="825">
        <f>+'[6]입력 시트(0124)'!F237</f>
        <v>0</v>
      </c>
      <c r="G211" s="825">
        <f>+'[6]입력 시트(0124)'!G237</f>
        <v>0</v>
      </c>
      <c r="H211" s="825">
        <f>+'[6]입력 시트(0124)'!H237</f>
        <v>0</v>
      </c>
      <c r="I211" s="825">
        <f>+'[6]입력 시트(0124)'!I237</f>
        <v>0</v>
      </c>
      <c r="J211" s="825">
        <v>0</v>
      </c>
      <c r="K211" s="825">
        <v>0</v>
      </c>
      <c r="L211" s="825">
        <v>0</v>
      </c>
      <c r="M211" s="825">
        <v>0</v>
      </c>
      <c r="N211" s="825">
        <v>0</v>
      </c>
      <c r="O211" s="825">
        <v>0</v>
      </c>
      <c r="P211" s="825">
        <v>0</v>
      </c>
      <c r="Q211" s="825">
        <v>0</v>
      </c>
      <c r="T211" s="825" t="e">
        <f>+'[6]입력 시트(0124)'!T237</f>
        <v>#REF!</v>
      </c>
      <c r="U211" s="825" t="e">
        <f>+'[6]입력 시트(0124)'!U237</f>
        <v>#REF!</v>
      </c>
      <c r="V211" s="825" t="e">
        <f>+'[6]입력 시트(0124)'!V237</f>
        <v>#REF!</v>
      </c>
      <c r="W211" s="825" t="e">
        <f>+'[6]입력 시트(0124)'!W237</f>
        <v>#REF!</v>
      </c>
      <c r="X211" s="825" t="e">
        <f>+'[6]입력 시트(0124)'!X237</f>
        <v>#REF!</v>
      </c>
      <c r="Y211" s="825">
        <v>0</v>
      </c>
    </row>
    <row r="212" spans="2:25" outlineLevel="1">
      <c r="B212" s="735"/>
      <c r="C212" s="740" t="s">
        <v>309</v>
      </c>
      <c r="D212" s="716">
        <f t="shared" si="42"/>
        <v>8</v>
      </c>
      <c r="E212" s="825">
        <f>+'[6]입력 시트(0124)'!E238</f>
        <v>0</v>
      </c>
      <c r="F212" s="825">
        <f>+'[6]입력 시트(0124)'!F238</f>
        <v>0</v>
      </c>
      <c r="G212" s="825">
        <f>+'[6]입력 시트(0124)'!G238</f>
        <v>0</v>
      </c>
      <c r="H212" s="825">
        <f>+'[6]입력 시트(0124)'!H238</f>
        <v>0</v>
      </c>
      <c r="I212" s="825">
        <f>+'[6]입력 시트(0124)'!I238</f>
        <v>0</v>
      </c>
      <c r="J212" s="825">
        <v>0</v>
      </c>
      <c r="K212" s="825">
        <v>0</v>
      </c>
      <c r="L212" s="825">
        <v>0</v>
      </c>
      <c r="M212" s="825">
        <v>0</v>
      </c>
      <c r="N212" s="825">
        <v>0</v>
      </c>
      <c r="O212" s="825">
        <v>0</v>
      </c>
      <c r="P212" s="825">
        <v>0</v>
      </c>
      <c r="Q212" s="825">
        <v>0</v>
      </c>
      <c r="T212" s="825" t="e">
        <f>+'[6]입력 시트(0124)'!T238</f>
        <v>#REF!</v>
      </c>
      <c r="U212" s="825" t="e">
        <f>+'[6]입력 시트(0124)'!U238</f>
        <v>#REF!</v>
      </c>
      <c r="V212" s="825" t="e">
        <f>+'[6]입력 시트(0124)'!V238</f>
        <v>#REF!</v>
      </c>
      <c r="W212" s="825" t="e">
        <f>+'[6]입력 시트(0124)'!W238</f>
        <v>#REF!</v>
      </c>
      <c r="X212" s="825" t="e">
        <f>+'[6]입력 시트(0124)'!X238</f>
        <v>#REF!</v>
      </c>
      <c r="Y212" s="825">
        <v>0</v>
      </c>
    </row>
    <row r="213" spans="2:25" outlineLevel="1">
      <c r="B213" s="735"/>
      <c r="C213" s="740" t="s">
        <v>309</v>
      </c>
      <c r="D213" s="716">
        <f t="shared" si="42"/>
        <v>9</v>
      </c>
      <c r="E213" s="825">
        <f>+'[6]입력 시트(0124)'!E239</f>
        <v>0</v>
      </c>
      <c r="F213" s="825">
        <f>+'[6]입력 시트(0124)'!F239</f>
        <v>0</v>
      </c>
      <c r="G213" s="825">
        <f>+'[6]입력 시트(0124)'!G239</f>
        <v>0</v>
      </c>
      <c r="H213" s="825">
        <f>+'[6]입력 시트(0124)'!H239</f>
        <v>0</v>
      </c>
      <c r="I213" s="825">
        <f>+'[6]입력 시트(0124)'!I239</f>
        <v>0</v>
      </c>
      <c r="J213" s="825">
        <v>0</v>
      </c>
      <c r="K213" s="825">
        <v>0</v>
      </c>
      <c r="L213" s="825">
        <v>0</v>
      </c>
      <c r="M213" s="825">
        <v>0</v>
      </c>
      <c r="N213" s="825">
        <v>0</v>
      </c>
      <c r="O213" s="825">
        <v>0</v>
      </c>
      <c r="P213" s="825">
        <v>0</v>
      </c>
      <c r="Q213" s="825">
        <v>0</v>
      </c>
      <c r="T213" s="825" t="e">
        <f>+'[6]입력 시트(0124)'!T239</f>
        <v>#REF!</v>
      </c>
      <c r="U213" s="825" t="e">
        <f>+'[6]입력 시트(0124)'!U239</f>
        <v>#REF!</v>
      </c>
      <c r="V213" s="825" t="e">
        <f>+'[6]입력 시트(0124)'!V239</f>
        <v>#REF!</v>
      </c>
      <c r="W213" s="825" t="e">
        <f>+'[6]입력 시트(0124)'!W239</f>
        <v>#REF!</v>
      </c>
      <c r="X213" s="825" t="e">
        <f>+'[6]입력 시트(0124)'!X239</f>
        <v>#REF!</v>
      </c>
      <c r="Y213" s="825">
        <v>0</v>
      </c>
    </row>
    <row r="214" spans="2:25" outlineLevel="1">
      <c r="B214" s="735"/>
      <c r="C214" s="740" t="s">
        <v>309</v>
      </c>
      <c r="D214" s="716">
        <f t="shared" si="42"/>
        <v>10</v>
      </c>
      <c r="E214" s="825">
        <f>+'[6]입력 시트(0124)'!E240</f>
        <v>0</v>
      </c>
      <c r="F214" s="825">
        <f>+'[6]입력 시트(0124)'!F240</f>
        <v>0</v>
      </c>
      <c r="G214" s="825">
        <f>+'[6]입력 시트(0124)'!G240</f>
        <v>0</v>
      </c>
      <c r="H214" s="825">
        <f>+'[6]입력 시트(0124)'!H240</f>
        <v>0</v>
      </c>
      <c r="I214" s="825">
        <f>+'[6]입력 시트(0124)'!I240</f>
        <v>0</v>
      </c>
      <c r="J214" s="825">
        <v>0</v>
      </c>
      <c r="K214" s="825">
        <v>0</v>
      </c>
      <c r="L214" s="825">
        <v>0</v>
      </c>
      <c r="M214" s="825">
        <v>0</v>
      </c>
      <c r="N214" s="825">
        <v>0</v>
      </c>
      <c r="O214" s="825">
        <v>0</v>
      </c>
      <c r="P214" s="825">
        <v>0</v>
      </c>
      <c r="Q214" s="825">
        <v>0</v>
      </c>
      <c r="T214" s="825" t="e">
        <f>+'[6]입력 시트(0124)'!T240</f>
        <v>#REF!</v>
      </c>
      <c r="U214" s="825" t="e">
        <f>+'[6]입력 시트(0124)'!U240</f>
        <v>#REF!</v>
      </c>
      <c r="V214" s="825" t="e">
        <f>+'[6]입력 시트(0124)'!V240</f>
        <v>#REF!</v>
      </c>
      <c r="W214" s="825" t="e">
        <f>+'[6]입력 시트(0124)'!W240</f>
        <v>#REF!</v>
      </c>
      <c r="X214" s="825" t="e">
        <f>+'[6]입력 시트(0124)'!X240</f>
        <v>#REF!</v>
      </c>
      <c r="Y214" s="825">
        <v>0</v>
      </c>
    </row>
    <row r="215" spans="2:25" outlineLevel="1">
      <c r="B215" s="735" t="s">
        <v>540</v>
      </c>
      <c r="C215" s="1355"/>
      <c r="D215" s="1356"/>
      <c r="E215" s="826"/>
      <c r="F215" s="826"/>
      <c r="G215" s="826"/>
      <c r="H215" s="826"/>
      <c r="I215" s="826"/>
      <c r="J215" s="826"/>
      <c r="K215" s="826"/>
      <c r="L215" s="826"/>
      <c r="M215" s="826"/>
      <c r="N215" s="826"/>
      <c r="O215" s="826"/>
      <c r="P215" s="826"/>
      <c r="Q215" s="826"/>
      <c r="T215" s="826"/>
      <c r="U215" s="826"/>
      <c r="V215" s="826"/>
      <c r="W215" s="826"/>
      <c r="X215" s="826"/>
      <c r="Y215" s="826"/>
    </row>
    <row r="216" spans="2:25" outlineLevel="1">
      <c r="E216" s="763" t="e">
        <f>+SUM(#REF!)=E219</f>
        <v>#REF!</v>
      </c>
      <c r="F216" s="763" t="e">
        <f>+SUM(#REF!)=F219</f>
        <v>#REF!</v>
      </c>
      <c r="G216" s="763" t="e">
        <f>+SUM(#REF!)=G219</f>
        <v>#REF!</v>
      </c>
      <c r="H216" s="763" t="e">
        <f>+SUM(#REF!)=H219</f>
        <v>#REF!</v>
      </c>
      <c r="I216" s="763" t="e">
        <f>+SUM(#REF!)=I219</f>
        <v>#REF!</v>
      </c>
      <c r="J216" s="763" t="e">
        <f>+SUM(#REF!)=J219</f>
        <v>#REF!</v>
      </c>
      <c r="K216" s="763" t="e">
        <f>+SUM(#REF!)=K219</f>
        <v>#REF!</v>
      </c>
      <c r="L216" s="763" t="e">
        <f>+SUM(#REF!)=L219</f>
        <v>#REF!</v>
      </c>
      <c r="M216" s="763" t="e">
        <f>+SUM(#REF!)=M219</f>
        <v>#REF!</v>
      </c>
      <c r="N216" s="763" t="e">
        <f>+SUM(#REF!)=N219</f>
        <v>#REF!</v>
      </c>
      <c r="O216" s="763" t="e">
        <f>+SUM(#REF!)=O219</f>
        <v>#REF!</v>
      </c>
      <c r="P216" s="763" t="e">
        <f>+SUM(#REF!)=P219</f>
        <v>#REF!</v>
      </c>
      <c r="Q216" s="763" t="e">
        <f>+SUM(#REF!)=Q219</f>
        <v>#REF!</v>
      </c>
      <c r="T216" s="959" t="e">
        <f>+SUM(#REF!)=T219</f>
        <v>#REF!</v>
      </c>
      <c r="U216" s="959" t="e">
        <f>+SUM(#REF!)=U219</f>
        <v>#REF!</v>
      </c>
      <c r="V216" s="959" t="e">
        <f>+SUM(#REF!)=V219</f>
        <v>#REF!</v>
      </c>
      <c r="W216" s="959" t="e">
        <f>+SUM(#REF!)=W219</f>
        <v>#REF!</v>
      </c>
      <c r="X216" s="959" t="e">
        <f>+SUM(#REF!)=X219</f>
        <v>#REF!</v>
      </c>
      <c r="Y216" s="959" t="e">
        <f>+SUM(#REF!)=Y219</f>
        <v>#REF!</v>
      </c>
    </row>
    <row r="217" spans="2:25" outlineLevel="1">
      <c r="B217" s="803" t="s">
        <v>575</v>
      </c>
      <c r="D217" s="749"/>
      <c r="E217" s="755" t="b">
        <f t="shared" ref="E217:Q217" si="43">620000000*E24=E219</f>
        <v>0</v>
      </c>
      <c r="F217" s="755" t="b">
        <f t="shared" si="43"/>
        <v>0</v>
      </c>
      <c r="G217" s="755" t="b">
        <f t="shared" si="43"/>
        <v>0</v>
      </c>
      <c r="H217" s="755" t="b">
        <f t="shared" si="43"/>
        <v>0</v>
      </c>
      <c r="I217" s="755" t="b">
        <f t="shared" si="43"/>
        <v>0</v>
      </c>
      <c r="J217" s="755" t="b">
        <f t="shared" si="43"/>
        <v>0</v>
      </c>
      <c r="K217" s="755" t="b">
        <f t="shared" si="43"/>
        <v>0</v>
      </c>
      <c r="L217" s="755" t="b">
        <f t="shared" si="43"/>
        <v>0</v>
      </c>
      <c r="M217" s="755" t="b">
        <f t="shared" si="43"/>
        <v>0</v>
      </c>
      <c r="N217" s="755" t="b">
        <f t="shared" si="43"/>
        <v>0</v>
      </c>
      <c r="O217" s="755" t="b">
        <f t="shared" si="43"/>
        <v>0</v>
      </c>
      <c r="P217" s="755" t="b">
        <f t="shared" si="43"/>
        <v>0</v>
      </c>
      <c r="Q217" s="755" t="b">
        <f t="shared" si="43"/>
        <v>1</v>
      </c>
      <c r="T217" s="956" t="b">
        <f t="shared" ref="T217:Y217" si="44">620000000*T24=T219</f>
        <v>0</v>
      </c>
      <c r="U217" s="956" t="b">
        <f t="shared" si="44"/>
        <v>0</v>
      </c>
      <c r="V217" s="956" t="b">
        <f t="shared" si="44"/>
        <v>0</v>
      </c>
      <c r="W217" s="956" t="b">
        <f t="shared" si="44"/>
        <v>0</v>
      </c>
      <c r="X217" s="956" t="b">
        <f t="shared" si="44"/>
        <v>0</v>
      </c>
      <c r="Y217" s="956" t="b">
        <f t="shared" si="44"/>
        <v>0</v>
      </c>
    </row>
    <row r="218" spans="2:25" ht="16.5" customHeight="1" outlineLevel="1">
      <c r="B218" s="735" t="s">
        <v>487</v>
      </c>
      <c r="C218" s="760"/>
      <c r="D218" s="759"/>
      <c r="E218" s="801"/>
      <c r="F218" s="801"/>
      <c r="G218" s="801"/>
      <c r="H218" s="801"/>
      <c r="I218" s="801"/>
      <c r="J218" s="801"/>
      <c r="K218" s="801"/>
      <c r="L218" s="801"/>
      <c r="M218" s="801"/>
      <c r="N218" s="801"/>
      <c r="O218" s="801"/>
      <c r="P218" s="801"/>
      <c r="Q218" s="801"/>
      <c r="T218" s="801"/>
      <c r="U218" s="801"/>
      <c r="V218" s="801"/>
      <c r="W218" s="801"/>
      <c r="X218" s="801"/>
      <c r="Y218" s="801"/>
    </row>
    <row r="219" spans="2:25" outlineLevel="1">
      <c r="B219" s="735" t="s">
        <v>528</v>
      </c>
      <c r="D219" s="813" t="s">
        <v>571</v>
      </c>
      <c r="E219" s="814">
        <f>+'Input 기초'!F35</f>
        <v>112890000</v>
      </c>
      <c r="F219" s="814">
        <f>+'Input 기초'!G35</f>
        <v>272732500</v>
      </c>
      <c r="G219" s="814">
        <f>+'Input 기초'!H35</f>
        <v>105409999.99999999</v>
      </c>
      <c r="H219" s="821">
        <f>+'Input 기초'!F109</f>
        <v>157500000</v>
      </c>
      <c r="I219" s="821">
        <f>+'Input 기초'!G109</f>
        <v>495500000</v>
      </c>
      <c r="J219" s="821">
        <f>+'Input 기초'!H109</f>
        <v>500000000</v>
      </c>
      <c r="K219" s="821">
        <f>+'Input 기초'!I109</f>
        <v>78000000</v>
      </c>
      <c r="L219" s="821">
        <f>+'Input 기초'!J109</f>
        <v>86500000</v>
      </c>
      <c r="M219" s="821">
        <f>+'Input 기초'!K109</f>
        <v>113500000</v>
      </c>
      <c r="N219" s="821">
        <f>+'Input 기초'!L109</f>
        <v>116500000</v>
      </c>
      <c r="O219" s="821">
        <f>+'Input 기초'!M109</f>
        <v>118500000</v>
      </c>
      <c r="P219" s="821">
        <f>+'Input 기초'!N109</f>
        <v>82500000</v>
      </c>
      <c r="Q219" s="821"/>
      <c r="T219" s="821">
        <f>+'Input 기초'!U84</f>
        <v>0</v>
      </c>
      <c r="U219" s="821">
        <f>+'Input 기초'!V84</f>
        <v>0</v>
      </c>
      <c r="V219" s="821">
        <f>+'Input 기초'!W84</f>
        <v>0</v>
      </c>
      <c r="W219" s="821">
        <f>+'Input 기초'!X84</f>
        <v>0</v>
      </c>
      <c r="X219" s="821">
        <f>+'Input 기초'!Y84</f>
        <v>0</v>
      </c>
      <c r="Y219" s="821">
        <f>+'Input 기초'!Z84</f>
        <v>0</v>
      </c>
    </row>
    <row r="220" spans="2:25" ht="16.5" customHeight="1" outlineLevel="1">
      <c r="B220" s="735" t="s">
        <v>542</v>
      </c>
      <c r="C220" s="764"/>
      <c r="D220" s="721" t="s">
        <v>533</v>
      </c>
      <c r="E220" s="822">
        <v>0</v>
      </c>
      <c r="F220" s="822">
        <v>0</v>
      </c>
      <c r="G220" s="822">
        <v>0</v>
      </c>
      <c r="H220" s="822">
        <v>0</v>
      </c>
      <c r="I220" s="822">
        <v>0</v>
      </c>
      <c r="J220" s="822">
        <v>0</v>
      </c>
      <c r="K220" s="822">
        <v>0</v>
      </c>
      <c r="L220" s="822">
        <v>0</v>
      </c>
      <c r="M220" s="822">
        <v>0</v>
      </c>
      <c r="N220" s="822">
        <v>0</v>
      </c>
      <c r="O220" s="822">
        <v>0</v>
      </c>
      <c r="P220" s="822">
        <v>0</v>
      </c>
      <c r="Q220" s="822">
        <v>0</v>
      </c>
      <c r="T220" s="822">
        <v>0</v>
      </c>
      <c r="U220" s="822">
        <v>0</v>
      </c>
      <c r="V220" s="822">
        <v>0</v>
      </c>
      <c r="W220" s="822">
        <v>0</v>
      </c>
      <c r="X220" s="822">
        <v>0</v>
      </c>
      <c r="Y220" s="822">
        <v>0</v>
      </c>
    </row>
    <row r="221" spans="2:25" ht="16.5" customHeight="1" outlineLevel="1">
      <c r="B221" s="735" t="s">
        <v>534</v>
      </c>
      <c r="D221" s="721" t="s">
        <v>301</v>
      </c>
      <c r="E221" s="823"/>
      <c r="F221" s="823"/>
      <c r="G221" s="823"/>
      <c r="H221" s="823" t="s">
        <v>1094</v>
      </c>
      <c r="I221" s="823" t="s">
        <v>1094</v>
      </c>
      <c r="J221" s="823" t="s">
        <v>1094</v>
      </c>
      <c r="K221" s="823" t="s">
        <v>1094</v>
      </c>
      <c r="L221" s="823" t="s">
        <v>1094</v>
      </c>
      <c r="M221" s="823" t="s">
        <v>1094</v>
      </c>
      <c r="N221" s="823" t="s">
        <v>1094</v>
      </c>
      <c r="O221" s="823" t="s">
        <v>1094</v>
      </c>
      <c r="P221" s="823" t="s">
        <v>1094</v>
      </c>
      <c r="Q221" s="823"/>
      <c r="T221" s="823"/>
      <c r="U221" s="823"/>
      <c r="V221" s="823"/>
      <c r="W221" s="823"/>
      <c r="X221" s="823"/>
      <c r="Y221" s="823"/>
    </row>
    <row r="222" spans="2:25" ht="16.5" customHeight="1" outlineLevel="1">
      <c r="B222" s="735" t="s">
        <v>536</v>
      </c>
      <c r="D222" s="721" t="s">
        <v>309</v>
      </c>
      <c r="E222" s="824"/>
      <c r="F222" s="824"/>
      <c r="G222" s="824"/>
      <c r="H222" s="824"/>
      <c r="I222" s="824"/>
      <c r="J222" s="824"/>
      <c r="K222" s="824"/>
      <c r="L222" s="824"/>
      <c r="M222" s="824"/>
      <c r="N222" s="824"/>
      <c r="O222" s="824"/>
      <c r="P222" s="824"/>
      <c r="Q222" s="824"/>
      <c r="T222" s="824"/>
      <c r="U222" s="824"/>
      <c r="V222" s="824"/>
      <c r="W222" s="824"/>
      <c r="X222" s="824"/>
      <c r="Y222" s="824"/>
    </row>
    <row r="223" spans="2:25" outlineLevel="1">
      <c r="B223" s="735" t="s">
        <v>568</v>
      </c>
      <c r="C223" s="740" t="s">
        <v>569</v>
      </c>
      <c r="D223" s="716">
        <v>1</v>
      </c>
      <c r="E223" s="825">
        <v>0.2</v>
      </c>
      <c r="F223" s="825">
        <v>0.2</v>
      </c>
      <c r="G223" s="825">
        <v>0.2</v>
      </c>
      <c r="H223" s="825">
        <v>0.3</v>
      </c>
      <c r="I223" s="825">
        <v>0.3</v>
      </c>
      <c r="J223" s="825">
        <v>0.3</v>
      </c>
      <c r="K223" s="825">
        <v>0.3</v>
      </c>
      <c r="L223" s="825">
        <v>0.3</v>
      </c>
      <c r="M223" s="825">
        <v>0.3</v>
      </c>
      <c r="N223" s="825">
        <v>0.3</v>
      </c>
      <c r="O223" s="825">
        <v>0.3</v>
      </c>
      <c r="P223" s="825">
        <v>0.3</v>
      </c>
      <c r="Q223" s="825">
        <v>0.3</v>
      </c>
      <c r="T223" s="825">
        <v>0.3</v>
      </c>
      <c r="U223" s="825">
        <v>0.3</v>
      </c>
      <c r="V223" s="825">
        <v>0.3</v>
      </c>
      <c r="W223" s="825">
        <v>0.3</v>
      </c>
      <c r="X223" s="825">
        <v>0.3</v>
      </c>
      <c r="Y223" s="825">
        <v>0.3</v>
      </c>
    </row>
    <row r="224" spans="2:25" outlineLevel="1">
      <c r="B224" s="735"/>
      <c r="C224" s="740" t="s">
        <v>309</v>
      </c>
      <c r="D224" s="716">
        <f>+D223+1</f>
        <v>2</v>
      </c>
      <c r="E224" s="825">
        <f>+'[6]입력 시트(0124)'!E264</f>
        <v>0</v>
      </c>
      <c r="F224" s="825">
        <f>+'[6]입력 시트(0124)'!F264</f>
        <v>0</v>
      </c>
      <c r="G224" s="825">
        <f>+'[6]입력 시트(0124)'!G264</f>
        <v>0</v>
      </c>
      <c r="H224" s="825">
        <v>0</v>
      </c>
      <c r="I224" s="825">
        <v>0</v>
      </c>
      <c r="J224" s="825">
        <v>0</v>
      </c>
      <c r="K224" s="825">
        <v>0</v>
      </c>
      <c r="L224" s="825">
        <v>0</v>
      </c>
      <c r="M224" s="825">
        <v>0</v>
      </c>
      <c r="N224" s="825">
        <v>0</v>
      </c>
      <c r="O224" s="825">
        <v>0</v>
      </c>
      <c r="P224" s="825">
        <v>0</v>
      </c>
      <c r="Q224" s="825">
        <v>0</v>
      </c>
      <c r="T224" s="825" t="e">
        <f>+'[6]입력 시트(0124)'!T264</f>
        <v>#REF!</v>
      </c>
      <c r="U224" s="825" t="e">
        <f>+'[6]입력 시트(0124)'!U264</f>
        <v>#REF!</v>
      </c>
      <c r="V224" s="825" t="e">
        <f>+'[6]입력 시트(0124)'!V264</f>
        <v>#REF!</v>
      </c>
      <c r="W224" s="825" t="e">
        <f>+'[6]입력 시트(0124)'!W264</f>
        <v>#REF!</v>
      </c>
      <c r="X224" s="825" t="e">
        <f>+'[6]입력 시트(0124)'!X264</f>
        <v>#REF!</v>
      </c>
      <c r="Y224" s="825">
        <v>0</v>
      </c>
    </row>
    <row r="225" spans="2:25" outlineLevel="1">
      <c r="B225" s="735"/>
      <c r="C225" s="740" t="s">
        <v>309</v>
      </c>
      <c r="D225" s="716">
        <f t="shared" ref="D225:D232" si="45">+D224+1</f>
        <v>3</v>
      </c>
      <c r="E225" s="825">
        <v>0.2</v>
      </c>
      <c r="F225" s="825">
        <v>0.2</v>
      </c>
      <c r="G225" s="825">
        <v>0.2</v>
      </c>
      <c r="H225" s="825">
        <v>0.1</v>
      </c>
      <c r="I225" s="825">
        <v>0.1</v>
      </c>
      <c r="J225" s="825">
        <v>0.1</v>
      </c>
      <c r="K225" s="825">
        <v>0.1</v>
      </c>
      <c r="L225" s="825">
        <v>0.1</v>
      </c>
      <c r="M225" s="825">
        <v>0.1</v>
      </c>
      <c r="N225" s="825">
        <v>0.1</v>
      </c>
      <c r="O225" s="825">
        <v>0.1</v>
      </c>
      <c r="P225" s="825">
        <v>0.1</v>
      </c>
      <c r="Q225" s="825">
        <v>0.1</v>
      </c>
      <c r="T225" s="825">
        <v>0.1</v>
      </c>
      <c r="U225" s="825">
        <v>0.1</v>
      </c>
      <c r="V225" s="825">
        <v>0.1</v>
      </c>
      <c r="W225" s="825">
        <v>0.1</v>
      </c>
      <c r="X225" s="825">
        <v>0.1</v>
      </c>
      <c r="Y225" s="825">
        <v>0.1</v>
      </c>
    </row>
    <row r="226" spans="2:25" outlineLevel="1">
      <c r="B226" s="735"/>
      <c r="C226" s="740" t="s">
        <v>309</v>
      </c>
      <c r="D226" s="716">
        <f t="shared" si="45"/>
        <v>4</v>
      </c>
      <c r="E226" s="825">
        <v>0.5</v>
      </c>
      <c r="F226" s="825">
        <v>0.5</v>
      </c>
      <c r="G226" s="825">
        <v>0.5</v>
      </c>
      <c r="H226" s="825">
        <v>0.5</v>
      </c>
      <c r="I226" s="825">
        <v>0.5</v>
      </c>
      <c r="J226" s="825">
        <v>0.5</v>
      </c>
      <c r="K226" s="825">
        <v>0.5</v>
      </c>
      <c r="L226" s="825">
        <v>0.5</v>
      </c>
      <c r="M226" s="825">
        <v>0.5</v>
      </c>
      <c r="N226" s="825">
        <v>0.5</v>
      </c>
      <c r="O226" s="825">
        <v>0.5</v>
      </c>
      <c r="P226" s="825">
        <v>0.5</v>
      </c>
      <c r="Q226" s="825">
        <v>0.5</v>
      </c>
      <c r="T226" s="825">
        <v>0.5</v>
      </c>
      <c r="U226" s="825">
        <v>0.5</v>
      </c>
      <c r="V226" s="825">
        <v>0.5</v>
      </c>
      <c r="W226" s="825">
        <v>0.5</v>
      </c>
      <c r="X226" s="825">
        <v>0.5</v>
      </c>
      <c r="Y226" s="825">
        <v>0.5</v>
      </c>
    </row>
    <row r="227" spans="2:25" outlineLevel="1">
      <c r="B227" s="735"/>
      <c r="C227" s="740" t="s">
        <v>309</v>
      </c>
      <c r="D227" s="716">
        <f t="shared" si="45"/>
        <v>5</v>
      </c>
      <c r="E227" s="825">
        <f>+'[6]입력 시트(0124)'!E267</f>
        <v>0</v>
      </c>
      <c r="F227" s="825">
        <f>+'[6]입력 시트(0124)'!F267</f>
        <v>0</v>
      </c>
      <c r="G227" s="825">
        <f>+'[6]입력 시트(0124)'!G267</f>
        <v>0</v>
      </c>
      <c r="H227" s="825">
        <v>0</v>
      </c>
      <c r="I227" s="825">
        <v>0</v>
      </c>
      <c r="J227" s="825">
        <v>0</v>
      </c>
      <c r="K227" s="825">
        <v>0</v>
      </c>
      <c r="L227" s="825">
        <v>0</v>
      </c>
      <c r="M227" s="825">
        <v>0</v>
      </c>
      <c r="N227" s="825">
        <v>0</v>
      </c>
      <c r="O227" s="825">
        <v>0</v>
      </c>
      <c r="P227" s="825">
        <v>0</v>
      </c>
      <c r="Q227" s="825">
        <v>0</v>
      </c>
      <c r="T227" s="825" t="e">
        <f>+'[6]입력 시트(0124)'!T267</f>
        <v>#REF!</v>
      </c>
      <c r="U227" s="825" t="e">
        <f>+'[6]입력 시트(0124)'!U267</f>
        <v>#REF!</v>
      </c>
      <c r="V227" s="825" t="e">
        <f>+'[6]입력 시트(0124)'!V267</f>
        <v>#REF!</v>
      </c>
      <c r="W227" s="825" t="e">
        <f>+'[6]입력 시트(0124)'!W267</f>
        <v>#REF!</v>
      </c>
      <c r="X227" s="825" t="e">
        <f>+'[6]입력 시트(0124)'!X267</f>
        <v>#REF!</v>
      </c>
      <c r="Y227" s="825">
        <v>0</v>
      </c>
    </row>
    <row r="228" spans="2:25" outlineLevel="1">
      <c r="B228" s="735"/>
      <c r="C228" s="740" t="s">
        <v>309</v>
      </c>
      <c r="D228" s="716">
        <f t="shared" si="45"/>
        <v>6</v>
      </c>
      <c r="E228" s="825">
        <v>0</v>
      </c>
      <c r="F228" s="825">
        <v>0</v>
      </c>
      <c r="G228" s="825">
        <v>0</v>
      </c>
      <c r="H228" s="825">
        <v>0</v>
      </c>
      <c r="I228" s="825">
        <v>0</v>
      </c>
      <c r="J228" s="825">
        <v>0</v>
      </c>
      <c r="K228" s="825">
        <v>0</v>
      </c>
      <c r="L228" s="825">
        <v>0</v>
      </c>
      <c r="M228" s="825">
        <v>0</v>
      </c>
      <c r="N228" s="825">
        <v>0</v>
      </c>
      <c r="O228" s="825">
        <v>0</v>
      </c>
      <c r="P228" s="825">
        <v>0</v>
      </c>
      <c r="Q228" s="825">
        <v>0</v>
      </c>
      <c r="T228" s="825">
        <v>0</v>
      </c>
      <c r="U228" s="825">
        <v>0</v>
      </c>
      <c r="V228" s="825">
        <v>0</v>
      </c>
      <c r="W228" s="825">
        <v>0</v>
      </c>
      <c r="X228" s="825">
        <v>0</v>
      </c>
      <c r="Y228" s="825">
        <v>0</v>
      </c>
    </row>
    <row r="229" spans="2:25" outlineLevel="1">
      <c r="B229" s="735"/>
      <c r="C229" s="740" t="s">
        <v>309</v>
      </c>
      <c r="D229" s="716">
        <f t="shared" si="45"/>
        <v>7</v>
      </c>
      <c r="E229" s="825">
        <f>+'[6]입력 시트(0124)'!E269</f>
        <v>0</v>
      </c>
      <c r="F229" s="825">
        <f>+'[6]입력 시트(0124)'!F269</f>
        <v>0</v>
      </c>
      <c r="G229" s="825">
        <f>+'[6]입력 시트(0124)'!G269</f>
        <v>0</v>
      </c>
      <c r="H229" s="825">
        <v>0.1</v>
      </c>
      <c r="I229" s="825">
        <v>0.1</v>
      </c>
      <c r="J229" s="825">
        <v>0.1</v>
      </c>
      <c r="K229" s="825">
        <v>0.1</v>
      </c>
      <c r="L229" s="825">
        <v>0.1</v>
      </c>
      <c r="M229" s="825">
        <v>0.1</v>
      </c>
      <c r="N229" s="825">
        <v>0.1</v>
      </c>
      <c r="O229" s="825">
        <v>0.1</v>
      </c>
      <c r="P229" s="825">
        <v>0.1</v>
      </c>
      <c r="Q229" s="825">
        <v>0</v>
      </c>
      <c r="T229" s="825" t="e">
        <f>+'[6]입력 시트(0124)'!T269</f>
        <v>#REF!</v>
      </c>
      <c r="U229" s="825" t="e">
        <f>+'[6]입력 시트(0124)'!U269</f>
        <v>#REF!</v>
      </c>
      <c r="V229" s="825" t="e">
        <f>+'[6]입력 시트(0124)'!V269</f>
        <v>#REF!</v>
      </c>
      <c r="W229" s="825" t="e">
        <f>+'[6]입력 시트(0124)'!W269</f>
        <v>#REF!</v>
      </c>
      <c r="X229" s="825" t="e">
        <f>+'[6]입력 시트(0124)'!X269</f>
        <v>#REF!</v>
      </c>
      <c r="Y229" s="825">
        <v>0</v>
      </c>
    </row>
    <row r="230" spans="2:25" outlineLevel="1">
      <c r="B230" s="735"/>
      <c r="C230" s="740" t="s">
        <v>309</v>
      </c>
      <c r="D230" s="716">
        <f t="shared" si="45"/>
        <v>8</v>
      </c>
      <c r="E230" s="825">
        <f>+'[6]입력 시트(0124)'!E270</f>
        <v>0</v>
      </c>
      <c r="F230" s="825">
        <f>+'[6]입력 시트(0124)'!F270</f>
        <v>0</v>
      </c>
      <c r="G230" s="825">
        <f>+'[6]입력 시트(0124)'!G270</f>
        <v>0</v>
      </c>
      <c r="H230" s="825">
        <v>0</v>
      </c>
      <c r="I230" s="825">
        <v>0</v>
      </c>
      <c r="J230" s="825">
        <v>0</v>
      </c>
      <c r="K230" s="825">
        <v>0</v>
      </c>
      <c r="L230" s="825">
        <v>0</v>
      </c>
      <c r="M230" s="825">
        <v>0</v>
      </c>
      <c r="N230" s="825">
        <v>0</v>
      </c>
      <c r="O230" s="825">
        <v>0</v>
      </c>
      <c r="P230" s="825">
        <v>0</v>
      </c>
      <c r="Q230" s="825">
        <v>0</v>
      </c>
      <c r="T230" s="825" t="e">
        <f>+'[6]입력 시트(0124)'!T270</f>
        <v>#REF!</v>
      </c>
      <c r="U230" s="825" t="e">
        <f>+'[6]입력 시트(0124)'!U270</f>
        <v>#REF!</v>
      </c>
      <c r="V230" s="825" t="e">
        <f>+'[6]입력 시트(0124)'!V270</f>
        <v>#REF!</v>
      </c>
      <c r="W230" s="825" t="e">
        <f>+'[6]입력 시트(0124)'!W270</f>
        <v>#REF!</v>
      </c>
      <c r="X230" s="825" t="e">
        <f>+'[6]입력 시트(0124)'!X270</f>
        <v>#REF!</v>
      </c>
      <c r="Y230" s="825">
        <v>0</v>
      </c>
    </row>
    <row r="231" spans="2:25" outlineLevel="1">
      <c r="B231" s="735"/>
      <c r="C231" s="740" t="s">
        <v>309</v>
      </c>
      <c r="D231" s="716">
        <f t="shared" si="45"/>
        <v>9</v>
      </c>
      <c r="E231" s="825">
        <v>0.1</v>
      </c>
      <c r="F231" s="825">
        <v>0.1</v>
      </c>
      <c r="G231" s="825">
        <v>0.1</v>
      </c>
      <c r="H231" s="825">
        <v>0</v>
      </c>
      <c r="I231" s="825">
        <v>0</v>
      </c>
      <c r="J231" s="825">
        <v>0</v>
      </c>
      <c r="K231" s="825">
        <v>0</v>
      </c>
      <c r="L231" s="825">
        <v>0</v>
      </c>
      <c r="M231" s="825">
        <v>0</v>
      </c>
      <c r="N231" s="825">
        <v>0</v>
      </c>
      <c r="O231" s="825">
        <v>0</v>
      </c>
      <c r="P231" s="825">
        <v>0</v>
      </c>
      <c r="Q231" s="825">
        <v>0.1</v>
      </c>
      <c r="T231" s="825">
        <v>0.1</v>
      </c>
      <c r="U231" s="825">
        <v>0.1</v>
      </c>
      <c r="V231" s="825">
        <v>0.1</v>
      </c>
      <c r="W231" s="825">
        <v>0.1</v>
      </c>
      <c r="X231" s="825">
        <v>0.1</v>
      </c>
      <c r="Y231" s="825">
        <v>0.1</v>
      </c>
    </row>
    <row r="232" spans="2:25" outlineLevel="1">
      <c r="B232" s="735"/>
      <c r="C232" s="740" t="s">
        <v>309</v>
      </c>
      <c r="D232" s="716">
        <f t="shared" si="45"/>
        <v>10</v>
      </c>
      <c r="E232" s="825">
        <f>+'[6]입력 시트(0124)'!E272</f>
        <v>0</v>
      </c>
      <c r="F232" s="825">
        <f>+'[6]입력 시트(0124)'!F272</f>
        <v>0</v>
      </c>
      <c r="G232" s="825">
        <f>+'[6]입력 시트(0124)'!G272</f>
        <v>0</v>
      </c>
      <c r="H232" s="825">
        <v>0</v>
      </c>
      <c r="I232" s="825">
        <v>0</v>
      </c>
      <c r="J232" s="825">
        <v>0</v>
      </c>
      <c r="K232" s="825">
        <v>0</v>
      </c>
      <c r="L232" s="825">
        <v>0</v>
      </c>
      <c r="M232" s="825">
        <v>0</v>
      </c>
      <c r="N232" s="825">
        <v>0</v>
      </c>
      <c r="O232" s="825">
        <v>0</v>
      </c>
      <c r="P232" s="825">
        <v>0</v>
      </c>
      <c r="Q232" s="825">
        <v>0</v>
      </c>
      <c r="T232" s="825" t="e">
        <f>+'[6]입력 시트(0124)'!T272</f>
        <v>#REF!</v>
      </c>
      <c r="U232" s="825" t="e">
        <f>+'[6]입력 시트(0124)'!U272</f>
        <v>#REF!</v>
      </c>
      <c r="V232" s="825" t="e">
        <f>+'[6]입력 시트(0124)'!V272</f>
        <v>#REF!</v>
      </c>
      <c r="W232" s="825" t="e">
        <f>+'[6]입력 시트(0124)'!W272</f>
        <v>#REF!</v>
      </c>
      <c r="X232" s="825" t="e">
        <f>+'[6]입력 시트(0124)'!X272</f>
        <v>#REF!</v>
      </c>
      <c r="Y232" s="825">
        <v>0</v>
      </c>
    </row>
    <row r="233" spans="2:25" ht="54" customHeight="1" outlineLevel="1">
      <c r="B233" s="735" t="s">
        <v>540</v>
      </c>
      <c r="C233" s="1369"/>
      <c r="D233" s="1370"/>
      <c r="E233" s="826"/>
      <c r="F233" s="826"/>
      <c r="G233" s="826"/>
      <c r="H233" s="826"/>
      <c r="I233" s="826"/>
      <c r="J233" s="826"/>
      <c r="K233" s="826"/>
      <c r="L233" s="826"/>
      <c r="M233" s="826"/>
      <c r="N233" s="826"/>
      <c r="O233" s="826"/>
      <c r="P233" s="826"/>
      <c r="Q233" s="826"/>
      <c r="T233" s="826"/>
      <c r="U233" s="826"/>
      <c r="V233" s="826"/>
      <c r="W233" s="826"/>
      <c r="X233" s="826"/>
      <c r="Y233" s="826"/>
    </row>
    <row r="234" spans="2:25" hidden="1" outlineLevel="1">
      <c r="B234" s="803" t="s">
        <v>577</v>
      </c>
      <c r="D234" s="749"/>
      <c r="E234" s="750"/>
      <c r="F234" s="750"/>
      <c r="G234" s="750"/>
      <c r="H234" s="750"/>
      <c r="I234" s="750"/>
      <c r="J234" s="750"/>
      <c r="K234" s="750"/>
      <c r="L234" s="750"/>
      <c r="M234" s="750"/>
      <c r="N234" s="750"/>
      <c r="O234" s="750"/>
      <c r="P234" s="750"/>
      <c r="Q234" s="750"/>
      <c r="T234" s="953"/>
      <c r="U234" s="953"/>
      <c r="V234" s="953"/>
      <c r="W234" s="953"/>
      <c r="X234" s="953"/>
      <c r="Y234" s="953"/>
    </row>
    <row r="235" spans="2:25" ht="16.5" hidden="1" customHeight="1" outlineLevel="1">
      <c r="B235" s="735" t="s">
        <v>487</v>
      </c>
      <c r="C235" s="760"/>
      <c r="D235" s="759"/>
      <c r="E235" s="801"/>
      <c r="F235" s="801"/>
      <c r="G235" s="801"/>
      <c r="H235" s="801"/>
      <c r="I235" s="801"/>
      <c r="J235" s="801" t="s">
        <v>545</v>
      </c>
      <c r="K235" s="801" t="s">
        <v>545</v>
      </c>
      <c r="L235" s="801" t="s">
        <v>545</v>
      </c>
      <c r="M235" s="801" t="s">
        <v>545</v>
      </c>
      <c r="N235" s="801"/>
      <c r="O235" s="801"/>
      <c r="P235" s="801"/>
      <c r="Q235" s="801"/>
      <c r="T235" s="801"/>
      <c r="U235" s="801"/>
      <c r="V235" s="801"/>
      <c r="W235" s="801"/>
      <c r="X235" s="801"/>
      <c r="Y235" s="801" t="s">
        <v>545</v>
      </c>
    </row>
    <row r="236" spans="2:25" hidden="1" outlineLevel="1">
      <c r="B236" s="735" t="s">
        <v>528</v>
      </c>
      <c r="D236" s="813" t="s">
        <v>567</v>
      </c>
      <c r="E236" s="821">
        <v>0</v>
      </c>
      <c r="F236" s="821">
        <v>0</v>
      </c>
      <c r="G236" s="821">
        <v>0</v>
      </c>
      <c r="H236" s="821">
        <v>0</v>
      </c>
      <c r="I236" s="821">
        <v>0</v>
      </c>
      <c r="J236" s="821">
        <v>0</v>
      </c>
      <c r="K236" s="821">
        <v>0</v>
      </c>
      <c r="L236" s="821">
        <v>0</v>
      </c>
      <c r="M236" s="821">
        <v>0</v>
      </c>
      <c r="N236" s="821">
        <v>0</v>
      </c>
      <c r="O236" s="821">
        <v>0</v>
      </c>
      <c r="P236" s="821">
        <v>0</v>
      </c>
      <c r="Q236" s="821">
        <v>0</v>
      </c>
      <c r="T236" s="821">
        <v>0</v>
      </c>
      <c r="U236" s="821">
        <v>0</v>
      </c>
      <c r="V236" s="821">
        <v>0</v>
      </c>
      <c r="W236" s="821">
        <v>0</v>
      </c>
      <c r="X236" s="821">
        <v>0</v>
      </c>
      <c r="Y236" s="821">
        <v>0</v>
      </c>
    </row>
    <row r="237" spans="2:25" ht="16.5" hidden="1" customHeight="1" outlineLevel="1">
      <c r="B237" s="735" t="s">
        <v>542</v>
      </c>
      <c r="D237" s="721" t="s">
        <v>533</v>
      </c>
      <c r="E237" s="822">
        <v>0</v>
      </c>
      <c r="F237" s="822">
        <v>0</v>
      </c>
      <c r="G237" s="822">
        <v>0</v>
      </c>
      <c r="H237" s="822">
        <v>0</v>
      </c>
      <c r="I237" s="822">
        <v>0</v>
      </c>
      <c r="J237" s="822">
        <v>0</v>
      </c>
      <c r="K237" s="822">
        <v>0</v>
      </c>
      <c r="L237" s="822">
        <v>0</v>
      </c>
      <c r="M237" s="822">
        <v>0</v>
      </c>
      <c r="N237" s="822">
        <v>0</v>
      </c>
      <c r="O237" s="822">
        <v>0</v>
      </c>
      <c r="P237" s="822">
        <v>0</v>
      </c>
      <c r="Q237" s="822">
        <v>0</v>
      </c>
      <c r="T237" s="822">
        <v>0</v>
      </c>
      <c r="U237" s="822">
        <v>0</v>
      </c>
      <c r="V237" s="822">
        <v>0</v>
      </c>
      <c r="W237" s="822">
        <v>0</v>
      </c>
      <c r="X237" s="822">
        <v>0</v>
      </c>
      <c r="Y237" s="822">
        <v>0</v>
      </c>
    </row>
    <row r="238" spans="2:25" ht="16.5" hidden="1" customHeight="1" outlineLevel="1">
      <c r="B238" s="735" t="s">
        <v>534</v>
      </c>
      <c r="D238" s="721" t="s">
        <v>301</v>
      </c>
      <c r="E238" s="823"/>
      <c r="F238" s="823"/>
      <c r="G238" s="823"/>
      <c r="H238" s="823"/>
      <c r="I238" s="823"/>
      <c r="J238" s="823"/>
      <c r="K238" s="823"/>
      <c r="L238" s="823"/>
      <c r="M238" s="823"/>
      <c r="N238" s="823"/>
      <c r="O238" s="823"/>
      <c r="P238" s="823"/>
      <c r="Q238" s="823"/>
      <c r="T238" s="823"/>
      <c r="U238" s="823"/>
      <c r="V238" s="823"/>
      <c r="W238" s="823"/>
      <c r="X238" s="823"/>
      <c r="Y238" s="823"/>
    </row>
    <row r="239" spans="2:25" ht="16.5" hidden="1" customHeight="1" outlineLevel="1">
      <c r="B239" s="735" t="s">
        <v>536</v>
      </c>
      <c r="D239" s="721" t="s">
        <v>309</v>
      </c>
      <c r="E239" s="824"/>
      <c r="F239" s="824"/>
      <c r="G239" s="824"/>
      <c r="H239" s="824"/>
      <c r="I239" s="824"/>
      <c r="J239" s="824"/>
      <c r="K239" s="824"/>
      <c r="L239" s="824"/>
      <c r="M239" s="824"/>
      <c r="N239" s="824"/>
      <c r="O239" s="824"/>
      <c r="P239" s="824"/>
      <c r="Q239" s="824"/>
      <c r="T239" s="824"/>
      <c r="U239" s="824"/>
      <c r="V239" s="824"/>
      <c r="W239" s="824"/>
      <c r="X239" s="824"/>
      <c r="Y239" s="824"/>
    </row>
    <row r="240" spans="2:25" hidden="1" outlineLevel="1">
      <c r="B240" s="735" t="s">
        <v>568</v>
      </c>
      <c r="C240" s="740" t="s">
        <v>569</v>
      </c>
      <c r="D240" s="716">
        <v>1</v>
      </c>
      <c r="E240" s="824"/>
      <c r="F240" s="824"/>
      <c r="G240" s="824"/>
      <c r="H240" s="824"/>
      <c r="I240" s="824"/>
      <c r="J240" s="824"/>
      <c r="K240" s="824"/>
      <c r="L240" s="824"/>
      <c r="M240" s="824"/>
      <c r="N240" s="824"/>
      <c r="O240" s="824"/>
      <c r="P240" s="824"/>
      <c r="Q240" s="824"/>
      <c r="T240" s="824"/>
      <c r="U240" s="824"/>
      <c r="V240" s="824"/>
      <c r="W240" s="824"/>
      <c r="X240" s="824"/>
      <c r="Y240" s="824"/>
    </row>
    <row r="241" spans="2:25" hidden="1" outlineLevel="1">
      <c r="B241" s="735"/>
      <c r="C241" s="740" t="s">
        <v>309</v>
      </c>
      <c r="D241" s="716">
        <f t="shared" ref="D241:D263" si="46">+D240+1</f>
        <v>2</v>
      </c>
      <c r="E241" s="825"/>
      <c r="F241" s="825"/>
      <c r="G241" s="825"/>
      <c r="H241" s="825"/>
      <c r="I241" s="825"/>
      <c r="J241" s="825"/>
      <c r="K241" s="825"/>
      <c r="L241" s="825"/>
      <c r="M241" s="825"/>
      <c r="N241" s="825"/>
      <c r="O241" s="825"/>
      <c r="P241" s="825"/>
      <c r="Q241" s="825"/>
      <c r="T241" s="825"/>
      <c r="U241" s="825"/>
      <c r="V241" s="825"/>
      <c r="W241" s="825"/>
      <c r="X241" s="825"/>
      <c r="Y241" s="825"/>
    </row>
    <row r="242" spans="2:25" hidden="1" outlineLevel="1">
      <c r="B242" s="735"/>
      <c r="C242" s="740" t="s">
        <v>309</v>
      </c>
      <c r="D242" s="716">
        <f t="shared" si="46"/>
        <v>3</v>
      </c>
      <c r="E242" s="825"/>
      <c r="F242" s="825"/>
      <c r="G242" s="825"/>
      <c r="H242" s="825"/>
      <c r="I242" s="825"/>
      <c r="J242" s="825"/>
      <c r="K242" s="825"/>
      <c r="L242" s="825"/>
      <c r="M242" s="825"/>
      <c r="N242" s="825"/>
      <c r="O242" s="825"/>
      <c r="P242" s="825"/>
      <c r="Q242" s="825"/>
      <c r="T242" s="825"/>
      <c r="U242" s="825"/>
      <c r="V242" s="825"/>
      <c r="W242" s="825"/>
      <c r="X242" s="825"/>
      <c r="Y242" s="825"/>
    </row>
    <row r="243" spans="2:25" hidden="1" outlineLevel="1">
      <c r="B243" s="735"/>
      <c r="C243" s="740" t="s">
        <v>309</v>
      </c>
      <c r="D243" s="716">
        <f t="shared" si="46"/>
        <v>4</v>
      </c>
      <c r="E243" s="825"/>
      <c r="F243" s="825"/>
      <c r="G243" s="825"/>
      <c r="H243" s="825"/>
      <c r="I243" s="825"/>
      <c r="J243" s="825"/>
      <c r="K243" s="825"/>
      <c r="L243" s="825"/>
      <c r="M243" s="825"/>
      <c r="N243" s="825"/>
      <c r="O243" s="825"/>
      <c r="P243" s="825"/>
      <c r="Q243" s="825"/>
      <c r="T243" s="825"/>
      <c r="U243" s="825"/>
      <c r="V243" s="825"/>
      <c r="W243" s="825"/>
      <c r="X243" s="825"/>
      <c r="Y243" s="825"/>
    </row>
    <row r="244" spans="2:25" hidden="1" outlineLevel="1">
      <c r="B244" s="735"/>
      <c r="C244" s="740" t="s">
        <v>309</v>
      </c>
      <c r="D244" s="716">
        <f t="shared" si="46"/>
        <v>5</v>
      </c>
      <c r="E244" s="825"/>
      <c r="F244" s="825"/>
      <c r="G244" s="825"/>
      <c r="H244" s="825"/>
      <c r="I244" s="825"/>
      <c r="J244" s="825"/>
      <c r="K244" s="825"/>
      <c r="L244" s="825"/>
      <c r="M244" s="825"/>
      <c r="N244" s="825"/>
      <c r="O244" s="825"/>
      <c r="P244" s="825"/>
      <c r="Q244" s="825"/>
      <c r="T244" s="825"/>
      <c r="U244" s="825"/>
      <c r="V244" s="825"/>
      <c r="W244" s="825"/>
      <c r="X244" s="825"/>
      <c r="Y244" s="825"/>
    </row>
    <row r="245" spans="2:25" hidden="1" outlineLevel="1">
      <c r="B245" s="735"/>
      <c r="C245" s="740" t="s">
        <v>309</v>
      </c>
      <c r="D245" s="716">
        <f t="shared" si="46"/>
        <v>6</v>
      </c>
      <c r="E245" s="825"/>
      <c r="F245" s="825"/>
      <c r="G245" s="825"/>
      <c r="H245" s="825"/>
      <c r="I245" s="825"/>
      <c r="J245" s="825"/>
      <c r="K245" s="825"/>
      <c r="L245" s="825"/>
      <c r="M245" s="825"/>
      <c r="N245" s="825"/>
      <c r="O245" s="825"/>
      <c r="P245" s="825"/>
      <c r="Q245" s="825"/>
      <c r="T245" s="825"/>
      <c r="U245" s="825"/>
      <c r="V245" s="825"/>
      <c r="W245" s="825"/>
      <c r="X245" s="825"/>
      <c r="Y245" s="825"/>
    </row>
    <row r="246" spans="2:25" hidden="1" outlineLevel="1">
      <c r="B246" s="735"/>
      <c r="C246" s="740" t="s">
        <v>309</v>
      </c>
      <c r="D246" s="716">
        <f t="shared" si="46"/>
        <v>7</v>
      </c>
      <c r="E246" s="825"/>
      <c r="F246" s="825"/>
      <c r="G246" s="825"/>
      <c r="H246" s="825"/>
      <c r="I246" s="825"/>
      <c r="J246" s="825"/>
      <c r="K246" s="825"/>
      <c r="L246" s="825"/>
      <c r="M246" s="825"/>
      <c r="N246" s="825"/>
      <c r="O246" s="825"/>
      <c r="P246" s="825"/>
      <c r="Q246" s="825"/>
      <c r="T246" s="825"/>
      <c r="U246" s="825"/>
      <c r="V246" s="825"/>
      <c r="W246" s="825"/>
      <c r="X246" s="825"/>
      <c r="Y246" s="825"/>
    </row>
    <row r="247" spans="2:25" hidden="1" outlineLevel="1">
      <c r="B247" s="735"/>
      <c r="C247" s="740" t="s">
        <v>309</v>
      </c>
      <c r="D247" s="716">
        <f t="shared" si="46"/>
        <v>8</v>
      </c>
      <c r="E247" s="825"/>
      <c r="F247" s="825"/>
      <c r="G247" s="825"/>
      <c r="H247" s="825"/>
      <c r="I247" s="825"/>
      <c r="J247" s="825"/>
      <c r="K247" s="825"/>
      <c r="L247" s="825"/>
      <c r="M247" s="825"/>
      <c r="N247" s="825"/>
      <c r="O247" s="825"/>
      <c r="P247" s="825"/>
      <c r="Q247" s="825"/>
      <c r="T247" s="825"/>
      <c r="U247" s="825"/>
      <c r="V247" s="825"/>
      <c r="W247" s="825"/>
      <c r="X247" s="825"/>
      <c r="Y247" s="825"/>
    </row>
    <row r="248" spans="2:25" hidden="1" outlineLevel="1">
      <c r="B248" s="735"/>
      <c r="C248" s="740" t="s">
        <v>309</v>
      </c>
      <c r="D248" s="716">
        <f t="shared" si="46"/>
        <v>9</v>
      </c>
      <c r="E248" s="825"/>
      <c r="F248" s="825"/>
      <c r="G248" s="825"/>
      <c r="H248" s="825"/>
      <c r="I248" s="825"/>
      <c r="J248" s="825"/>
      <c r="K248" s="825"/>
      <c r="L248" s="825"/>
      <c r="M248" s="825"/>
      <c r="N248" s="825"/>
      <c r="O248" s="825"/>
      <c r="P248" s="825"/>
      <c r="Q248" s="825"/>
      <c r="T248" s="825"/>
      <c r="U248" s="825"/>
      <c r="V248" s="825"/>
      <c r="W248" s="825"/>
      <c r="X248" s="825"/>
      <c r="Y248" s="825"/>
    </row>
    <row r="249" spans="2:25" hidden="1" outlineLevel="1">
      <c r="B249" s="735"/>
      <c r="C249" s="740" t="s">
        <v>309</v>
      </c>
      <c r="D249" s="716">
        <f t="shared" si="46"/>
        <v>10</v>
      </c>
      <c r="E249" s="825"/>
      <c r="F249" s="825"/>
      <c r="G249" s="825"/>
      <c r="H249" s="825"/>
      <c r="I249" s="825"/>
      <c r="J249" s="825"/>
      <c r="K249" s="825"/>
      <c r="L249" s="825"/>
      <c r="M249" s="825"/>
      <c r="N249" s="825"/>
      <c r="O249" s="825"/>
      <c r="P249" s="825"/>
      <c r="Q249" s="825"/>
      <c r="T249" s="825"/>
      <c r="U249" s="825"/>
      <c r="V249" s="825"/>
      <c r="W249" s="825"/>
      <c r="X249" s="825"/>
      <c r="Y249" s="825"/>
    </row>
    <row r="250" spans="2:25" hidden="1" outlineLevel="1">
      <c r="B250" s="735"/>
      <c r="C250" s="740" t="s">
        <v>309</v>
      </c>
      <c r="D250" s="716">
        <f t="shared" si="46"/>
        <v>11</v>
      </c>
      <c r="E250" s="825"/>
      <c r="F250" s="825"/>
      <c r="G250" s="825"/>
      <c r="H250" s="825"/>
      <c r="I250" s="825"/>
      <c r="J250" s="825"/>
      <c r="K250" s="825"/>
      <c r="L250" s="825"/>
      <c r="M250" s="825"/>
      <c r="N250" s="825"/>
      <c r="O250" s="825"/>
      <c r="P250" s="825"/>
      <c r="Q250" s="825"/>
      <c r="T250" s="825"/>
      <c r="U250" s="825"/>
      <c r="V250" s="825"/>
      <c r="W250" s="825"/>
      <c r="X250" s="825"/>
      <c r="Y250" s="825"/>
    </row>
    <row r="251" spans="2:25" hidden="1" outlineLevel="1">
      <c r="B251" s="735"/>
      <c r="C251" s="740" t="s">
        <v>309</v>
      </c>
      <c r="D251" s="716">
        <f t="shared" si="46"/>
        <v>12</v>
      </c>
      <c r="E251" s="825"/>
      <c r="F251" s="825"/>
      <c r="G251" s="825"/>
      <c r="H251" s="825"/>
      <c r="I251" s="825"/>
      <c r="J251" s="825"/>
      <c r="K251" s="825"/>
      <c r="L251" s="825"/>
      <c r="M251" s="825"/>
      <c r="N251" s="825"/>
      <c r="O251" s="825"/>
      <c r="P251" s="825"/>
      <c r="Q251" s="825"/>
      <c r="T251" s="825"/>
      <c r="U251" s="825"/>
      <c r="V251" s="825"/>
      <c r="W251" s="825"/>
      <c r="X251" s="825"/>
      <c r="Y251" s="825"/>
    </row>
    <row r="252" spans="2:25" hidden="1" outlineLevel="1">
      <c r="B252" s="735"/>
      <c r="C252" s="740" t="s">
        <v>309</v>
      </c>
      <c r="D252" s="716">
        <f t="shared" si="46"/>
        <v>13</v>
      </c>
      <c r="E252" s="826"/>
      <c r="F252" s="826"/>
      <c r="G252" s="826"/>
      <c r="H252" s="826"/>
      <c r="I252" s="826"/>
      <c r="J252" s="826"/>
      <c r="K252" s="826"/>
      <c r="L252" s="826"/>
      <c r="M252" s="826"/>
      <c r="N252" s="826"/>
      <c r="O252" s="826"/>
      <c r="P252" s="826"/>
      <c r="Q252" s="826"/>
      <c r="T252" s="826"/>
      <c r="U252" s="826"/>
      <c r="V252" s="826"/>
      <c r="W252" s="826"/>
      <c r="X252" s="826"/>
      <c r="Y252" s="826"/>
    </row>
    <row r="253" spans="2:25" hidden="1" outlineLevel="1">
      <c r="B253" s="735"/>
      <c r="C253" s="740" t="s">
        <v>309</v>
      </c>
      <c r="D253" s="716">
        <f t="shared" si="46"/>
        <v>14</v>
      </c>
      <c r="E253" s="826"/>
      <c r="F253" s="826"/>
      <c r="G253" s="826"/>
      <c r="H253" s="826"/>
      <c r="I253" s="826"/>
      <c r="J253" s="826"/>
      <c r="K253" s="826"/>
      <c r="L253" s="826"/>
      <c r="M253" s="826"/>
      <c r="N253" s="826"/>
      <c r="O253" s="826"/>
      <c r="P253" s="826"/>
      <c r="Q253" s="826"/>
      <c r="T253" s="826"/>
      <c r="U253" s="826"/>
      <c r="V253" s="826"/>
      <c r="W253" s="826"/>
      <c r="X253" s="826"/>
      <c r="Y253" s="826"/>
    </row>
    <row r="254" spans="2:25" hidden="1" outlineLevel="1">
      <c r="B254" s="735"/>
      <c r="C254" s="740" t="s">
        <v>309</v>
      </c>
      <c r="D254" s="716">
        <f t="shared" si="46"/>
        <v>15</v>
      </c>
      <c r="E254" s="826"/>
      <c r="F254" s="826"/>
      <c r="G254" s="826"/>
      <c r="H254" s="826"/>
      <c r="I254" s="826"/>
      <c r="J254" s="826"/>
      <c r="K254" s="826"/>
      <c r="L254" s="826"/>
      <c r="M254" s="826"/>
      <c r="N254" s="826"/>
      <c r="O254" s="826"/>
      <c r="P254" s="826"/>
      <c r="Q254" s="826"/>
      <c r="T254" s="826"/>
      <c r="U254" s="826"/>
      <c r="V254" s="826"/>
      <c r="W254" s="826"/>
      <c r="X254" s="826"/>
      <c r="Y254" s="826"/>
    </row>
    <row r="255" spans="2:25" hidden="1" outlineLevel="1">
      <c r="B255" s="735"/>
      <c r="C255" s="740" t="s">
        <v>309</v>
      </c>
      <c r="D255" s="716">
        <f t="shared" si="46"/>
        <v>16</v>
      </c>
      <c r="E255" s="826"/>
      <c r="F255" s="826"/>
      <c r="G255" s="826"/>
      <c r="H255" s="826"/>
      <c r="I255" s="826"/>
      <c r="J255" s="826"/>
      <c r="K255" s="826"/>
      <c r="L255" s="826"/>
      <c r="M255" s="826"/>
      <c r="N255" s="826"/>
      <c r="O255" s="826"/>
      <c r="P255" s="826"/>
      <c r="Q255" s="826"/>
      <c r="T255" s="826"/>
      <c r="U255" s="826"/>
      <c r="V255" s="826"/>
      <c r="W255" s="826"/>
      <c r="X255" s="826"/>
      <c r="Y255" s="826"/>
    </row>
    <row r="256" spans="2:25" hidden="1" outlineLevel="1">
      <c r="B256" s="735"/>
      <c r="C256" s="740" t="s">
        <v>309</v>
      </c>
      <c r="D256" s="716">
        <f t="shared" si="46"/>
        <v>17</v>
      </c>
      <c r="E256" s="826"/>
      <c r="F256" s="826"/>
      <c r="G256" s="826"/>
      <c r="H256" s="826"/>
      <c r="I256" s="826"/>
      <c r="J256" s="826"/>
      <c r="K256" s="826"/>
      <c r="L256" s="826"/>
      <c r="M256" s="826"/>
      <c r="N256" s="826"/>
      <c r="O256" s="826"/>
      <c r="P256" s="826"/>
      <c r="Q256" s="826"/>
      <c r="T256" s="826"/>
      <c r="U256" s="826"/>
      <c r="V256" s="826"/>
      <c r="W256" s="826"/>
      <c r="X256" s="826"/>
      <c r="Y256" s="826"/>
    </row>
    <row r="257" spans="2:25" hidden="1" outlineLevel="1">
      <c r="B257" s="735"/>
      <c r="C257" s="740" t="s">
        <v>309</v>
      </c>
      <c r="D257" s="716">
        <f t="shared" si="46"/>
        <v>18</v>
      </c>
      <c r="E257" s="826"/>
      <c r="F257" s="826"/>
      <c r="G257" s="826"/>
      <c r="H257" s="826"/>
      <c r="I257" s="826"/>
      <c r="J257" s="826"/>
      <c r="K257" s="826"/>
      <c r="L257" s="826"/>
      <c r="M257" s="826"/>
      <c r="N257" s="826"/>
      <c r="O257" s="826"/>
      <c r="P257" s="826"/>
      <c r="Q257" s="826"/>
      <c r="T257" s="826"/>
      <c r="U257" s="826"/>
      <c r="V257" s="826"/>
      <c r="W257" s="826"/>
      <c r="X257" s="826"/>
      <c r="Y257" s="826"/>
    </row>
    <row r="258" spans="2:25" hidden="1" outlineLevel="1">
      <c r="B258" s="735"/>
      <c r="C258" s="740" t="s">
        <v>309</v>
      </c>
      <c r="D258" s="716">
        <f t="shared" si="46"/>
        <v>19</v>
      </c>
      <c r="E258" s="826"/>
      <c r="F258" s="826"/>
      <c r="G258" s="826"/>
      <c r="H258" s="826"/>
      <c r="I258" s="826"/>
      <c r="J258" s="826"/>
      <c r="K258" s="826"/>
      <c r="L258" s="826"/>
      <c r="M258" s="826"/>
      <c r="N258" s="826"/>
      <c r="O258" s="826"/>
      <c r="P258" s="826"/>
      <c r="Q258" s="826"/>
      <c r="T258" s="826"/>
      <c r="U258" s="826"/>
      <c r="V258" s="826"/>
      <c r="W258" s="826"/>
      <c r="X258" s="826"/>
      <c r="Y258" s="826"/>
    </row>
    <row r="259" spans="2:25" hidden="1" outlineLevel="1">
      <c r="B259" s="735"/>
      <c r="C259" s="740" t="s">
        <v>309</v>
      </c>
      <c r="D259" s="716">
        <f t="shared" si="46"/>
        <v>20</v>
      </c>
      <c r="E259" s="826"/>
      <c r="F259" s="826"/>
      <c r="G259" s="826"/>
      <c r="H259" s="826"/>
      <c r="I259" s="826"/>
      <c r="J259" s="826"/>
      <c r="K259" s="826"/>
      <c r="L259" s="826"/>
      <c r="M259" s="826"/>
      <c r="N259" s="826"/>
      <c r="O259" s="826"/>
      <c r="P259" s="826"/>
      <c r="Q259" s="826"/>
      <c r="T259" s="826"/>
      <c r="U259" s="826"/>
      <c r="V259" s="826"/>
      <c r="W259" s="826"/>
      <c r="X259" s="826"/>
      <c r="Y259" s="826"/>
    </row>
    <row r="260" spans="2:25" hidden="1" outlineLevel="1">
      <c r="B260" s="735"/>
      <c r="C260" s="740" t="s">
        <v>309</v>
      </c>
      <c r="D260" s="716">
        <f t="shared" si="46"/>
        <v>21</v>
      </c>
      <c r="E260" s="826"/>
      <c r="F260" s="826"/>
      <c r="G260" s="826"/>
      <c r="H260" s="826"/>
      <c r="I260" s="826"/>
      <c r="J260" s="826"/>
      <c r="K260" s="826"/>
      <c r="L260" s="826"/>
      <c r="M260" s="826"/>
      <c r="N260" s="826"/>
      <c r="O260" s="826"/>
      <c r="P260" s="826"/>
      <c r="Q260" s="826"/>
      <c r="T260" s="826"/>
      <c r="U260" s="826"/>
      <c r="V260" s="826"/>
      <c r="W260" s="826"/>
      <c r="X260" s="826"/>
      <c r="Y260" s="826"/>
    </row>
    <row r="261" spans="2:25" hidden="1" outlineLevel="1">
      <c r="B261" s="735"/>
      <c r="C261" s="740" t="s">
        <v>309</v>
      </c>
      <c r="D261" s="716">
        <f t="shared" si="46"/>
        <v>22</v>
      </c>
      <c r="E261" s="826"/>
      <c r="F261" s="826"/>
      <c r="G261" s="826"/>
      <c r="H261" s="826"/>
      <c r="I261" s="826"/>
      <c r="J261" s="826"/>
      <c r="K261" s="826"/>
      <c r="L261" s="826"/>
      <c r="M261" s="826"/>
      <c r="N261" s="826"/>
      <c r="O261" s="826"/>
      <c r="P261" s="826"/>
      <c r="Q261" s="826"/>
      <c r="T261" s="826"/>
      <c r="U261" s="826"/>
      <c r="V261" s="826"/>
      <c r="W261" s="826"/>
      <c r="X261" s="826"/>
      <c r="Y261" s="826"/>
    </row>
    <row r="262" spans="2:25" hidden="1" outlineLevel="1">
      <c r="B262" s="735"/>
      <c r="C262" s="740" t="s">
        <v>309</v>
      </c>
      <c r="D262" s="716">
        <f t="shared" si="46"/>
        <v>23</v>
      </c>
      <c r="E262" s="826"/>
      <c r="F262" s="826"/>
      <c r="G262" s="826"/>
      <c r="H262" s="826"/>
      <c r="I262" s="826"/>
      <c r="J262" s="826"/>
      <c r="K262" s="826"/>
      <c r="L262" s="826"/>
      <c r="M262" s="826"/>
      <c r="N262" s="826"/>
      <c r="O262" s="826"/>
      <c r="P262" s="826"/>
      <c r="Q262" s="826"/>
      <c r="T262" s="826"/>
      <c r="U262" s="826"/>
      <c r="V262" s="826"/>
      <c r="W262" s="826"/>
      <c r="X262" s="826"/>
      <c r="Y262" s="826"/>
    </row>
    <row r="263" spans="2:25" hidden="1" outlineLevel="1">
      <c r="B263" s="735"/>
      <c r="C263" s="740" t="s">
        <v>309</v>
      </c>
      <c r="D263" s="716">
        <f t="shared" si="46"/>
        <v>24</v>
      </c>
      <c r="E263" s="826"/>
      <c r="F263" s="826"/>
      <c r="G263" s="826"/>
      <c r="H263" s="826"/>
      <c r="I263" s="826"/>
      <c r="J263" s="826"/>
      <c r="K263" s="826"/>
      <c r="L263" s="826"/>
      <c r="M263" s="826"/>
      <c r="N263" s="826"/>
      <c r="O263" s="826"/>
      <c r="P263" s="826"/>
      <c r="Q263" s="826"/>
      <c r="T263" s="826"/>
      <c r="U263" s="826"/>
      <c r="V263" s="826"/>
      <c r="W263" s="826"/>
      <c r="X263" s="826"/>
      <c r="Y263" s="826"/>
    </row>
    <row r="264" spans="2:25" hidden="1" outlineLevel="1">
      <c r="B264" s="735" t="s">
        <v>540</v>
      </c>
      <c r="C264" s="1359"/>
      <c r="D264" s="1360"/>
      <c r="E264" s="826"/>
      <c r="F264" s="826"/>
      <c r="G264" s="826"/>
      <c r="H264" s="826"/>
      <c r="I264" s="826"/>
      <c r="J264" s="826"/>
      <c r="K264" s="826"/>
      <c r="L264" s="826"/>
      <c r="M264" s="826"/>
      <c r="N264" s="826"/>
      <c r="O264" s="826"/>
      <c r="P264" s="826"/>
      <c r="Q264" s="826"/>
      <c r="T264" s="826"/>
      <c r="U264" s="826"/>
      <c r="V264" s="826"/>
      <c r="W264" s="826"/>
      <c r="X264" s="826"/>
      <c r="Y264" s="826"/>
    </row>
    <row r="265" spans="2:25" hidden="1" outlineLevel="1">
      <c r="E265" s="828"/>
      <c r="F265" s="828"/>
      <c r="G265" s="828"/>
      <c r="H265" s="828"/>
      <c r="I265" s="828"/>
      <c r="J265" s="828"/>
      <c r="K265" s="828"/>
      <c r="L265" s="828"/>
      <c r="M265" s="828"/>
      <c r="N265" s="828"/>
      <c r="O265" s="828"/>
      <c r="P265" s="828"/>
      <c r="Q265" s="828"/>
      <c r="T265" s="961"/>
      <c r="U265" s="961"/>
      <c r="V265" s="961"/>
      <c r="W265" s="961"/>
      <c r="X265" s="961"/>
      <c r="Y265" s="961"/>
    </row>
    <row r="266" spans="2:25" hidden="1" outlineLevel="1">
      <c r="B266" s="803" t="s">
        <v>578</v>
      </c>
      <c r="D266" s="749"/>
      <c r="E266" s="750"/>
      <c r="F266" s="750"/>
      <c r="G266" s="750"/>
      <c r="H266" s="750"/>
      <c r="I266" s="750"/>
      <c r="J266" s="750"/>
      <c r="K266" s="750"/>
      <c r="L266" s="750"/>
      <c r="M266" s="750"/>
      <c r="N266" s="750"/>
      <c r="O266" s="750"/>
      <c r="P266" s="750"/>
      <c r="Q266" s="750"/>
      <c r="T266" s="953"/>
      <c r="U266" s="953"/>
      <c r="V266" s="953"/>
      <c r="W266" s="953"/>
      <c r="X266" s="953"/>
      <c r="Y266" s="953"/>
    </row>
    <row r="267" spans="2:25" ht="16.5" hidden="1" customHeight="1" outlineLevel="1">
      <c r="B267" s="735" t="s">
        <v>487</v>
      </c>
      <c r="C267" s="760"/>
      <c r="D267" s="759"/>
      <c r="E267" s="801" t="s">
        <v>545</v>
      </c>
      <c r="F267" s="801" t="s">
        <v>545</v>
      </c>
      <c r="G267" s="801" t="s">
        <v>545</v>
      </c>
      <c r="H267" s="801" t="s">
        <v>545</v>
      </c>
      <c r="I267" s="801" t="s">
        <v>545</v>
      </c>
      <c r="J267" s="801" t="s">
        <v>545</v>
      </c>
      <c r="K267" s="801" t="s">
        <v>545</v>
      </c>
      <c r="L267" s="801" t="s">
        <v>545</v>
      </c>
      <c r="M267" s="801" t="s">
        <v>545</v>
      </c>
      <c r="N267" s="801" t="s">
        <v>545</v>
      </c>
      <c r="O267" s="801" t="s">
        <v>545</v>
      </c>
      <c r="P267" s="801" t="s">
        <v>545</v>
      </c>
      <c r="Q267" s="801" t="s">
        <v>545</v>
      </c>
      <c r="T267" s="801" t="s">
        <v>545</v>
      </c>
      <c r="U267" s="801" t="s">
        <v>545</v>
      </c>
      <c r="V267" s="801" t="s">
        <v>545</v>
      </c>
      <c r="W267" s="801" t="s">
        <v>545</v>
      </c>
      <c r="X267" s="801" t="s">
        <v>545</v>
      </c>
      <c r="Y267" s="801" t="s">
        <v>545</v>
      </c>
    </row>
    <row r="268" spans="2:25" hidden="1" outlineLevel="1">
      <c r="B268" s="735" t="s">
        <v>528</v>
      </c>
      <c r="D268" s="813" t="s">
        <v>567</v>
      </c>
      <c r="E268" s="829">
        <f>+'[6]입력 시트(0124)'!E366</f>
        <v>0</v>
      </c>
      <c r="F268" s="829">
        <f>+'[6]입력 시트(0124)'!F366</f>
        <v>0</v>
      </c>
      <c r="G268" s="829">
        <f>+'[6]입력 시트(0124)'!G366</f>
        <v>0</v>
      </c>
      <c r="H268" s="829">
        <f>+'[6]입력 시트(0124)'!H366</f>
        <v>0</v>
      </c>
      <c r="I268" s="829">
        <f>+'[6]입력 시트(0124)'!I366</f>
        <v>0</v>
      </c>
      <c r="J268" s="829">
        <v>0</v>
      </c>
      <c r="K268" s="829">
        <v>0</v>
      </c>
      <c r="L268" s="829">
        <v>0</v>
      </c>
      <c r="M268" s="829">
        <v>0</v>
      </c>
      <c r="N268" s="829">
        <v>0</v>
      </c>
      <c r="O268" s="829">
        <v>0</v>
      </c>
      <c r="P268" s="829">
        <v>0</v>
      </c>
      <c r="Q268" s="829">
        <v>0</v>
      </c>
      <c r="T268" s="829" t="e">
        <f>+'[6]입력 시트(0124)'!T366</f>
        <v>#REF!</v>
      </c>
      <c r="U268" s="829" t="e">
        <f>+'[6]입력 시트(0124)'!U366</f>
        <v>#REF!</v>
      </c>
      <c r="V268" s="829" t="e">
        <f>+'[6]입력 시트(0124)'!V366</f>
        <v>#REF!</v>
      </c>
      <c r="W268" s="829" t="e">
        <f>+'[6]입력 시트(0124)'!W366</f>
        <v>#REF!</v>
      </c>
      <c r="X268" s="829" t="e">
        <f>+'[6]입력 시트(0124)'!X366</f>
        <v>#REF!</v>
      </c>
      <c r="Y268" s="829">
        <v>0</v>
      </c>
    </row>
    <row r="269" spans="2:25" ht="16.5" hidden="1" customHeight="1" outlineLevel="1">
      <c r="B269" s="735" t="s">
        <v>542</v>
      </c>
      <c r="D269" s="721" t="s">
        <v>533</v>
      </c>
      <c r="E269" s="822">
        <v>0</v>
      </c>
      <c r="F269" s="822">
        <v>0</v>
      </c>
      <c r="G269" s="822">
        <v>0</v>
      </c>
      <c r="H269" s="822">
        <v>0</v>
      </c>
      <c r="I269" s="822">
        <v>0</v>
      </c>
      <c r="J269" s="822">
        <v>0</v>
      </c>
      <c r="K269" s="822">
        <v>0</v>
      </c>
      <c r="L269" s="822">
        <v>0</v>
      </c>
      <c r="M269" s="822">
        <v>0</v>
      </c>
      <c r="N269" s="822">
        <v>0</v>
      </c>
      <c r="O269" s="822">
        <v>0</v>
      </c>
      <c r="P269" s="822">
        <v>0</v>
      </c>
      <c r="Q269" s="822">
        <v>0</v>
      </c>
      <c r="T269" s="822">
        <v>0</v>
      </c>
      <c r="U269" s="822">
        <v>0</v>
      </c>
      <c r="V269" s="822">
        <v>0</v>
      </c>
      <c r="W269" s="822">
        <v>0</v>
      </c>
      <c r="X269" s="822">
        <v>0</v>
      </c>
      <c r="Y269" s="822">
        <v>0</v>
      </c>
    </row>
    <row r="270" spans="2:25" ht="16.5" hidden="1" customHeight="1" outlineLevel="1">
      <c r="B270" s="735" t="s">
        <v>534</v>
      </c>
      <c r="D270" s="721" t="s">
        <v>301</v>
      </c>
      <c r="E270" s="823"/>
      <c r="F270" s="823"/>
      <c r="G270" s="823"/>
      <c r="H270" s="823"/>
      <c r="I270" s="823"/>
      <c r="J270" s="823"/>
      <c r="K270" s="823"/>
      <c r="L270" s="823"/>
      <c r="M270" s="823"/>
      <c r="N270" s="823"/>
      <c r="O270" s="823"/>
      <c r="P270" s="823"/>
      <c r="Q270" s="823"/>
      <c r="T270" s="823"/>
      <c r="U270" s="823"/>
      <c r="V270" s="823"/>
      <c r="W270" s="823"/>
      <c r="X270" s="823"/>
      <c r="Y270" s="823"/>
    </row>
    <row r="271" spans="2:25" ht="16.5" hidden="1" customHeight="1" outlineLevel="1">
      <c r="B271" s="735" t="s">
        <v>536</v>
      </c>
      <c r="D271" s="721" t="s">
        <v>309</v>
      </c>
      <c r="E271" s="824"/>
      <c r="F271" s="824"/>
      <c r="G271" s="824"/>
      <c r="H271" s="824"/>
      <c r="I271" s="824"/>
      <c r="J271" s="824"/>
      <c r="K271" s="824"/>
      <c r="L271" s="824"/>
      <c r="M271" s="824"/>
      <c r="N271" s="824"/>
      <c r="O271" s="824"/>
      <c r="P271" s="824"/>
      <c r="Q271" s="824"/>
      <c r="T271" s="824"/>
      <c r="U271" s="824"/>
      <c r="V271" s="824"/>
      <c r="W271" s="824"/>
      <c r="X271" s="824"/>
      <c r="Y271" s="824"/>
    </row>
    <row r="272" spans="2:25" hidden="1" outlineLevel="1">
      <c r="B272" s="735" t="s">
        <v>568</v>
      </c>
      <c r="C272" s="740" t="s">
        <v>569</v>
      </c>
      <c r="D272" s="716">
        <v>1</v>
      </c>
      <c r="E272" s="824">
        <f>+'[6]입력 시트(0124)'!E370</f>
        <v>1</v>
      </c>
      <c r="F272" s="824">
        <f>+'[6]입력 시트(0124)'!F370</f>
        <v>1</v>
      </c>
      <c r="G272" s="824">
        <f>+'[6]입력 시트(0124)'!G370</f>
        <v>1</v>
      </c>
      <c r="H272" s="824">
        <f>+'[6]입력 시트(0124)'!H370</f>
        <v>1</v>
      </c>
      <c r="I272" s="824">
        <f>+'[6]입력 시트(0124)'!I370</f>
        <v>1</v>
      </c>
      <c r="J272" s="824">
        <f>+'[6]입력 시트(0124)'!F370</f>
        <v>1</v>
      </c>
      <c r="K272" s="824">
        <f>+'[6]입력 시트(0124)'!G370</f>
        <v>1</v>
      </c>
      <c r="L272" s="824">
        <f>+'[6]입력 시트(0124)'!H370</f>
        <v>1</v>
      </c>
      <c r="M272" s="824">
        <f>+'[6]입력 시트(0124)'!I370</f>
        <v>1</v>
      </c>
      <c r="N272" s="824">
        <v>1</v>
      </c>
      <c r="O272" s="824">
        <v>1</v>
      </c>
      <c r="P272" s="824">
        <v>1</v>
      </c>
      <c r="Q272" s="824">
        <v>1</v>
      </c>
      <c r="T272" s="824" t="e">
        <f>+'[6]입력 시트(0124)'!T370</f>
        <v>#REF!</v>
      </c>
      <c r="U272" s="824" t="e">
        <f>+'[6]입력 시트(0124)'!U370</f>
        <v>#REF!</v>
      </c>
      <c r="V272" s="824" t="e">
        <f>+'[6]입력 시트(0124)'!V370</f>
        <v>#REF!</v>
      </c>
      <c r="W272" s="824" t="e">
        <f>+'[6]입력 시트(0124)'!W370</f>
        <v>#REF!</v>
      </c>
      <c r="X272" s="824" t="e">
        <f>+'[6]입력 시트(0124)'!X370</f>
        <v>#REF!</v>
      </c>
      <c r="Y272" s="824" t="e">
        <f>+'[6]입력 시트(0124)'!U370</f>
        <v>#REF!</v>
      </c>
    </row>
    <row r="273" spans="2:25" hidden="1" outlineLevel="1">
      <c r="B273" s="735"/>
      <c r="C273" s="740" t="s">
        <v>309</v>
      </c>
      <c r="D273" s="716">
        <f t="shared" ref="D273:D295" si="47">+D272+1</f>
        <v>2</v>
      </c>
      <c r="E273" s="825"/>
      <c r="F273" s="825"/>
      <c r="G273" s="825"/>
      <c r="H273" s="825"/>
      <c r="I273" s="825"/>
      <c r="J273" s="825"/>
      <c r="K273" s="825"/>
      <c r="L273" s="825"/>
      <c r="M273" s="825"/>
      <c r="N273" s="825"/>
      <c r="O273" s="825"/>
      <c r="P273" s="825"/>
      <c r="Q273" s="825"/>
      <c r="T273" s="825"/>
      <c r="U273" s="825"/>
      <c r="V273" s="825"/>
      <c r="W273" s="825"/>
      <c r="X273" s="825"/>
      <c r="Y273" s="825"/>
    </row>
    <row r="274" spans="2:25" hidden="1" outlineLevel="1">
      <c r="B274" s="735"/>
      <c r="C274" s="740" t="s">
        <v>309</v>
      </c>
      <c r="D274" s="716">
        <f t="shared" si="47"/>
        <v>3</v>
      </c>
      <c r="E274" s="825"/>
      <c r="F274" s="825"/>
      <c r="G274" s="825"/>
      <c r="H274" s="825"/>
      <c r="I274" s="825"/>
      <c r="J274" s="825"/>
      <c r="K274" s="825"/>
      <c r="L274" s="825"/>
      <c r="M274" s="825"/>
      <c r="N274" s="825"/>
      <c r="O274" s="825"/>
      <c r="P274" s="825"/>
      <c r="Q274" s="825"/>
      <c r="T274" s="825"/>
      <c r="U274" s="825"/>
      <c r="V274" s="825"/>
      <c r="W274" s="825"/>
      <c r="X274" s="825"/>
      <c r="Y274" s="825"/>
    </row>
    <row r="275" spans="2:25" hidden="1" outlineLevel="1">
      <c r="B275" s="735"/>
      <c r="C275" s="740" t="s">
        <v>309</v>
      </c>
      <c r="D275" s="716">
        <f t="shared" si="47"/>
        <v>4</v>
      </c>
      <c r="E275" s="825"/>
      <c r="F275" s="825"/>
      <c r="G275" s="825"/>
      <c r="H275" s="825"/>
      <c r="I275" s="825"/>
      <c r="J275" s="825"/>
      <c r="K275" s="825"/>
      <c r="L275" s="825"/>
      <c r="M275" s="825"/>
      <c r="N275" s="825"/>
      <c r="O275" s="825"/>
      <c r="P275" s="825"/>
      <c r="Q275" s="825"/>
      <c r="T275" s="825"/>
      <c r="U275" s="825"/>
      <c r="V275" s="825"/>
      <c r="W275" s="825"/>
      <c r="X275" s="825"/>
      <c r="Y275" s="825"/>
    </row>
    <row r="276" spans="2:25" hidden="1" outlineLevel="1">
      <c r="B276" s="735"/>
      <c r="C276" s="740" t="s">
        <v>309</v>
      </c>
      <c r="D276" s="716">
        <f t="shared" si="47"/>
        <v>5</v>
      </c>
      <c r="E276" s="825"/>
      <c r="F276" s="825"/>
      <c r="G276" s="825"/>
      <c r="H276" s="825"/>
      <c r="I276" s="825"/>
      <c r="J276" s="825"/>
      <c r="K276" s="825"/>
      <c r="L276" s="825"/>
      <c r="M276" s="825"/>
      <c r="N276" s="825"/>
      <c r="O276" s="825"/>
      <c r="P276" s="825"/>
      <c r="Q276" s="825"/>
      <c r="T276" s="825"/>
      <c r="U276" s="825"/>
      <c r="V276" s="825"/>
      <c r="W276" s="825"/>
      <c r="X276" s="825"/>
      <c r="Y276" s="825"/>
    </row>
    <row r="277" spans="2:25" hidden="1" outlineLevel="1">
      <c r="B277" s="735"/>
      <c r="C277" s="740" t="s">
        <v>309</v>
      </c>
      <c r="D277" s="716">
        <f t="shared" si="47"/>
        <v>6</v>
      </c>
      <c r="E277" s="825"/>
      <c r="F277" s="825"/>
      <c r="G277" s="825"/>
      <c r="H277" s="825"/>
      <c r="I277" s="825"/>
      <c r="J277" s="825"/>
      <c r="K277" s="825"/>
      <c r="L277" s="825"/>
      <c r="M277" s="825"/>
      <c r="N277" s="825"/>
      <c r="O277" s="825"/>
      <c r="P277" s="825"/>
      <c r="Q277" s="825"/>
      <c r="T277" s="825"/>
      <c r="U277" s="825"/>
      <c r="V277" s="825"/>
      <c r="W277" s="825"/>
      <c r="X277" s="825"/>
      <c r="Y277" s="825"/>
    </row>
    <row r="278" spans="2:25" hidden="1" outlineLevel="1">
      <c r="B278" s="735"/>
      <c r="C278" s="740" t="s">
        <v>309</v>
      </c>
      <c r="D278" s="716">
        <f t="shared" si="47"/>
        <v>7</v>
      </c>
      <c r="E278" s="825"/>
      <c r="F278" s="825"/>
      <c r="G278" s="825"/>
      <c r="H278" s="825"/>
      <c r="I278" s="825"/>
      <c r="J278" s="825"/>
      <c r="K278" s="825"/>
      <c r="L278" s="825"/>
      <c r="M278" s="825"/>
      <c r="N278" s="825"/>
      <c r="O278" s="825"/>
      <c r="P278" s="825"/>
      <c r="Q278" s="825"/>
      <c r="T278" s="825"/>
      <c r="U278" s="825"/>
      <c r="V278" s="825"/>
      <c r="W278" s="825"/>
      <c r="X278" s="825"/>
      <c r="Y278" s="825"/>
    </row>
    <row r="279" spans="2:25" hidden="1" outlineLevel="1">
      <c r="B279" s="735"/>
      <c r="C279" s="740" t="s">
        <v>309</v>
      </c>
      <c r="D279" s="716">
        <f t="shared" si="47"/>
        <v>8</v>
      </c>
      <c r="E279" s="825"/>
      <c r="F279" s="825"/>
      <c r="G279" s="825"/>
      <c r="H279" s="825"/>
      <c r="I279" s="825"/>
      <c r="J279" s="825"/>
      <c r="K279" s="825"/>
      <c r="L279" s="825"/>
      <c r="M279" s="825"/>
      <c r="N279" s="825"/>
      <c r="O279" s="825"/>
      <c r="P279" s="825"/>
      <c r="Q279" s="825"/>
      <c r="T279" s="825"/>
      <c r="U279" s="825"/>
      <c r="V279" s="825"/>
      <c r="W279" s="825"/>
      <c r="X279" s="825"/>
      <c r="Y279" s="825"/>
    </row>
    <row r="280" spans="2:25" hidden="1" outlineLevel="1">
      <c r="B280" s="735"/>
      <c r="C280" s="740" t="s">
        <v>309</v>
      </c>
      <c r="D280" s="716">
        <f t="shared" si="47"/>
        <v>9</v>
      </c>
      <c r="E280" s="825"/>
      <c r="F280" s="825"/>
      <c r="G280" s="825"/>
      <c r="H280" s="825"/>
      <c r="I280" s="825"/>
      <c r="J280" s="825"/>
      <c r="K280" s="825"/>
      <c r="L280" s="825"/>
      <c r="M280" s="825"/>
      <c r="N280" s="825"/>
      <c r="O280" s="825"/>
      <c r="P280" s="825"/>
      <c r="Q280" s="825"/>
      <c r="T280" s="825"/>
      <c r="U280" s="825"/>
      <c r="V280" s="825"/>
      <c r="W280" s="825"/>
      <c r="X280" s="825"/>
      <c r="Y280" s="825"/>
    </row>
    <row r="281" spans="2:25" hidden="1" outlineLevel="1">
      <c r="B281" s="735"/>
      <c r="C281" s="740" t="s">
        <v>309</v>
      </c>
      <c r="D281" s="716">
        <f t="shared" si="47"/>
        <v>10</v>
      </c>
      <c r="E281" s="825"/>
      <c r="F281" s="825"/>
      <c r="G281" s="825"/>
      <c r="H281" s="825"/>
      <c r="I281" s="825"/>
      <c r="J281" s="825"/>
      <c r="K281" s="825"/>
      <c r="L281" s="825"/>
      <c r="M281" s="825"/>
      <c r="N281" s="825"/>
      <c r="O281" s="825"/>
      <c r="P281" s="825"/>
      <c r="Q281" s="825"/>
      <c r="T281" s="825"/>
      <c r="U281" s="825"/>
      <c r="V281" s="825"/>
      <c r="W281" s="825"/>
      <c r="X281" s="825"/>
      <c r="Y281" s="825"/>
    </row>
    <row r="282" spans="2:25" hidden="1" outlineLevel="1">
      <c r="B282" s="735"/>
      <c r="C282" s="740" t="s">
        <v>309</v>
      </c>
      <c r="D282" s="716">
        <f t="shared" si="47"/>
        <v>11</v>
      </c>
      <c r="E282" s="825"/>
      <c r="F282" s="825"/>
      <c r="G282" s="825"/>
      <c r="H282" s="825"/>
      <c r="I282" s="825"/>
      <c r="J282" s="825"/>
      <c r="K282" s="825"/>
      <c r="L282" s="825"/>
      <c r="M282" s="825"/>
      <c r="N282" s="825"/>
      <c r="O282" s="825"/>
      <c r="P282" s="825"/>
      <c r="Q282" s="825"/>
      <c r="T282" s="825"/>
      <c r="U282" s="825"/>
      <c r="V282" s="825"/>
      <c r="W282" s="825"/>
      <c r="X282" s="825"/>
      <c r="Y282" s="825"/>
    </row>
    <row r="283" spans="2:25" hidden="1" outlineLevel="1">
      <c r="B283" s="735"/>
      <c r="C283" s="740" t="s">
        <v>309</v>
      </c>
      <c r="D283" s="716">
        <f t="shared" si="47"/>
        <v>12</v>
      </c>
      <c r="E283" s="825"/>
      <c r="F283" s="825"/>
      <c r="G283" s="825"/>
      <c r="H283" s="825"/>
      <c r="I283" s="825"/>
      <c r="J283" s="825"/>
      <c r="K283" s="825"/>
      <c r="L283" s="825"/>
      <c r="M283" s="825"/>
      <c r="N283" s="825"/>
      <c r="O283" s="825"/>
      <c r="P283" s="825"/>
      <c r="Q283" s="825"/>
      <c r="T283" s="825"/>
      <c r="U283" s="825"/>
      <c r="V283" s="825"/>
      <c r="W283" s="825"/>
      <c r="X283" s="825"/>
      <c r="Y283" s="825"/>
    </row>
    <row r="284" spans="2:25" hidden="1" outlineLevel="1">
      <c r="B284" s="735"/>
      <c r="C284" s="740" t="s">
        <v>309</v>
      </c>
      <c r="D284" s="716">
        <f t="shared" si="47"/>
        <v>13</v>
      </c>
      <c r="E284" s="826"/>
      <c r="F284" s="826"/>
      <c r="G284" s="826"/>
      <c r="H284" s="826"/>
      <c r="I284" s="826"/>
      <c r="J284" s="826"/>
      <c r="K284" s="826"/>
      <c r="L284" s="826"/>
      <c r="M284" s="826"/>
      <c r="N284" s="826"/>
      <c r="O284" s="826"/>
      <c r="P284" s="826"/>
      <c r="Q284" s="826"/>
      <c r="T284" s="826"/>
      <c r="U284" s="826"/>
      <c r="V284" s="826"/>
      <c r="W284" s="826"/>
      <c r="X284" s="826"/>
      <c r="Y284" s="826"/>
    </row>
    <row r="285" spans="2:25" hidden="1" outlineLevel="1">
      <c r="B285" s="735"/>
      <c r="C285" s="740" t="s">
        <v>309</v>
      </c>
      <c r="D285" s="716">
        <f t="shared" si="47"/>
        <v>14</v>
      </c>
      <c r="E285" s="826"/>
      <c r="F285" s="826"/>
      <c r="G285" s="826"/>
      <c r="H285" s="826"/>
      <c r="I285" s="826"/>
      <c r="J285" s="826"/>
      <c r="K285" s="826"/>
      <c r="L285" s="826"/>
      <c r="M285" s="826"/>
      <c r="N285" s="826"/>
      <c r="O285" s="826"/>
      <c r="P285" s="826"/>
      <c r="Q285" s="826"/>
      <c r="T285" s="826"/>
      <c r="U285" s="826"/>
      <c r="V285" s="826"/>
      <c r="W285" s="826"/>
      <c r="X285" s="826"/>
      <c r="Y285" s="826"/>
    </row>
    <row r="286" spans="2:25" hidden="1" outlineLevel="1">
      <c r="B286" s="735"/>
      <c r="C286" s="740" t="s">
        <v>309</v>
      </c>
      <c r="D286" s="716">
        <f t="shared" si="47"/>
        <v>15</v>
      </c>
      <c r="E286" s="826"/>
      <c r="F286" s="826"/>
      <c r="G286" s="826"/>
      <c r="H286" s="826"/>
      <c r="I286" s="826"/>
      <c r="J286" s="826"/>
      <c r="K286" s="826"/>
      <c r="L286" s="826"/>
      <c r="M286" s="826"/>
      <c r="N286" s="826"/>
      <c r="O286" s="826"/>
      <c r="P286" s="826"/>
      <c r="Q286" s="826"/>
      <c r="T286" s="826"/>
      <c r="U286" s="826"/>
      <c r="V286" s="826"/>
      <c r="W286" s="826"/>
      <c r="X286" s="826"/>
      <c r="Y286" s="826"/>
    </row>
    <row r="287" spans="2:25" hidden="1" outlineLevel="1">
      <c r="B287" s="735"/>
      <c r="C287" s="740" t="s">
        <v>309</v>
      </c>
      <c r="D287" s="716">
        <f t="shared" si="47"/>
        <v>16</v>
      </c>
      <c r="E287" s="826"/>
      <c r="F287" s="826"/>
      <c r="G287" s="826"/>
      <c r="H287" s="826"/>
      <c r="I287" s="826"/>
      <c r="J287" s="826"/>
      <c r="K287" s="826"/>
      <c r="L287" s="826"/>
      <c r="M287" s="826"/>
      <c r="N287" s="826"/>
      <c r="O287" s="826"/>
      <c r="P287" s="826"/>
      <c r="Q287" s="826"/>
      <c r="T287" s="826"/>
      <c r="U287" s="826"/>
      <c r="V287" s="826"/>
      <c r="W287" s="826"/>
      <c r="X287" s="826"/>
      <c r="Y287" s="826"/>
    </row>
    <row r="288" spans="2:25" hidden="1" outlineLevel="1">
      <c r="B288" s="735"/>
      <c r="C288" s="740" t="s">
        <v>309</v>
      </c>
      <c r="D288" s="716">
        <f t="shared" si="47"/>
        <v>17</v>
      </c>
      <c r="E288" s="826"/>
      <c r="F288" s="826"/>
      <c r="G288" s="826"/>
      <c r="H288" s="826"/>
      <c r="I288" s="826"/>
      <c r="J288" s="826"/>
      <c r="K288" s="826"/>
      <c r="L288" s="826"/>
      <c r="M288" s="826"/>
      <c r="N288" s="826"/>
      <c r="O288" s="826"/>
      <c r="P288" s="826"/>
      <c r="Q288" s="826"/>
      <c r="T288" s="826"/>
      <c r="U288" s="826"/>
      <c r="V288" s="826"/>
      <c r="W288" s="826"/>
      <c r="X288" s="826"/>
      <c r="Y288" s="826"/>
    </row>
    <row r="289" spans="2:25" hidden="1" outlineLevel="1">
      <c r="B289" s="735"/>
      <c r="C289" s="740" t="s">
        <v>309</v>
      </c>
      <c r="D289" s="716">
        <f t="shared" si="47"/>
        <v>18</v>
      </c>
      <c r="E289" s="826"/>
      <c r="F289" s="826"/>
      <c r="G289" s="826"/>
      <c r="H289" s="826"/>
      <c r="I289" s="826"/>
      <c r="J289" s="826"/>
      <c r="K289" s="826"/>
      <c r="L289" s="826"/>
      <c r="M289" s="826"/>
      <c r="N289" s="826"/>
      <c r="O289" s="826"/>
      <c r="P289" s="826"/>
      <c r="Q289" s="826"/>
      <c r="T289" s="826"/>
      <c r="U289" s="826"/>
      <c r="V289" s="826"/>
      <c r="W289" s="826"/>
      <c r="X289" s="826"/>
      <c r="Y289" s="826"/>
    </row>
    <row r="290" spans="2:25" hidden="1" outlineLevel="1">
      <c r="B290" s="735"/>
      <c r="C290" s="740" t="s">
        <v>309</v>
      </c>
      <c r="D290" s="716">
        <f t="shared" si="47"/>
        <v>19</v>
      </c>
      <c r="E290" s="826"/>
      <c r="F290" s="826"/>
      <c r="G290" s="826"/>
      <c r="H290" s="826"/>
      <c r="I290" s="826"/>
      <c r="J290" s="826"/>
      <c r="K290" s="826"/>
      <c r="L290" s="826"/>
      <c r="M290" s="826"/>
      <c r="N290" s="826"/>
      <c r="O290" s="826"/>
      <c r="P290" s="826"/>
      <c r="Q290" s="826"/>
      <c r="T290" s="826"/>
      <c r="U290" s="826"/>
      <c r="V290" s="826"/>
      <c r="W290" s="826"/>
      <c r="X290" s="826"/>
      <c r="Y290" s="826"/>
    </row>
    <row r="291" spans="2:25" hidden="1" outlineLevel="1">
      <c r="B291" s="735"/>
      <c r="C291" s="740" t="s">
        <v>309</v>
      </c>
      <c r="D291" s="716">
        <f t="shared" si="47"/>
        <v>20</v>
      </c>
      <c r="E291" s="826"/>
      <c r="F291" s="826"/>
      <c r="G291" s="826"/>
      <c r="H291" s="826"/>
      <c r="I291" s="826"/>
      <c r="J291" s="826"/>
      <c r="K291" s="826"/>
      <c r="L291" s="826"/>
      <c r="M291" s="826"/>
      <c r="N291" s="826"/>
      <c r="O291" s="826"/>
      <c r="P291" s="826"/>
      <c r="Q291" s="826"/>
      <c r="T291" s="826"/>
      <c r="U291" s="826"/>
      <c r="V291" s="826"/>
      <c r="W291" s="826"/>
      <c r="X291" s="826"/>
      <c r="Y291" s="826"/>
    </row>
    <row r="292" spans="2:25" hidden="1" outlineLevel="1">
      <c r="B292" s="735"/>
      <c r="C292" s="740" t="s">
        <v>309</v>
      </c>
      <c r="D292" s="716">
        <f t="shared" si="47"/>
        <v>21</v>
      </c>
      <c r="E292" s="826"/>
      <c r="F292" s="826"/>
      <c r="G292" s="826"/>
      <c r="H292" s="826"/>
      <c r="I292" s="826"/>
      <c r="J292" s="826"/>
      <c r="K292" s="826"/>
      <c r="L292" s="826"/>
      <c r="M292" s="826"/>
      <c r="N292" s="826"/>
      <c r="O292" s="826"/>
      <c r="P292" s="826"/>
      <c r="Q292" s="826"/>
      <c r="T292" s="826"/>
      <c r="U292" s="826"/>
      <c r="V292" s="826"/>
      <c r="W292" s="826"/>
      <c r="X292" s="826"/>
      <c r="Y292" s="826"/>
    </row>
    <row r="293" spans="2:25" hidden="1" outlineLevel="1">
      <c r="B293" s="735"/>
      <c r="C293" s="740" t="s">
        <v>309</v>
      </c>
      <c r="D293" s="716">
        <f t="shared" si="47"/>
        <v>22</v>
      </c>
      <c r="E293" s="826"/>
      <c r="F293" s="826"/>
      <c r="G293" s="826"/>
      <c r="H293" s="826"/>
      <c r="I293" s="826"/>
      <c r="J293" s="826"/>
      <c r="K293" s="826"/>
      <c r="L293" s="826"/>
      <c r="M293" s="826"/>
      <c r="N293" s="826"/>
      <c r="O293" s="826"/>
      <c r="P293" s="826"/>
      <c r="Q293" s="826"/>
      <c r="T293" s="826"/>
      <c r="U293" s="826"/>
      <c r="V293" s="826"/>
      <c r="W293" s="826"/>
      <c r="X293" s="826"/>
      <c r="Y293" s="826"/>
    </row>
    <row r="294" spans="2:25" hidden="1" outlineLevel="1">
      <c r="B294" s="735"/>
      <c r="C294" s="740" t="s">
        <v>309</v>
      </c>
      <c r="D294" s="716">
        <f t="shared" si="47"/>
        <v>23</v>
      </c>
      <c r="E294" s="826"/>
      <c r="F294" s="826"/>
      <c r="G294" s="826"/>
      <c r="H294" s="826"/>
      <c r="I294" s="826"/>
      <c r="J294" s="826"/>
      <c r="K294" s="826"/>
      <c r="L294" s="826"/>
      <c r="M294" s="826"/>
      <c r="N294" s="826"/>
      <c r="O294" s="826"/>
      <c r="P294" s="826"/>
      <c r="Q294" s="826"/>
      <c r="T294" s="826"/>
      <c r="U294" s="826"/>
      <c r="V294" s="826"/>
      <c r="W294" s="826"/>
      <c r="X294" s="826"/>
      <c r="Y294" s="826"/>
    </row>
    <row r="295" spans="2:25" hidden="1" outlineLevel="1">
      <c r="B295" s="735"/>
      <c r="C295" s="740" t="s">
        <v>309</v>
      </c>
      <c r="D295" s="716">
        <f t="shared" si="47"/>
        <v>24</v>
      </c>
      <c r="E295" s="826"/>
      <c r="F295" s="826"/>
      <c r="G295" s="826"/>
      <c r="H295" s="826"/>
      <c r="I295" s="826"/>
      <c r="J295" s="826"/>
      <c r="K295" s="826"/>
      <c r="L295" s="826"/>
      <c r="M295" s="826"/>
      <c r="N295" s="826"/>
      <c r="O295" s="826"/>
      <c r="P295" s="826"/>
      <c r="Q295" s="826"/>
      <c r="T295" s="826"/>
      <c r="U295" s="826"/>
      <c r="V295" s="826"/>
      <c r="W295" s="826"/>
      <c r="X295" s="826"/>
      <c r="Y295" s="826"/>
    </row>
    <row r="296" spans="2:25" hidden="1" outlineLevel="1">
      <c r="B296" s="735" t="s">
        <v>540</v>
      </c>
      <c r="E296" s="830"/>
      <c r="F296" s="830"/>
      <c r="G296" s="830"/>
      <c r="H296" s="830"/>
      <c r="I296" s="830"/>
      <c r="J296" s="830"/>
      <c r="K296" s="830"/>
      <c r="L296" s="830"/>
      <c r="M296" s="830"/>
      <c r="N296" s="830"/>
      <c r="O296" s="830"/>
      <c r="P296" s="830"/>
      <c r="Q296" s="830"/>
      <c r="T296" s="962"/>
      <c r="U296" s="962"/>
      <c r="V296" s="962"/>
      <c r="W296" s="962"/>
      <c r="X296" s="962"/>
      <c r="Y296" s="962"/>
    </row>
    <row r="297" spans="2:25" outlineLevel="1">
      <c r="T297" s="777"/>
      <c r="U297" s="777"/>
      <c r="V297" s="777"/>
      <c r="W297" s="777"/>
      <c r="X297" s="777"/>
      <c r="Y297" s="777"/>
    </row>
    <row r="298" spans="2:25" hidden="1" outlineLevel="1">
      <c r="B298" s="803" t="s">
        <v>578</v>
      </c>
      <c r="D298" s="749"/>
      <c r="E298" s="750"/>
      <c r="F298" s="750"/>
      <c r="G298" s="750"/>
      <c r="H298" s="750"/>
      <c r="I298" s="750"/>
      <c r="J298" s="750"/>
      <c r="K298" s="750"/>
      <c r="L298" s="750"/>
      <c r="M298" s="750"/>
      <c r="N298" s="750"/>
      <c r="O298" s="750"/>
      <c r="P298" s="750"/>
      <c r="Q298" s="750"/>
      <c r="T298" s="953"/>
      <c r="U298" s="953"/>
      <c r="V298" s="953"/>
      <c r="W298" s="953"/>
      <c r="X298" s="953"/>
      <c r="Y298" s="953"/>
    </row>
    <row r="299" spans="2:25" ht="16.5" hidden="1" customHeight="1" outlineLevel="1">
      <c r="B299" s="735" t="s">
        <v>487</v>
      </c>
      <c r="C299" s="760"/>
      <c r="D299" s="759"/>
      <c r="E299" s="801" t="s">
        <v>545</v>
      </c>
      <c r="F299" s="801" t="s">
        <v>545</v>
      </c>
      <c r="G299" s="801" t="s">
        <v>545</v>
      </c>
      <c r="H299" s="801" t="s">
        <v>545</v>
      </c>
      <c r="I299" s="801" t="s">
        <v>545</v>
      </c>
      <c r="J299" s="801" t="s">
        <v>545</v>
      </c>
      <c r="K299" s="801" t="s">
        <v>545</v>
      </c>
      <c r="L299" s="801" t="s">
        <v>545</v>
      </c>
      <c r="M299" s="801" t="s">
        <v>545</v>
      </c>
      <c r="N299" s="801" t="s">
        <v>545</v>
      </c>
      <c r="O299" s="801" t="s">
        <v>545</v>
      </c>
      <c r="P299" s="801" t="s">
        <v>545</v>
      </c>
      <c r="Q299" s="801" t="s">
        <v>545</v>
      </c>
      <c r="T299" s="801" t="s">
        <v>545</v>
      </c>
      <c r="U299" s="801" t="s">
        <v>545</v>
      </c>
      <c r="V299" s="801" t="s">
        <v>545</v>
      </c>
      <c r="W299" s="801" t="s">
        <v>545</v>
      </c>
      <c r="X299" s="801" t="s">
        <v>545</v>
      </c>
      <c r="Y299" s="801" t="s">
        <v>545</v>
      </c>
    </row>
    <row r="300" spans="2:25" hidden="1" outlineLevel="1">
      <c r="B300" s="735" t="s">
        <v>528</v>
      </c>
      <c r="D300" s="813" t="s">
        <v>567</v>
      </c>
      <c r="E300" s="829">
        <f>+'[6]입력 시트(0124)'!E398</f>
        <v>0</v>
      </c>
      <c r="F300" s="829">
        <f>+'[6]입력 시트(0124)'!F398</f>
        <v>0</v>
      </c>
      <c r="G300" s="829">
        <f>+'[6]입력 시트(0124)'!G398</f>
        <v>0</v>
      </c>
      <c r="H300" s="829">
        <f>+'[6]입력 시트(0124)'!H398</f>
        <v>0</v>
      </c>
      <c r="I300" s="829">
        <f>+'[6]입력 시트(0124)'!I398</f>
        <v>0</v>
      </c>
      <c r="J300" s="829" t="e">
        <f>+'[6]입력 시트(0124)'!J398</f>
        <v>#REF!</v>
      </c>
      <c r="K300" s="829">
        <f>+'[6]입력 시트(0124)'!G398</f>
        <v>0</v>
      </c>
      <c r="L300" s="829">
        <f>+'[6]입력 시트(0124)'!H398</f>
        <v>0</v>
      </c>
      <c r="M300" s="829">
        <f>+'[6]입력 시트(0124)'!I398</f>
        <v>0</v>
      </c>
      <c r="N300" s="829" t="e">
        <f>+'[6]입력 시트(0124)'!N398</f>
        <v>#REF!</v>
      </c>
      <c r="O300" s="829" t="e">
        <f>+'[6]입력 시트(0124)'!O398</f>
        <v>#REF!</v>
      </c>
      <c r="P300" s="829" t="e">
        <f>+'[6]입력 시트(0124)'!P398</f>
        <v>#REF!</v>
      </c>
      <c r="Q300" s="829" t="e">
        <f>+'[6]입력 시트(0124)'!Q398</f>
        <v>#REF!</v>
      </c>
      <c r="T300" s="829" t="e">
        <f>+'[6]입력 시트(0124)'!T398</f>
        <v>#REF!</v>
      </c>
      <c r="U300" s="829" t="e">
        <f>+'[6]입력 시트(0124)'!U398</f>
        <v>#REF!</v>
      </c>
      <c r="V300" s="829" t="e">
        <f>+'[6]입력 시트(0124)'!V398</f>
        <v>#REF!</v>
      </c>
      <c r="W300" s="829" t="e">
        <f>+'[6]입력 시트(0124)'!W398</f>
        <v>#REF!</v>
      </c>
      <c r="X300" s="829" t="e">
        <f>+'[6]입력 시트(0124)'!X398</f>
        <v>#REF!</v>
      </c>
      <c r="Y300" s="829" t="e">
        <f>+'[6]입력 시트(0124)'!Y398</f>
        <v>#REF!</v>
      </c>
    </row>
    <row r="301" spans="2:25" ht="16.5" hidden="1" customHeight="1" outlineLevel="1">
      <c r="B301" s="735" t="s">
        <v>542</v>
      </c>
      <c r="D301" s="721" t="s">
        <v>533</v>
      </c>
      <c r="E301" s="822">
        <v>0</v>
      </c>
      <c r="F301" s="822">
        <v>0</v>
      </c>
      <c r="G301" s="822">
        <v>0</v>
      </c>
      <c r="H301" s="822">
        <v>0</v>
      </c>
      <c r="I301" s="822">
        <v>0</v>
      </c>
      <c r="J301" s="822">
        <v>0</v>
      </c>
      <c r="K301" s="822">
        <v>0</v>
      </c>
      <c r="L301" s="822">
        <v>0</v>
      </c>
      <c r="M301" s="822">
        <v>0</v>
      </c>
      <c r="N301" s="822">
        <v>0</v>
      </c>
      <c r="O301" s="822">
        <v>0</v>
      </c>
      <c r="P301" s="822">
        <v>0</v>
      </c>
      <c r="Q301" s="822">
        <v>0</v>
      </c>
      <c r="T301" s="822">
        <v>0</v>
      </c>
      <c r="U301" s="822">
        <v>0</v>
      </c>
      <c r="V301" s="822">
        <v>0</v>
      </c>
      <c r="W301" s="822">
        <v>0</v>
      </c>
      <c r="X301" s="822">
        <v>0</v>
      </c>
      <c r="Y301" s="822">
        <v>0</v>
      </c>
    </row>
    <row r="302" spans="2:25" ht="16.5" hidden="1" customHeight="1" outlineLevel="1">
      <c r="B302" s="735" t="s">
        <v>534</v>
      </c>
      <c r="D302" s="721" t="s">
        <v>301</v>
      </c>
      <c r="E302" s="823"/>
      <c r="F302" s="823"/>
      <c r="G302" s="823"/>
      <c r="H302" s="823"/>
      <c r="I302" s="823"/>
      <c r="J302" s="823"/>
      <c r="K302" s="823"/>
      <c r="L302" s="823"/>
      <c r="M302" s="823"/>
      <c r="N302" s="823"/>
      <c r="O302" s="823"/>
      <c r="P302" s="823"/>
      <c r="Q302" s="823"/>
      <c r="T302" s="823"/>
      <c r="U302" s="823"/>
      <c r="V302" s="823"/>
      <c r="W302" s="823"/>
      <c r="X302" s="823"/>
      <c r="Y302" s="823"/>
    </row>
    <row r="303" spans="2:25" ht="16.5" hidden="1" customHeight="1" outlineLevel="1">
      <c r="B303" s="735" t="s">
        <v>536</v>
      </c>
      <c r="D303" s="721" t="s">
        <v>309</v>
      </c>
      <c r="E303" s="824"/>
      <c r="F303" s="824"/>
      <c r="G303" s="824"/>
      <c r="H303" s="824"/>
      <c r="I303" s="824"/>
      <c r="J303" s="824"/>
      <c r="K303" s="824"/>
      <c r="L303" s="824"/>
      <c r="M303" s="824"/>
      <c r="N303" s="824"/>
      <c r="O303" s="824"/>
      <c r="P303" s="824"/>
      <c r="Q303" s="824"/>
      <c r="T303" s="824"/>
      <c r="U303" s="824"/>
      <c r="V303" s="824"/>
      <c r="W303" s="824"/>
      <c r="X303" s="824"/>
      <c r="Y303" s="824"/>
    </row>
    <row r="304" spans="2:25" hidden="1" outlineLevel="1">
      <c r="B304" s="716" t="s">
        <v>568</v>
      </c>
      <c r="C304" s="740" t="s">
        <v>569</v>
      </c>
      <c r="D304" s="716">
        <v>1</v>
      </c>
      <c r="E304" s="824">
        <f>+'[6]입력 시트(0124)'!E402</f>
        <v>0</v>
      </c>
      <c r="F304" s="824">
        <f>+'[6]입력 시트(0124)'!F402</f>
        <v>0</v>
      </c>
      <c r="G304" s="824">
        <f>+'[6]입력 시트(0124)'!G402</f>
        <v>0</v>
      </c>
      <c r="H304" s="824">
        <f>+'[6]입력 시트(0124)'!H402</f>
        <v>0</v>
      </c>
      <c r="I304" s="824">
        <f>+'[6]입력 시트(0124)'!I402</f>
        <v>0</v>
      </c>
      <c r="J304" s="824" t="e">
        <f>+'[6]입력 시트(0124)'!J402</f>
        <v>#REF!</v>
      </c>
      <c r="K304" s="824">
        <f>+'[6]입력 시트(0124)'!G402</f>
        <v>0</v>
      </c>
      <c r="L304" s="824">
        <f>+'[6]입력 시트(0124)'!H402</f>
        <v>0</v>
      </c>
      <c r="M304" s="824">
        <f>+'[6]입력 시트(0124)'!I402</f>
        <v>0</v>
      </c>
      <c r="N304" s="824" t="e">
        <f>+'[6]입력 시트(0124)'!N402</f>
        <v>#REF!</v>
      </c>
      <c r="O304" s="824" t="e">
        <f>+'[6]입력 시트(0124)'!O402</f>
        <v>#REF!</v>
      </c>
      <c r="P304" s="824" t="e">
        <f>+'[6]입력 시트(0124)'!P402</f>
        <v>#REF!</v>
      </c>
      <c r="Q304" s="824" t="e">
        <f>+'[6]입력 시트(0124)'!Q402</f>
        <v>#REF!</v>
      </c>
      <c r="T304" s="824" t="e">
        <f>+'[6]입력 시트(0124)'!T402</f>
        <v>#REF!</v>
      </c>
      <c r="U304" s="824" t="e">
        <f>+'[6]입력 시트(0124)'!U402</f>
        <v>#REF!</v>
      </c>
      <c r="V304" s="824" t="e">
        <f>+'[6]입력 시트(0124)'!V402</f>
        <v>#REF!</v>
      </c>
      <c r="W304" s="824" t="e">
        <f>+'[6]입력 시트(0124)'!W402</f>
        <v>#REF!</v>
      </c>
      <c r="X304" s="824" t="e">
        <f>+'[6]입력 시트(0124)'!X402</f>
        <v>#REF!</v>
      </c>
      <c r="Y304" s="824" t="e">
        <f>+'[6]입력 시트(0124)'!Y402</f>
        <v>#REF!</v>
      </c>
    </row>
    <row r="305" spans="2:25" hidden="1" outlineLevel="1">
      <c r="B305" s="735"/>
      <c r="C305" s="740" t="s">
        <v>309</v>
      </c>
      <c r="D305" s="716">
        <f>+D304+1</f>
        <v>2</v>
      </c>
      <c r="E305" s="824">
        <f>+'[6]입력 시트(0124)'!E403</f>
        <v>0</v>
      </c>
      <c r="F305" s="824">
        <f>+'[6]입력 시트(0124)'!F403</f>
        <v>0</v>
      </c>
      <c r="G305" s="824">
        <f>+'[6]입력 시트(0124)'!G403</f>
        <v>0</v>
      </c>
      <c r="H305" s="824">
        <f>+'[6]입력 시트(0124)'!H403</f>
        <v>0</v>
      </c>
      <c r="I305" s="824">
        <f>+'[6]입력 시트(0124)'!I403</f>
        <v>0</v>
      </c>
      <c r="J305" s="824" t="e">
        <f>+'[6]입력 시트(0124)'!J403</f>
        <v>#REF!</v>
      </c>
      <c r="K305" s="824">
        <f>+'[6]입력 시트(0124)'!G403</f>
        <v>0</v>
      </c>
      <c r="L305" s="824">
        <f>+'[6]입력 시트(0124)'!H403</f>
        <v>0</v>
      </c>
      <c r="M305" s="824">
        <f>+'[6]입력 시트(0124)'!I403</f>
        <v>0</v>
      </c>
      <c r="N305" s="824" t="e">
        <f>+'[6]입력 시트(0124)'!N403</f>
        <v>#REF!</v>
      </c>
      <c r="O305" s="824" t="e">
        <f>+'[6]입력 시트(0124)'!O403</f>
        <v>#REF!</v>
      </c>
      <c r="P305" s="824" t="e">
        <f>+'[6]입력 시트(0124)'!P403</f>
        <v>#REF!</v>
      </c>
      <c r="Q305" s="824" t="e">
        <f>+'[6]입력 시트(0124)'!Q403</f>
        <v>#REF!</v>
      </c>
      <c r="T305" s="824" t="e">
        <f>+'[6]입력 시트(0124)'!T403</f>
        <v>#REF!</v>
      </c>
      <c r="U305" s="824" t="e">
        <f>+'[6]입력 시트(0124)'!U403</f>
        <v>#REF!</v>
      </c>
      <c r="V305" s="824" t="e">
        <f>+'[6]입력 시트(0124)'!V403</f>
        <v>#REF!</v>
      </c>
      <c r="W305" s="824" t="e">
        <f>+'[6]입력 시트(0124)'!W403</f>
        <v>#REF!</v>
      </c>
      <c r="X305" s="824" t="e">
        <f>+'[6]입력 시트(0124)'!X403</f>
        <v>#REF!</v>
      </c>
      <c r="Y305" s="824" t="e">
        <f>+'[6]입력 시트(0124)'!Y403</f>
        <v>#REF!</v>
      </c>
    </row>
    <row r="306" spans="2:25" hidden="1" outlineLevel="1">
      <c r="B306" s="735"/>
      <c r="C306" s="740" t="s">
        <v>309</v>
      </c>
      <c r="D306" s="716">
        <f t="shared" ref="D306:D327" si="48">+D305+1</f>
        <v>3</v>
      </c>
      <c r="E306" s="824">
        <f>+'[6]입력 시트(0124)'!E404</f>
        <v>0</v>
      </c>
      <c r="F306" s="824">
        <f>+'[6]입력 시트(0124)'!F404</f>
        <v>0</v>
      </c>
      <c r="G306" s="824">
        <f>+'[6]입력 시트(0124)'!G404</f>
        <v>0</v>
      </c>
      <c r="H306" s="824">
        <f>+'[6]입력 시트(0124)'!H404</f>
        <v>0</v>
      </c>
      <c r="I306" s="824">
        <f>+'[6]입력 시트(0124)'!I404</f>
        <v>0</v>
      </c>
      <c r="J306" s="824" t="e">
        <f>+'[6]입력 시트(0124)'!J404</f>
        <v>#REF!</v>
      </c>
      <c r="K306" s="824">
        <f>+'[6]입력 시트(0124)'!G404</f>
        <v>0</v>
      </c>
      <c r="L306" s="824">
        <f>+'[6]입력 시트(0124)'!H404</f>
        <v>0</v>
      </c>
      <c r="M306" s="824">
        <f>+'[6]입력 시트(0124)'!I404</f>
        <v>0</v>
      </c>
      <c r="N306" s="824" t="e">
        <f>+'[6]입력 시트(0124)'!N404</f>
        <v>#REF!</v>
      </c>
      <c r="O306" s="824" t="e">
        <f>+'[6]입력 시트(0124)'!O404</f>
        <v>#REF!</v>
      </c>
      <c r="P306" s="824" t="e">
        <f>+'[6]입력 시트(0124)'!P404</f>
        <v>#REF!</v>
      </c>
      <c r="Q306" s="824" t="e">
        <f>+'[6]입력 시트(0124)'!Q404</f>
        <v>#REF!</v>
      </c>
      <c r="T306" s="824" t="e">
        <f>+'[6]입력 시트(0124)'!T404</f>
        <v>#REF!</v>
      </c>
      <c r="U306" s="824" t="e">
        <f>+'[6]입력 시트(0124)'!U404</f>
        <v>#REF!</v>
      </c>
      <c r="V306" s="824" t="e">
        <f>+'[6]입력 시트(0124)'!V404</f>
        <v>#REF!</v>
      </c>
      <c r="W306" s="824" t="e">
        <f>+'[6]입력 시트(0124)'!W404</f>
        <v>#REF!</v>
      </c>
      <c r="X306" s="824" t="e">
        <f>+'[6]입력 시트(0124)'!X404</f>
        <v>#REF!</v>
      </c>
      <c r="Y306" s="824" t="e">
        <f>+'[6]입력 시트(0124)'!Y404</f>
        <v>#REF!</v>
      </c>
    </row>
    <row r="307" spans="2:25" hidden="1" outlineLevel="1">
      <c r="B307" s="735"/>
      <c r="C307" s="740" t="s">
        <v>309</v>
      </c>
      <c r="D307" s="716">
        <f t="shared" si="48"/>
        <v>4</v>
      </c>
      <c r="E307" s="824">
        <f>+'[6]입력 시트(0124)'!E405</f>
        <v>0</v>
      </c>
      <c r="F307" s="824">
        <f>+'[6]입력 시트(0124)'!F405</f>
        <v>0</v>
      </c>
      <c r="G307" s="824">
        <f>+'[6]입력 시트(0124)'!G405</f>
        <v>0</v>
      </c>
      <c r="H307" s="824">
        <f>+'[6]입력 시트(0124)'!H405</f>
        <v>0</v>
      </c>
      <c r="I307" s="824">
        <f>+'[6]입력 시트(0124)'!I405</f>
        <v>0</v>
      </c>
      <c r="J307" s="824" t="e">
        <f>+'[6]입력 시트(0124)'!J405</f>
        <v>#REF!</v>
      </c>
      <c r="K307" s="824">
        <f>+'[6]입력 시트(0124)'!G405</f>
        <v>0</v>
      </c>
      <c r="L307" s="824">
        <f>+'[6]입력 시트(0124)'!H405</f>
        <v>0</v>
      </c>
      <c r="M307" s="824">
        <f>+'[6]입력 시트(0124)'!I405</f>
        <v>0</v>
      </c>
      <c r="N307" s="824" t="e">
        <f>+'[6]입력 시트(0124)'!N405</f>
        <v>#REF!</v>
      </c>
      <c r="O307" s="824" t="e">
        <f>+'[6]입력 시트(0124)'!O405</f>
        <v>#REF!</v>
      </c>
      <c r="P307" s="824" t="e">
        <f>+'[6]입력 시트(0124)'!P405</f>
        <v>#REF!</v>
      </c>
      <c r="Q307" s="824" t="e">
        <f>+'[6]입력 시트(0124)'!Q405</f>
        <v>#REF!</v>
      </c>
      <c r="T307" s="824" t="e">
        <f>+'[6]입력 시트(0124)'!T405</f>
        <v>#REF!</v>
      </c>
      <c r="U307" s="824" t="e">
        <f>+'[6]입력 시트(0124)'!U405</f>
        <v>#REF!</v>
      </c>
      <c r="V307" s="824" t="e">
        <f>+'[6]입력 시트(0124)'!V405</f>
        <v>#REF!</v>
      </c>
      <c r="W307" s="824" t="e">
        <f>+'[6]입력 시트(0124)'!W405</f>
        <v>#REF!</v>
      </c>
      <c r="X307" s="824" t="e">
        <f>+'[6]입력 시트(0124)'!X405</f>
        <v>#REF!</v>
      </c>
      <c r="Y307" s="824" t="e">
        <f>+'[6]입력 시트(0124)'!Y405</f>
        <v>#REF!</v>
      </c>
    </row>
    <row r="308" spans="2:25" hidden="1" outlineLevel="1">
      <c r="B308" s="735"/>
      <c r="C308" s="740" t="s">
        <v>309</v>
      </c>
      <c r="D308" s="716">
        <f t="shared" si="48"/>
        <v>5</v>
      </c>
      <c r="E308" s="824">
        <f>+'[6]입력 시트(0124)'!E406</f>
        <v>0</v>
      </c>
      <c r="F308" s="824">
        <f>+'[6]입력 시트(0124)'!F406</f>
        <v>0</v>
      </c>
      <c r="G308" s="824">
        <f>+'[6]입력 시트(0124)'!G406</f>
        <v>0</v>
      </c>
      <c r="H308" s="824">
        <f>+'[6]입력 시트(0124)'!H406</f>
        <v>0</v>
      </c>
      <c r="I308" s="824">
        <f>+'[6]입력 시트(0124)'!I406</f>
        <v>0</v>
      </c>
      <c r="J308" s="824" t="e">
        <f>+'[6]입력 시트(0124)'!J406</f>
        <v>#REF!</v>
      </c>
      <c r="K308" s="824">
        <f>+'[6]입력 시트(0124)'!G406</f>
        <v>0</v>
      </c>
      <c r="L308" s="824">
        <f>+'[6]입력 시트(0124)'!H406</f>
        <v>0</v>
      </c>
      <c r="M308" s="824">
        <f>+'[6]입력 시트(0124)'!I406</f>
        <v>0</v>
      </c>
      <c r="N308" s="824" t="e">
        <f>+'[6]입력 시트(0124)'!N406</f>
        <v>#REF!</v>
      </c>
      <c r="O308" s="824" t="e">
        <f>+'[6]입력 시트(0124)'!O406</f>
        <v>#REF!</v>
      </c>
      <c r="P308" s="824" t="e">
        <f>+'[6]입력 시트(0124)'!P406</f>
        <v>#REF!</v>
      </c>
      <c r="Q308" s="824" t="e">
        <f>+'[6]입력 시트(0124)'!Q406</f>
        <v>#REF!</v>
      </c>
      <c r="T308" s="824" t="e">
        <f>+'[6]입력 시트(0124)'!T406</f>
        <v>#REF!</v>
      </c>
      <c r="U308" s="824" t="e">
        <f>+'[6]입력 시트(0124)'!U406</f>
        <v>#REF!</v>
      </c>
      <c r="V308" s="824" t="e">
        <f>+'[6]입력 시트(0124)'!V406</f>
        <v>#REF!</v>
      </c>
      <c r="W308" s="824" t="e">
        <f>+'[6]입력 시트(0124)'!W406</f>
        <v>#REF!</v>
      </c>
      <c r="X308" s="824" t="e">
        <f>+'[6]입력 시트(0124)'!X406</f>
        <v>#REF!</v>
      </c>
      <c r="Y308" s="824" t="e">
        <f>+'[6]입력 시트(0124)'!Y406</f>
        <v>#REF!</v>
      </c>
    </row>
    <row r="309" spans="2:25" hidden="1" outlineLevel="1">
      <c r="B309" s="735"/>
      <c r="C309" s="740" t="s">
        <v>309</v>
      </c>
      <c r="D309" s="716">
        <f t="shared" si="48"/>
        <v>6</v>
      </c>
      <c r="E309" s="824">
        <f>+'[6]입력 시트(0124)'!E407</f>
        <v>0</v>
      </c>
      <c r="F309" s="824">
        <f>+'[6]입력 시트(0124)'!F407</f>
        <v>0</v>
      </c>
      <c r="G309" s="824">
        <f>+'[6]입력 시트(0124)'!G407</f>
        <v>0</v>
      </c>
      <c r="H309" s="824">
        <f>+'[6]입력 시트(0124)'!H407</f>
        <v>0</v>
      </c>
      <c r="I309" s="824">
        <f>+'[6]입력 시트(0124)'!I407</f>
        <v>0</v>
      </c>
      <c r="J309" s="824" t="e">
        <f>+'[6]입력 시트(0124)'!J407</f>
        <v>#REF!</v>
      </c>
      <c r="K309" s="824">
        <f>+'[6]입력 시트(0124)'!G407</f>
        <v>0</v>
      </c>
      <c r="L309" s="824">
        <f>+'[6]입력 시트(0124)'!H407</f>
        <v>0</v>
      </c>
      <c r="M309" s="824">
        <f>+'[6]입력 시트(0124)'!I407</f>
        <v>0</v>
      </c>
      <c r="N309" s="824" t="e">
        <f>+'[6]입력 시트(0124)'!N407</f>
        <v>#REF!</v>
      </c>
      <c r="O309" s="824" t="e">
        <f>+'[6]입력 시트(0124)'!O407</f>
        <v>#REF!</v>
      </c>
      <c r="P309" s="824" t="e">
        <f>+'[6]입력 시트(0124)'!P407</f>
        <v>#REF!</v>
      </c>
      <c r="Q309" s="824" t="e">
        <f>+'[6]입력 시트(0124)'!Q407</f>
        <v>#REF!</v>
      </c>
      <c r="T309" s="824" t="e">
        <f>+'[6]입력 시트(0124)'!T407</f>
        <v>#REF!</v>
      </c>
      <c r="U309" s="824" t="e">
        <f>+'[6]입력 시트(0124)'!U407</f>
        <v>#REF!</v>
      </c>
      <c r="V309" s="824" t="e">
        <f>+'[6]입력 시트(0124)'!V407</f>
        <v>#REF!</v>
      </c>
      <c r="W309" s="824" t="e">
        <f>+'[6]입력 시트(0124)'!W407</f>
        <v>#REF!</v>
      </c>
      <c r="X309" s="824" t="e">
        <f>+'[6]입력 시트(0124)'!X407</f>
        <v>#REF!</v>
      </c>
      <c r="Y309" s="824" t="e">
        <f>+'[6]입력 시트(0124)'!Y407</f>
        <v>#REF!</v>
      </c>
    </row>
    <row r="310" spans="2:25" hidden="1" outlineLevel="1">
      <c r="B310" s="735"/>
      <c r="C310" s="740" t="s">
        <v>309</v>
      </c>
      <c r="D310" s="716">
        <f t="shared" si="48"/>
        <v>7</v>
      </c>
      <c r="E310" s="824">
        <f>+'[6]입력 시트(0124)'!E408</f>
        <v>0</v>
      </c>
      <c r="F310" s="824">
        <f>+'[6]입력 시트(0124)'!F408</f>
        <v>0</v>
      </c>
      <c r="G310" s="824">
        <f>+'[6]입력 시트(0124)'!G408</f>
        <v>0</v>
      </c>
      <c r="H310" s="824">
        <f>+'[6]입력 시트(0124)'!H408</f>
        <v>0</v>
      </c>
      <c r="I310" s="824">
        <f>+'[6]입력 시트(0124)'!I408</f>
        <v>0</v>
      </c>
      <c r="J310" s="824" t="e">
        <f>+'[6]입력 시트(0124)'!J408</f>
        <v>#REF!</v>
      </c>
      <c r="K310" s="824">
        <f>+'[6]입력 시트(0124)'!G408</f>
        <v>0</v>
      </c>
      <c r="L310" s="824">
        <f>+'[6]입력 시트(0124)'!H408</f>
        <v>0</v>
      </c>
      <c r="M310" s="824">
        <f>+'[6]입력 시트(0124)'!I408</f>
        <v>0</v>
      </c>
      <c r="N310" s="824" t="e">
        <f>+'[6]입력 시트(0124)'!N408</f>
        <v>#REF!</v>
      </c>
      <c r="O310" s="824" t="e">
        <f>+'[6]입력 시트(0124)'!O408</f>
        <v>#REF!</v>
      </c>
      <c r="P310" s="824" t="e">
        <f>+'[6]입력 시트(0124)'!P408</f>
        <v>#REF!</v>
      </c>
      <c r="Q310" s="824" t="e">
        <f>+'[6]입력 시트(0124)'!Q408</f>
        <v>#REF!</v>
      </c>
      <c r="T310" s="824" t="e">
        <f>+'[6]입력 시트(0124)'!T408</f>
        <v>#REF!</v>
      </c>
      <c r="U310" s="824" t="e">
        <f>+'[6]입력 시트(0124)'!U408</f>
        <v>#REF!</v>
      </c>
      <c r="V310" s="824" t="e">
        <f>+'[6]입력 시트(0124)'!V408</f>
        <v>#REF!</v>
      </c>
      <c r="W310" s="824" t="e">
        <f>+'[6]입력 시트(0124)'!W408</f>
        <v>#REF!</v>
      </c>
      <c r="X310" s="824" t="e">
        <f>+'[6]입력 시트(0124)'!X408</f>
        <v>#REF!</v>
      </c>
      <c r="Y310" s="824" t="e">
        <f>+'[6]입력 시트(0124)'!Y408</f>
        <v>#REF!</v>
      </c>
    </row>
    <row r="311" spans="2:25" hidden="1" outlineLevel="1">
      <c r="B311" s="735"/>
      <c r="C311" s="740" t="s">
        <v>309</v>
      </c>
      <c r="D311" s="716">
        <f t="shared" si="48"/>
        <v>8</v>
      </c>
      <c r="E311" s="824">
        <f>+'[6]입력 시트(0124)'!E409</f>
        <v>0</v>
      </c>
      <c r="F311" s="824">
        <f>+'[6]입력 시트(0124)'!F409</f>
        <v>0</v>
      </c>
      <c r="G311" s="824">
        <f>+'[6]입력 시트(0124)'!G409</f>
        <v>0</v>
      </c>
      <c r="H311" s="824">
        <f>+'[6]입력 시트(0124)'!H409</f>
        <v>0</v>
      </c>
      <c r="I311" s="824">
        <f>+'[6]입력 시트(0124)'!I409</f>
        <v>0</v>
      </c>
      <c r="J311" s="824" t="e">
        <f>+'[6]입력 시트(0124)'!J409</f>
        <v>#REF!</v>
      </c>
      <c r="K311" s="824">
        <f>+'[6]입력 시트(0124)'!G409</f>
        <v>0</v>
      </c>
      <c r="L311" s="824">
        <f>+'[6]입력 시트(0124)'!H409</f>
        <v>0</v>
      </c>
      <c r="M311" s="824">
        <f>+'[6]입력 시트(0124)'!I409</f>
        <v>0</v>
      </c>
      <c r="N311" s="824" t="e">
        <f>+'[6]입력 시트(0124)'!N409</f>
        <v>#REF!</v>
      </c>
      <c r="O311" s="824" t="e">
        <f>+'[6]입력 시트(0124)'!O409</f>
        <v>#REF!</v>
      </c>
      <c r="P311" s="824" t="e">
        <f>+'[6]입력 시트(0124)'!P409</f>
        <v>#REF!</v>
      </c>
      <c r="Q311" s="824" t="e">
        <f>+'[6]입력 시트(0124)'!Q409</f>
        <v>#REF!</v>
      </c>
      <c r="T311" s="824" t="e">
        <f>+'[6]입력 시트(0124)'!T409</f>
        <v>#REF!</v>
      </c>
      <c r="U311" s="824" t="e">
        <f>+'[6]입력 시트(0124)'!U409</f>
        <v>#REF!</v>
      </c>
      <c r="V311" s="824" t="e">
        <f>+'[6]입력 시트(0124)'!V409</f>
        <v>#REF!</v>
      </c>
      <c r="W311" s="824" t="e">
        <f>+'[6]입력 시트(0124)'!W409</f>
        <v>#REF!</v>
      </c>
      <c r="X311" s="824" t="e">
        <f>+'[6]입력 시트(0124)'!X409</f>
        <v>#REF!</v>
      </c>
      <c r="Y311" s="824" t="e">
        <f>+'[6]입력 시트(0124)'!Y409</f>
        <v>#REF!</v>
      </c>
    </row>
    <row r="312" spans="2:25" hidden="1" outlineLevel="1">
      <c r="B312" s="735"/>
      <c r="C312" s="740" t="s">
        <v>309</v>
      </c>
      <c r="D312" s="716">
        <f t="shared" si="48"/>
        <v>9</v>
      </c>
      <c r="E312" s="824">
        <f>+'[6]입력 시트(0124)'!E410</f>
        <v>0</v>
      </c>
      <c r="F312" s="824">
        <f>+'[6]입력 시트(0124)'!F410</f>
        <v>0</v>
      </c>
      <c r="G312" s="824">
        <f>+'[6]입력 시트(0124)'!G410</f>
        <v>0</v>
      </c>
      <c r="H312" s="824">
        <f>+'[6]입력 시트(0124)'!H410</f>
        <v>0</v>
      </c>
      <c r="I312" s="824">
        <f>+'[6]입력 시트(0124)'!I410</f>
        <v>0</v>
      </c>
      <c r="J312" s="824" t="e">
        <f>+'[6]입력 시트(0124)'!J410</f>
        <v>#REF!</v>
      </c>
      <c r="K312" s="824">
        <f>+'[6]입력 시트(0124)'!G410</f>
        <v>0</v>
      </c>
      <c r="L312" s="824">
        <f>+'[6]입력 시트(0124)'!H410</f>
        <v>0</v>
      </c>
      <c r="M312" s="824">
        <f>+'[6]입력 시트(0124)'!I410</f>
        <v>0</v>
      </c>
      <c r="N312" s="824" t="e">
        <f>+'[6]입력 시트(0124)'!N410</f>
        <v>#REF!</v>
      </c>
      <c r="O312" s="824" t="e">
        <f>+'[6]입력 시트(0124)'!O410</f>
        <v>#REF!</v>
      </c>
      <c r="P312" s="824" t="e">
        <f>+'[6]입력 시트(0124)'!P410</f>
        <v>#REF!</v>
      </c>
      <c r="Q312" s="824" t="e">
        <f>+'[6]입력 시트(0124)'!Q410</f>
        <v>#REF!</v>
      </c>
      <c r="T312" s="824" t="e">
        <f>+'[6]입력 시트(0124)'!T410</f>
        <v>#REF!</v>
      </c>
      <c r="U312" s="824" t="e">
        <f>+'[6]입력 시트(0124)'!U410</f>
        <v>#REF!</v>
      </c>
      <c r="V312" s="824" t="e">
        <f>+'[6]입력 시트(0124)'!V410</f>
        <v>#REF!</v>
      </c>
      <c r="W312" s="824" t="e">
        <f>+'[6]입력 시트(0124)'!W410</f>
        <v>#REF!</v>
      </c>
      <c r="X312" s="824" t="e">
        <f>+'[6]입력 시트(0124)'!X410</f>
        <v>#REF!</v>
      </c>
      <c r="Y312" s="824" t="e">
        <f>+'[6]입력 시트(0124)'!Y410</f>
        <v>#REF!</v>
      </c>
    </row>
    <row r="313" spans="2:25" hidden="1" outlineLevel="1">
      <c r="B313" s="735"/>
      <c r="C313" s="740" t="s">
        <v>309</v>
      </c>
      <c r="D313" s="716">
        <f t="shared" si="48"/>
        <v>10</v>
      </c>
      <c r="E313" s="824">
        <f>+'[6]입력 시트(0124)'!E411</f>
        <v>0</v>
      </c>
      <c r="F313" s="824">
        <f>+'[6]입력 시트(0124)'!F411</f>
        <v>0</v>
      </c>
      <c r="G313" s="824">
        <f>+'[6]입력 시트(0124)'!G411</f>
        <v>0</v>
      </c>
      <c r="H313" s="824">
        <f>+'[6]입력 시트(0124)'!H411</f>
        <v>0</v>
      </c>
      <c r="I313" s="824">
        <f>+'[6]입력 시트(0124)'!I411</f>
        <v>0</v>
      </c>
      <c r="J313" s="824" t="e">
        <f>+'[6]입력 시트(0124)'!J411</f>
        <v>#REF!</v>
      </c>
      <c r="K313" s="824">
        <f>+'[6]입력 시트(0124)'!G411</f>
        <v>0</v>
      </c>
      <c r="L313" s="824">
        <f>+'[6]입력 시트(0124)'!H411</f>
        <v>0</v>
      </c>
      <c r="M313" s="824">
        <f>+'[6]입력 시트(0124)'!I411</f>
        <v>0</v>
      </c>
      <c r="N313" s="824" t="e">
        <f>+'[6]입력 시트(0124)'!N411</f>
        <v>#REF!</v>
      </c>
      <c r="O313" s="824" t="e">
        <f>+'[6]입력 시트(0124)'!O411</f>
        <v>#REF!</v>
      </c>
      <c r="P313" s="824" t="e">
        <f>+'[6]입력 시트(0124)'!P411</f>
        <v>#REF!</v>
      </c>
      <c r="Q313" s="824" t="e">
        <f>+'[6]입력 시트(0124)'!Q411</f>
        <v>#REF!</v>
      </c>
      <c r="T313" s="824" t="e">
        <f>+'[6]입력 시트(0124)'!T411</f>
        <v>#REF!</v>
      </c>
      <c r="U313" s="824" t="e">
        <f>+'[6]입력 시트(0124)'!U411</f>
        <v>#REF!</v>
      </c>
      <c r="V313" s="824" t="e">
        <f>+'[6]입력 시트(0124)'!V411</f>
        <v>#REF!</v>
      </c>
      <c r="W313" s="824" t="e">
        <f>+'[6]입력 시트(0124)'!W411</f>
        <v>#REF!</v>
      </c>
      <c r="X313" s="824" t="e">
        <f>+'[6]입력 시트(0124)'!X411</f>
        <v>#REF!</v>
      </c>
      <c r="Y313" s="824" t="e">
        <f>+'[6]입력 시트(0124)'!Y411</f>
        <v>#REF!</v>
      </c>
    </row>
    <row r="314" spans="2:25" hidden="1" outlineLevel="1">
      <c r="B314" s="735"/>
      <c r="C314" s="740" t="s">
        <v>309</v>
      </c>
      <c r="D314" s="716">
        <f t="shared" si="48"/>
        <v>11</v>
      </c>
      <c r="E314" s="824">
        <f>+'[6]입력 시트(0124)'!E412</f>
        <v>0</v>
      </c>
      <c r="F314" s="824">
        <f>+'[6]입력 시트(0124)'!F412</f>
        <v>0</v>
      </c>
      <c r="G314" s="824">
        <f>+'[6]입력 시트(0124)'!G412</f>
        <v>0</v>
      </c>
      <c r="H314" s="824">
        <f>+'[6]입력 시트(0124)'!H412</f>
        <v>0</v>
      </c>
      <c r="I314" s="824">
        <f>+'[6]입력 시트(0124)'!I412</f>
        <v>0</v>
      </c>
      <c r="J314" s="824" t="e">
        <f>+'[6]입력 시트(0124)'!J412</f>
        <v>#REF!</v>
      </c>
      <c r="K314" s="824">
        <f>+'[6]입력 시트(0124)'!G412</f>
        <v>0</v>
      </c>
      <c r="L314" s="824">
        <f>+'[6]입력 시트(0124)'!H412</f>
        <v>0</v>
      </c>
      <c r="M314" s="824">
        <f>+'[6]입력 시트(0124)'!I412</f>
        <v>0</v>
      </c>
      <c r="N314" s="824" t="e">
        <f>+'[6]입력 시트(0124)'!N412</f>
        <v>#REF!</v>
      </c>
      <c r="O314" s="824" t="e">
        <f>+'[6]입력 시트(0124)'!O412</f>
        <v>#REF!</v>
      </c>
      <c r="P314" s="824" t="e">
        <f>+'[6]입력 시트(0124)'!P412</f>
        <v>#REF!</v>
      </c>
      <c r="Q314" s="824" t="e">
        <f>+'[6]입력 시트(0124)'!Q412</f>
        <v>#REF!</v>
      </c>
      <c r="T314" s="824" t="e">
        <f>+'[6]입력 시트(0124)'!T412</f>
        <v>#REF!</v>
      </c>
      <c r="U314" s="824" t="e">
        <f>+'[6]입력 시트(0124)'!U412</f>
        <v>#REF!</v>
      </c>
      <c r="V314" s="824" t="e">
        <f>+'[6]입력 시트(0124)'!V412</f>
        <v>#REF!</v>
      </c>
      <c r="W314" s="824" t="e">
        <f>+'[6]입력 시트(0124)'!W412</f>
        <v>#REF!</v>
      </c>
      <c r="X314" s="824" t="e">
        <f>+'[6]입력 시트(0124)'!X412</f>
        <v>#REF!</v>
      </c>
      <c r="Y314" s="824" t="e">
        <f>+'[6]입력 시트(0124)'!Y412</f>
        <v>#REF!</v>
      </c>
    </row>
    <row r="315" spans="2:25" hidden="1" outlineLevel="1">
      <c r="B315" s="735"/>
      <c r="C315" s="740" t="s">
        <v>309</v>
      </c>
      <c r="D315" s="716">
        <f t="shared" si="48"/>
        <v>12</v>
      </c>
      <c r="E315" s="824">
        <f>+'[6]입력 시트(0124)'!E413</f>
        <v>0</v>
      </c>
      <c r="F315" s="824">
        <f>+'[6]입력 시트(0124)'!F413</f>
        <v>0</v>
      </c>
      <c r="G315" s="824">
        <f>+'[6]입력 시트(0124)'!G413</f>
        <v>0</v>
      </c>
      <c r="H315" s="824">
        <f>+'[6]입력 시트(0124)'!H413</f>
        <v>0</v>
      </c>
      <c r="I315" s="824">
        <f>+'[6]입력 시트(0124)'!I413</f>
        <v>0</v>
      </c>
      <c r="J315" s="824" t="e">
        <f>+'[6]입력 시트(0124)'!J413</f>
        <v>#REF!</v>
      </c>
      <c r="K315" s="824">
        <f>+'[6]입력 시트(0124)'!G413</f>
        <v>0</v>
      </c>
      <c r="L315" s="824">
        <f>+'[6]입력 시트(0124)'!H413</f>
        <v>0</v>
      </c>
      <c r="M315" s="824">
        <f>+'[6]입력 시트(0124)'!I413</f>
        <v>0</v>
      </c>
      <c r="N315" s="824" t="e">
        <f>+'[6]입력 시트(0124)'!N413</f>
        <v>#REF!</v>
      </c>
      <c r="O315" s="824" t="e">
        <f>+'[6]입력 시트(0124)'!O413</f>
        <v>#REF!</v>
      </c>
      <c r="P315" s="824" t="e">
        <f>+'[6]입력 시트(0124)'!P413</f>
        <v>#REF!</v>
      </c>
      <c r="Q315" s="824" t="e">
        <f>+'[6]입력 시트(0124)'!Q413</f>
        <v>#REF!</v>
      </c>
      <c r="T315" s="824" t="e">
        <f>+'[6]입력 시트(0124)'!T413</f>
        <v>#REF!</v>
      </c>
      <c r="U315" s="824" t="e">
        <f>+'[6]입력 시트(0124)'!U413</f>
        <v>#REF!</v>
      </c>
      <c r="V315" s="824" t="e">
        <f>+'[6]입력 시트(0124)'!V413</f>
        <v>#REF!</v>
      </c>
      <c r="W315" s="824" t="e">
        <f>+'[6]입력 시트(0124)'!W413</f>
        <v>#REF!</v>
      </c>
      <c r="X315" s="824" t="e">
        <f>+'[6]입력 시트(0124)'!X413</f>
        <v>#REF!</v>
      </c>
      <c r="Y315" s="824" t="e">
        <f>+'[6]입력 시트(0124)'!Y413</f>
        <v>#REF!</v>
      </c>
    </row>
    <row r="316" spans="2:25" hidden="1" outlineLevel="1">
      <c r="B316" s="735"/>
      <c r="C316" s="740" t="s">
        <v>309</v>
      </c>
      <c r="D316" s="716">
        <f t="shared" si="48"/>
        <v>13</v>
      </c>
      <c r="E316" s="824">
        <f>+'[6]입력 시트(0124)'!E414</f>
        <v>0</v>
      </c>
      <c r="F316" s="824">
        <f>+'[6]입력 시트(0124)'!F414</f>
        <v>0</v>
      </c>
      <c r="G316" s="824">
        <f>+'[6]입력 시트(0124)'!G414</f>
        <v>0</v>
      </c>
      <c r="H316" s="824">
        <f>+'[6]입력 시트(0124)'!H414</f>
        <v>0</v>
      </c>
      <c r="I316" s="824">
        <f>+'[6]입력 시트(0124)'!I414</f>
        <v>0</v>
      </c>
      <c r="J316" s="824" t="e">
        <f>+'[6]입력 시트(0124)'!J414</f>
        <v>#REF!</v>
      </c>
      <c r="K316" s="824">
        <f>+'[6]입력 시트(0124)'!G414</f>
        <v>0</v>
      </c>
      <c r="L316" s="824">
        <f>+'[6]입력 시트(0124)'!H414</f>
        <v>0</v>
      </c>
      <c r="M316" s="824">
        <f>+'[6]입력 시트(0124)'!I414</f>
        <v>0</v>
      </c>
      <c r="N316" s="824" t="e">
        <f>+'[6]입력 시트(0124)'!N414</f>
        <v>#REF!</v>
      </c>
      <c r="O316" s="824" t="e">
        <f>+'[6]입력 시트(0124)'!O414</f>
        <v>#REF!</v>
      </c>
      <c r="P316" s="824" t="e">
        <f>+'[6]입력 시트(0124)'!P414</f>
        <v>#REF!</v>
      </c>
      <c r="Q316" s="824" t="e">
        <f>+'[6]입력 시트(0124)'!Q414</f>
        <v>#REF!</v>
      </c>
      <c r="T316" s="824" t="e">
        <f>+'[6]입력 시트(0124)'!T414</f>
        <v>#REF!</v>
      </c>
      <c r="U316" s="824" t="e">
        <f>+'[6]입력 시트(0124)'!U414</f>
        <v>#REF!</v>
      </c>
      <c r="V316" s="824" t="e">
        <f>+'[6]입력 시트(0124)'!V414</f>
        <v>#REF!</v>
      </c>
      <c r="W316" s="824" t="e">
        <f>+'[6]입력 시트(0124)'!W414</f>
        <v>#REF!</v>
      </c>
      <c r="X316" s="824" t="e">
        <f>+'[6]입력 시트(0124)'!X414</f>
        <v>#REF!</v>
      </c>
      <c r="Y316" s="824" t="e">
        <f>+'[6]입력 시트(0124)'!Y414</f>
        <v>#REF!</v>
      </c>
    </row>
    <row r="317" spans="2:25" hidden="1" outlineLevel="1">
      <c r="B317" s="735"/>
      <c r="C317" s="740" t="s">
        <v>309</v>
      </c>
      <c r="D317" s="716">
        <f t="shared" si="48"/>
        <v>14</v>
      </c>
      <c r="E317" s="824">
        <f>+'[6]입력 시트(0124)'!E415</f>
        <v>0</v>
      </c>
      <c r="F317" s="824">
        <f>+'[6]입력 시트(0124)'!F415</f>
        <v>0</v>
      </c>
      <c r="G317" s="824">
        <f>+'[6]입력 시트(0124)'!G415</f>
        <v>0</v>
      </c>
      <c r="H317" s="824">
        <f>+'[6]입력 시트(0124)'!H415</f>
        <v>0</v>
      </c>
      <c r="I317" s="824">
        <f>+'[6]입력 시트(0124)'!I415</f>
        <v>0</v>
      </c>
      <c r="J317" s="824" t="e">
        <f>+'[6]입력 시트(0124)'!J415</f>
        <v>#REF!</v>
      </c>
      <c r="K317" s="824">
        <f>+'[6]입력 시트(0124)'!G415</f>
        <v>0</v>
      </c>
      <c r="L317" s="824">
        <f>+'[6]입력 시트(0124)'!H415</f>
        <v>0</v>
      </c>
      <c r="M317" s="824">
        <f>+'[6]입력 시트(0124)'!I415</f>
        <v>0</v>
      </c>
      <c r="N317" s="824" t="e">
        <f>+'[6]입력 시트(0124)'!N415</f>
        <v>#REF!</v>
      </c>
      <c r="O317" s="824" t="e">
        <f>+'[6]입력 시트(0124)'!O415</f>
        <v>#REF!</v>
      </c>
      <c r="P317" s="824" t="e">
        <f>+'[6]입력 시트(0124)'!P415</f>
        <v>#REF!</v>
      </c>
      <c r="Q317" s="824" t="e">
        <f>+'[6]입력 시트(0124)'!Q415</f>
        <v>#REF!</v>
      </c>
      <c r="T317" s="824" t="e">
        <f>+'[6]입력 시트(0124)'!T415</f>
        <v>#REF!</v>
      </c>
      <c r="U317" s="824" t="e">
        <f>+'[6]입력 시트(0124)'!U415</f>
        <v>#REF!</v>
      </c>
      <c r="V317" s="824" t="e">
        <f>+'[6]입력 시트(0124)'!V415</f>
        <v>#REF!</v>
      </c>
      <c r="W317" s="824" t="e">
        <f>+'[6]입력 시트(0124)'!W415</f>
        <v>#REF!</v>
      </c>
      <c r="X317" s="824" t="e">
        <f>+'[6]입력 시트(0124)'!X415</f>
        <v>#REF!</v>
      </c>
      <c r="Y317" s="824" t="e">
        <f>+'[6]입력 시트(0124)'!Y415</f>
        <v>#REF!</v>
      </c>
    </row>
    <row r="318" spans="2:25" hidden="1" outlineLevel="1">
      <c r="B318" s="735"/>
      <c r="C318" s="740" t="s">
        <v>309</v>
      </c>
      <c r="D318" s="716">
        <f t="shared" si="48"/>
        <v>15</v>
      </c>
      <c r="E318" s="824">
        <f>+'[6]입력 시트(0124)'!E416</f>
        <v>0</v>
      </c>
      <c r="F318" s="824">
        <f>+'[6]입력 시트(0124)'!F416</f>
        <v>0</v>
      </c>
      <c r="G318" s="824">
        <f>+'[6]입력 시트(0124)'!G416</f>
        <v>0</v>
      </c>
      <c r="H318" s="824">
        <f>+'[6]입력 시트(0124)'!H416</f>
        <v>0</v>
      </c>
      <c r="I318" s="824">
        <f>+'[6]입력 시트(0124)'!I416</f>
        <v>0</v>
      </c>
      <c r="J318" s="824" t="e">
        <f>+'[6]입력 시트(0124)'!J416</f>
        <v>#REF!</v>
      </c>
      <c r="K318" s="824">
        <f>+'[6]입력 시트(0124)'!G416</f>
        <v>0</v>
      </c>
      <c r="L318" s="824">
        <f>+'[6]입력 시트(0124)'!H416</f>
        <v>0</v>
      </c>
      <c r="M318" s="824">
        <f>+'[6]입력 시트(0124)'!I416</f>
        <v>0</v>
      </c>
      <c r="N318" s="824" t="e">
        <f>+'[6]입력 시트(0124)'!N416</f>
        <v>#REF!</v>
      </c>
      <c r="O318" s="824" t="e">
        <f>+'[6]입력 시트(0124)'!O416</f>
        <v>#REF!</v>
      </c>
      <c r="P318" s="824" t="e">
        <f>+'[6]입력 시트(0124)'!P416</f>
        <v>#REF!</v>
      </c>
      <c r="Q318" s="824" t="e">
        <f>+'[6]입력 시트(0124)'!Q416</f>
        <v>#REF!</v>
      </c>
      <c r="T318" s="824" t="e">
        <f>+'[6]입력 시트(0124)'!T416</f>
        <v>#REF!</v>
      </c>
      <c r="U318" s="824" t="e">
        <f>+'[6]입력 시트(0124)'!U416</f>
        <v>#REF!</v>
      </c>
      <c r="V318" s="824" t="e">
        <f>+'[6]입력 시트(0124)'!V416</f>
        <v>#REF!</v>
      </c>
      <c r="W318" s="824" t="e">
        <f>+'[6]입력 시트(0124)'!W416</f>
        <v>#REF!</v>
      </c>
      <c r="X318" s="824" t="e">
        <f>+'[6]입력 시트(0124)'!X416</f>
        <v>#REF!</v>
      </c>
      <c r="Y318" s="824" t="e">
        <f>+'[6]입력 시트(0124)'!Y416</f>
        <v>#REF!</v>
      </c>
    </row>
    <row r="319" spans="2:25" hidden="1" outlineLevel="1">
      <c r="B319" s="735"/>
      <c r="C319" s="740" t="s">
        <v>309</v>
      </c>
      <c r="D319" s="716">
        <f t="shared" si="48"/>
        <v>16</v>
      </c>
      <c r="E319" s="824">
        <f>+'[6]입력 시트(0124)'!E417</f>
        <v>0</v>
      </c>
      <c r="F319" s="824">
        <f>+'[6]입력 시트(0124)'!F417</f>
        <v>0</v>
      </c>
      <c r="G319" s="824">
        <f>+'[6]입력 시트(0124)'!G417</f>
        <v>0</v>
      </c>
      <c r="H319" s="824">
        <f>+'[6]입력 시트(0124)'!H417</f>
        <v>0</v>
      </c>
      <c r="I319" s="824">
        <f>+'[6]입력 시트(0124)'!I417</f>
        <v>0</v>
      </c>
      <c r="J319" s="824" t="e">
        <f>+'[6]입력 시트(0124)'!J417</f>
        <v>#REF!</v>
      </c>
      <c r="K319" s="824">
        <f>+'[6]입력 시트(0124)'!G417</f>
        <v>0</v>
      </c>
      <c r="L319" s="824">
        <f>+'[6]입력 시트(0124)'!H417</f>
        <v>0</v>
      </c>
      <c r="M319" s="824">
        <f>+'[6]입력 시트(0124)'!I417</f>
        <v>0</v>
      </c>
      <c r="N319" s="824" t="e">
        <f>+'[6]입력 시트(0124)'!N417</f>
        <v>#REF!</v>
      </c>
      <c r="O319" s="824" t="e">
        <f>+'[6]입력 시트(0124)'!O417</f>
        <v>#REF!</v>
      </c>
      <c r="P319" s="824" t="e">
        <f>+'[6]입력 시트(0124)'!P417</f>
        <v>#REF!</v>
      </c>
      <c r="Q319" s="824" t="e">
        <f>+'[6]입력 시트(0124)'!Q417</f>
        <v>#REF!</v>
      </c>
      <c r="T319" s="824" t="e">
        <f>+'[6]입력 시트(0124)'!T417</f>
        <v>#REF!</v>
      </c>
      <c r="U319" s="824" t="e">
        <f>+'[6]입력 시트(0124)'!U417</f>
        <v>#REF!</v>
      </c>
      <c r="V319" s="824" t="e">
        <f>+'[6]입력 시트(0124)'!V417</f>
        <v>#REF!</v>
      </c>
      <c r="W319" s="824" t="e">
        <f>+'[6]입력 시트(0124)'!W417</f>
        <v>#REF!</v>
      </c>
      <c r="X319" s="824" t="e">
        <f>+'[6]입력 시트(0124)'!X417</f>
        <v>#REF!</v>
      </c>
      <c r="Y319" s="824" t="e">
        <f>+'[6]입력 시트(0124)'!Y417</f>
        <v>#REF!</v>
      </c>
    </row>
    <row r="320" spans="2:25" hidden="1" outlineLevel="1">
      <c r="B320" s="735"/>
      <c r="C320" s="740" t="s">
        <v>309</v>
      </c>
      <c r="D320" s="716">
        <f t="shared" si="48"/>
        <v>17</v>
      </c>
      <c r="E320" s="824">
        <f>+'[6]입력 시트(0124)'!E418</f>
        <v>0</v>
      </c>
      <c r="F320" s="824">
        <f>+'[6]입력 시트(0124)'!F418</f>
        <v>0</v>
      </c>
      <c r="G320" s="824">
        <f>+'[6]입력 시트(0124)'!G418</f>
        <v>0</v>
      </c>
      <c r="H320" s="824">
        <f>+'[6]입력 시트(0124)'!H418</f>
        <v>0</v>
      </c>
      <c r="I320" s="824">
        <f>+'[6]입력 시트(0124)'!I418</f>
        <v>0</v>
      </c>
      <c r="J320" s="824" t="e">
        <f>+'[6]입력 시트(0124)'!J418</f>
        <v>#REF!</v>
      </c>
      <c r="K320" s="824">
        <f>+'[6]입력 시트(0124)'!G418</f>
        <v>0</v>
      </c>
      <c r="L320" s="824">
        <f>+'[6]입력 시트(0124)'!H418</f>
        <v>0</v>
      </c>
      <c r="M320" s="824">
        <f>+'[6]입력 시트(0124)'!I418</f>
        <v>0</v>
      </c>
      <c r="N320" s="824" t="e">
        <f>+'[6]입력 시트(0124)'!N418</f>
        <v>#REF!</v>
      </c>
      <c r="O320" s="824" t="e">
        <f>+'[6]입력 시트(0124)'!O418</f>
        <v>#REF!</v>
      </c>
      <c r="P320" s="824" t="e">
        <f>+'[6]입력 시트(0124)'!P418</f>
        <v>#REF!</v>
      </c>
      <c r="Q320" s="824" t="e">
        <f>+'[6]입력 시트(0124)'!Q418</f>
        <v>#REF!</v>
      </c>
      <c r="T320" s="824" t="e">
        <f>+'[6]입력 시트(0124)'!T418</f>
        <v>#REF!</v>
      </c>
      <c r="U320" s="824" t="e">
        <f>+'[6]입력 시트(0124)'!U418</f>
        <v>#REF!</v>
      </c>
      <c r="V320" s="824" t="e">
        <f>+'[6]입력 시트(0124)'!V418</f>
        <v>#REF!</v>
      </c>
      <c r="W320" s="824" t="e">
        <f>+'[6]입력 시트(0124)'!W418</f>
        <v>#REF!</v>
      </c>
      <c r="X320" s="824" t="e">
        <f>+'[6]입력 시트(0124)'!X418</f>
        <v>#REF!</v>
      </c>
      <c r="Y320" s="824" t="e">
        <f>+'[6]입력 시트(0124)'!Y418</f>
        <v>#REF!</v>
      </c>
    </row>
    <row r="321" spans="2:25" hidden="1" outlineLevel="1">
      <c r="B321" s="735"/>
      <c r="C321" s="740" t="s">
        <v>309</v>
      </c>
      <c r="D321" s="716">
        <f t="shared" si="48"/>
        <v>18</v>
      </c>
      <c r="E321" s="824">
        <f>+'[6]입력 시트(0124)'!E419</f>
        <v>0</v>
      </c>
      <c r="F321" s="824">
        <f>+'[6]입력 시트(0124)'!F419</f>
        <v>0</v>
      </c>
      <c r="G321" s="824">
        <f>+'[6]입력 시트(0124)'!G419</f>
        <v>0</v>
      </c>
      <c r="H321" s="824">
        <f>+'[6]입력 시트(0124)'!H419</f>
        <v>0</v>
      </c>
      <c r="I321" s="824">
        <f>+'[6]입력 시트(0124)'!I419</f>
        <v>0</v>
      </c>
      <c r="J321" s="824" t="e">
        <f>+'[6]입력 시트(0124)'!J419</f>
        <v>#REF!</v>
      </c>
      <c r="K321" s="824">
        <f>+'[6]입력 시트(0124)'!G419</f>
        <v>0</v>
      </c>
      <c r="L321" s="824">
        <f>+'[6]입력 시트(0124)'!H419</f>
        <v>0</v>
      </c>
      <c r="M321" s="824">
        <f>+'[6]입력 시트(0124)'!I419</f>
        <v>0</v>
      </c>
      <c r="N321" s="824" t="e">
        <f>+'[6]입력 시트(0124)'!N419</f>
        <v>#REF!</v>
      </c>
      <c r="O321" s="824" t="e">
        <f>+'[6]입력 시트(0124)'!O419</f>
        <v>#REF!</v>
      </c>
      <c r="P321" s="824" t="e">
        <f>+'[6]입력 시트(0124)'!P419</f>
        <v>#REF!</v>
      </c>
      <c r="Q321" s="824" t="e">
        <f>+'[6]입력 시트(0124)'!Q419</f>
        <v>#REF!</v>
      </c>
      <c r="T321" s="824" t="e">
        <f>+'[6]입력 시트(0124)'!T419</f>
        <v>#REF!</v>
      </c>
      <c r="U321" s="824" t="e">
        <f>+'[6]입력 시트(0124)'!U419</f>
        <v>#REF!</v>
      </c>
      <c r="V321" s="824" t="e">
        <f>+'[6]입력 시트(0124)'!V419</f>
        <v>#REF!</v>
      </c>
      <c r="W321" s="824" t="e">
        <f>+'[6]입력 시트(0124)'!W419</f>
        <v>#REF!</v>
      </c>
      <c r="X321" s="824" t="e">
        <f>+'[6]입력 시트(0124)'!X419</f>
        <v>#REF!</v>
      </c>
      <c r="Y321" s="824" t="e">
        <f>+'[6]입력 시트(0124)'!Y419</f>
        <v>#REF!</v>
      </c>
    </row>
    <row r="322" spans="2:25" hidden="1" outlineLevel="1">
      <c r="B322" s="735"/>
      <c r="C322" s="740" t="s">
        <v>309</v>
      </c>
      <c r="D322" s="716">
        <f t="shared" si="48"/>
        <v>19</v>
      </c>
      <c r="E322" s="824">
        <f>+'[6]입력 시트(0124)'!E420</f>
        <v>0</v>
      </c>
      <c r="F322" s="824">
        <f>+'[6]입력 시트(0124)'!F420</f>
        <v>0</v>
      </c>
      <c r="G322" s="824">
        <f>+'[6]입력 시트(0124)'!G420</f>
        <v>0</v>
      </c>
      <c r="H322" s="824">
        <f>+'[6]입력 시트(0124)'!H420</f>
        <v>0</v>
      </c>
      <c r="I322" s="824">
        <f>+'[6]입력 시트(0124)'!I420</f>
        <v>0</v>
      </c>
      <c r="J322" s="824" t="e">
        <f>+'[6]입력 시트(0124)'!J420</f>
        <v>#REF!</v>
      </c>
      <c r="K322" s="824">
        <f>+'[6]입력 시트(0124)'!G420</f>
        <v>0</v>
      </c>
      <c r="L322" s="824">
        <f>+'[6]입력 시트(0124)'!H420</f>
        <v>0</v>
      </c>
      <c r="M322" s="824">
        <f>+'[6]입력 시트(0124)'!I420</f>
        <v>0</v>
      </c>
      <c r="N322" s="824" t="e">
        <f>+'[6]입력 시트(0124)'!N420</f>
        <v>#REF!</v>
      </c>
      <c r="O322" s="824" t="e">
        <f>+'[6]입력 시트(0124)'!O420</f>
        <v>#REF!</v>
      </c>
      <c r="P322" s="824" t="e">
        <f>+'[6]입력 시트(0124)'!P420</f>
        <v>#REF!</v>
      </c>
      <c r="Q322" s="824" t="e">
        <f>+'[6]입력 시트(0124)'!Q420</f>
        <v>#REF!</v>
      </c>
      <c r="T322" s="824" t="e">
        <f>+'[6]입력 시트(0124)'!T420</f>
        <v>#REF!</v>
      </c>
      <c r="U322" s="824" t="e">
        <f>+'[6]입력 시트(0124)'!U420</f>
        <v>#REF!</v>
      </c>
      <c r="V322" s="824" t="e">
        <f>+'[6]입력 시트(0124)'!V420</f>
        <v>#REF!</v>
      </c>
      <c r="W322" s="824" t="e">
        <f>+'[6]입력 시트(0124)'!W420</f>
        <v>#REF!</v>
      </c>
      <c r="X322" s="824" t="e">
        <f>+'[6]입력 시트(0124)'!X420</f>
        <v>#REF!</v>
      </c>
      <c r="Y322" s="824" t="e">
        <f>+'[6]입력 시트(0124)'!Y420</f>
        <v>#REF!</v>
      </c>
    </row>
    <row r="323" spans="2:25" hidden="1" outlineLevel="1">
      <c r="B323" s="735"/>
      <c r="C323" s="740" t="s">
        <v>309</v>
      </c>
      <c r="D323" s="716">
        <f t="shared" si="48"/>
        <v>20</v>
      </c>
      <c r="E323" s="824">
        <f>+'[6]입력 시트(0124)'!E421</f>
        <v>0</v>
      </c>
      <c r="F323" s="824">
        <f>+'[6]입력 시트(0124)'!F421</f>
        <v>0</v>
      </c>
      <c r="G323" s="824">
        <f>+'[6]입력 시트(0124)'!G421</f>
        <v>0</v>
      </c>
      <c r="H323" s="824">
        <f>+'[6]입력 시트(0124)'!H421</f>
        <v>0</v>
      </c>
      <c r="I323" s="824">
        <f>+'[6]입력 시트(0124)'!I421</f>
        <v>0</v>
      </c>
      <c r="J323" s="824" t="e">
        <f>+'[6]입력 시트(0124)'!J421</f>
        <v>#REF!</v>
      </c>
      <c r="K323" s="824">
        <f>+'[6]입력 시트(0124)'!G421</f>
        <v>0</v>
      </c>
      <c r="L323" s="824">
        <f>+'[6]입력 시트(0124)'!H421</f>
        <v>0</v>
      </c>
      <c r="M323" s="824">
        <f>+'[6]입력 시트(0124)'!I421</f>
        <v>0</v>
      </c>
      <c r="N323" s="824" t="e">
        <f>+'[6]입력 시트(0124)'!N421</f>
        <v>#REF!</v>
      </c>
      <c r="O323" s="824" t="e">
        <f>+'[6]입력 시트(0124)'!O421</f>
        <v>#REF!</v>
      </c>
      <c r="P323" s="824" t="e">
        <f>+'[6]입력 시트(0124)'!P421</f>
        <v>#REF!</v>
      </c>
      <c r="Q323" s="824" t="e">
        <f>+'[6]입력 시트(0124)'!Q421</f>
        <v>#REF!</v>
      </c>
      <c r="T323" s="824" t="e">
        <f>+'[6]입력 시트(0124)'!T421</f>
        <v>#REF!</v>
      </c>
      <c r="U323" s="824" t="e">
        <f>+'[6]입력 시트(0124)'!U421</f>
        <v>#REF!</v>
      </c>
      <c r="V323" s="824" t="e">
        <f>+'[6]입력 시트(0124)'!V421</f>
        <v>#REF!</v>
      </c>
      <c r="W323" s="824" t="e">
        <f>+'[6]입력 시트(0124)'!W421</f>
        <v>#REF!</v>
      </c>
      <c r="X323" s="824" t="e">
        <f>+'[6]입력 시트(0124)'!X421</f>
        <v>#REF!</v>
      </c>
      <c r="Y323" s="824" t="e">
        <f>+'[6]입력 시트(0124)'!Y421</f>
        <v>#REF!</v>
      </c>
    </row>
    <row r="324" spans="2:25" hidden="1" outlineLevel="1">
      <c r="B324" s="735"/>
      <c r="C324" s="740" t="s">
        <v>309</v>
      </c>
      <c r="D324" s="716">
        <f t="shared" si="48"/>
        <v>21</v>
      </c>
      <c r="E324" s="824">
        <f>+'[6]입력 시트(0124)'!E422</f>
        <v>0</v>
      </c>
      <c r="F324" s="824">
        <f>+'[6]입력 시트(0124)'!F422</f>
        <v>0</v>
      </c>
      <c r="G324" s="824">
        <f>+'[6]입력 시트(0124)'!G422</f>
        <v>0</v>
      </c>
      <c r="H324" s="824">
        <f>+'[6]입력 시트(0124)'!H422</f>
        <v>0</v>
      </c>
      <c r="I324" s="824">
        <f>+'[6]입력 시트(0124)'!I422</f>
        <v>0</v>
      </c>
      <c r="J324" s="824" t="e">
        <f>+'[6]입력 시트(0124)'!J422</f>
        <v>#REF!</v>
      </c>
      <c r="K324" s="824">
        <f>+'[6]입력 시트(0124)'!G422</f>
        <v>0</v>
      </c>
      <c r="L324" s="824">
        <f>+'[6]입력 시트(0124)'!H422</f>
        <v>0</v>
      </c>
      <c r="M324" s="824">
        <f>+'[6]입력 시트(0124)'!I422</f>
        <v>0</v>
      </c>
      <c r="N324" s="824" t="e">
        <f>+'[6]입력 시트(0124)'!N422</f>
        <v>#REF!</v>
      </c>
      <c r="O324" s="824" t="e">
        <f>+'[6]입력 시트(0124)'!O422</f>
        <v>#REF!</v>
      </c>
      <c r="P324" s="824" t="e">
        <f>+'[6]입력 시트(0124)'!P422</f>
        <v>#REF!</v>
      </c>
      <c r="Q324" s="824" t="e">
        <f>+'[6]입력 시트(0124)'!Q422</f>
        <v>#REF!</v>
      </c>
      <c r="T324" s="824" t="e">
        <f>+'[6]입력 시트(0124)'!T422</f>
        <v>#REF!</v>
      </c>
      <c r="U324" s="824" t="e">
        <f>+'[6]입력 시트(0124)'!U422</f>
        <v>#REF!</v>
      </c>
      <c r="V324" s="824" t="e">
        <f>+'[6]입력 시트(0124)'!V422</f>
        <v>#REF!</v>
      </c>
      <c r="W324" s="824" t="e">
        <f>+'[6]입력 시트(0124)'!W422</f>
        <v>#REF!</v>
      </c>
      <c r="X324" s="824" t="e">
        <f>+'[6]입력 시트(0124)'!X422</f>
        <v>#REF!</v>
      </c>
      <c r="Y324" s="824" t="e">
        <f>+'[6]입력 시트(0124)'!Y422</f>
        <v>#REF!</v>
      </c>
    </row>
    <row r="325" spans="2:25" hidden="1" outlineLevel="1">
      <c r="B325" s="735"/>
      <c r="C325" s="740" t="s">
        <v>309</v>
      </c>
      <c r="D325" s="716">
        <f t="shared" si="48"/>
        <v>22</v>
      </c>
      <c r="E325" s="824">
        <f>+'[6]입력 시트(0124)'!E423</f>
        <v>0</v>
      </c>
      <c r="F325" s="824">
        <f>+'[6]입력 시트(0124)'!F423</f>
        <v>0</v>
      </c>
      <c r="G325" s="824">
        <f>+'[6]입력 시트(0124)'!G423</f>
        <v>0</v>
      </c>
      <c r="H325" s="824">
        <f>+'[6]입력 시트(0124)'!H423</f>
        <v>0</v>
      </c>
      <c r="I325" s="824">
        <f>+'[6]입력 시트(0124)'!I423</f>
        <v>0</v>
      </c>
      <c r="J325" s="824" t="e">
        <f>+'[6]입력 시트(0124)'!J423</f>
        <v>#REF!</v>
      </c>
      <c r="K325" s="824">
        <f>+'[6]입력 시트(0124)'!G423</f>
        <v>0</v>
      </c>
      <c r="L325" s="824">
        <f>+'[6]입력 시트(0124)'!H423</f>
        <v>0</v>
      </c>
      <c r="M325" s="824">
        <f>+'[6]입력 시트(0124)'!I423</f>
        <v>0</v>
      </c>
      <c r="N325" s="824" t="e">
        <f>+'[6]입력 시트(0124)'!N423</f>
        <v>#REF!</v>
      </c>
      <c r="O325" s="824" t="e">
        <f>+'[6]입력 시트(0124)'!O423</f>
        <v>#REF!</v>
      </c>
      <c r="P325" s="824" t="e">
        <f>+'[6]입력 시트(0124)'!P423</f>
        <v>#REF!</v>
      </c>
      <c r="Q325" s="824" t="e">
        <f>+'[6]입력 시트(0124)'!Q423</f>
        <v>#REF!</v>
      </c>
      <c r="T325" s="824" t="e">
        <f>+'[6]입력 시트(0124)'!T423</f>
        <v>#REF!</v>
      </c>
      <c r="U325" s="824" t="e">
        <f>+'[6]입력 시트(0124)'!U423</f>
        <v>#REF!</v>
      </c>
      <c r="V325" s="824" t="e">
        <f>+'[6]입력 시트(0124)'!V423</f>
        <v>#REF!</v>
      </c>
      <c r="W325" s="824" t="e">
        <f>+'[6]입력 시트(0124)'!W423</f>
        <v>#REF!</v>
      </c>
      <c r="X325" s="824" t="e">
        <f>+'[6]입력 시트(0124)'!X423</f>
        <v>#REF!</v>
      </c>
      <c r="Y325" s="824" t="e">
        <f>+'[6]입력 시트(0124)'!Y423</f>
        <v>#REF!</v>
      </c>
    </row>
    <row r="326" spans="2:25" hidden="1" outlineLevel="1">
      <c r="B326" s="735"/>
      <c r="C326" s="740" t="s">
        <v>309</v>
      </c>
      <c r="D326" s="716">
        <f t="shared" si="48"/>
        <v>23</v>
      </c>
      <c r="E326" s="824">
        <f>+'[6]입력 시트(0124)'!E424</f>
        <v>0</v>
      </c>
      <c r="F326" s="824">
        <f>+'[6]입력 시트(0124)'!F424</f>
        <v>0</v>
      </c>
      <c r="G326" s="824">
        <f>+'[6]입력 시트(0124)'!G424</f>
        <v>0</v>
      </c>
      <c r="H326" s="824">
        <f>+'[6]입력 시트(0124)'!H424</f>
        <v>0</v>
      </c>
      <c r="I326" s="824">
        <f>+'[6]입력 시트(0124)'!I424</f>
        <v>0</v>
      </c>
      <c r="J326" s="824" t="e">
        <f>+'[6]입력 시트(0124)'!J424</f>
        <v>#REF!</v>
      </c>
      <c r="K326" s="824">
        <f>+'[6]입력 시트(0124)'!G424</f>
        <v>0</v>
      </c>
      <c r="L326" s="824">
        <f>+'[6]입력 시트(0124)'!H424</f>
        <v>0</v>
      </c>
      <c r="M326" s="824">
        <f>+'[6]입력 시트(0124)'!I424</f>
        <v>0</v>
      </c>
      <c r="N326" s="824" t="e">
        <f>+'[6]입력 시트(0124)'!N424</f>
        <v>#REF!</v>
      </c>
      <c r="O326" s="824" t="e">
        <f>+'[6]입력 시트(0124)'!O424</f>
        <v>#REF!</v>
      </c>
      <c r="P326" s="824" t="e">
        <f>+'[6]입력 시트(0124)'!P424</f>
        <v>#REF!</v>
      </c>
      <c r="Q326" s="824" t="e">
        <f>+'[6]입력 시트(0124)'!Q424</f>
        <v>#REF!</v>
      </c>
      <c r="T326" s="824" t="e">
        <f>+'[6]입력 시트(0124)'!T424</f>
        <v>#REF!</v>
      </c>
      <c r="U326" s="824" t="e">
        <f>+'[6]입력 시트(0124)'!U424</f>
        <v>#REF!</v>
      </c>
      <c r="V326" s="824" t="e">
        <f>+'[6]입력 시트(0124)'!V424</f>
        <v>#REF!</v>
      </c>
      <c r="W326" s="824" t="e">
        <f>+'[6]입력 시트(0124)'!W424</f>
        <v>#REF!</v>
      </c>
      <c r="X326" s="824" t="e">
        <f>+'[6]입력 시트(0124)'!X424</f>
        <v>#REF!</v>
      </c>
      <c r="Y326" s="824" t="e">
        <f>+'[6]입력 시트(0124)'!Y424</f>
        <v>#REF!</v>
      </c>
    </row>
    <row r="327" spans="2:25" hidden="1" outlineLevel="1">
      <c r="B327" s="735"/>
      <c r="C327" s="740" t="s">
        <v>309</v>
      </c>
      <c r="D327" s="716">
        <f t="shared" si="48"/>
        <v>24</v>
      </c>
      <c r="E327" s="824">
        <f>+'[6]입력 시트(0124)'!E425</f>
        <v>0</v>
      </c>
      <c r="F327" s="824">
        <f>+'[6]입력 시트(0124)'!F425</f>
        <v>0</v>
      </c>
      <c r="G327" s="824">
        <f>+'[6]입력 시트(0124)'!G425</f>
        <v>0</v>
      </c>
      <c r="H327" s="824">
        <f>+'[6]입력 시트(0124)'!H425</f>
        <v>0</v>
      </c>
      <c r="I327" s="824">
        <f>+'[6]입력 시트(0124)'!I425</f>
        <v>0</v>
      </c>
      <c r="J327" s="824" t="e">
        <f>+'[6]입력 시트(0124)'!J425</f>
        <v>#REF!</v>
      </c>
      <c r="K327" s="824">
        <f>+'[6]입력 시트(0124)'!G425</f>
        <v>0</v>
      </c>
      <c r="L327" s="824">
        <f>+'[6]입력 시트(0124)'!H425</f>
        <v>0</v>
      </c>
      <c r="M327" s="824">
        <f>+'[6]입력 시트(0124)'!I425</f>
        <v>0</v>
      </c>
      <c r="N327" s="824" t="e">
        <f>+'[6]입력 시트(0124)'!N425</f>
        <v>#REF!</v>
      </c>
      <c r="O327" s="824" t="e">
        <f>+'[6]입력 시트(0124)'!O425</f>
        <v>#REF!</v>
      </c>
      <c r="P327" s="824" t="e">
        <f>+'[6]입력 시트(0124)'!P425</f>
        <v>#REF!</v>
      </c>
      <c r="Q327" s="824" t="e">
        <f>+'[6]입력 시트(0124)'!Q425</f>
        <v>#REF!</v>
      </c>
      <c r="T327" s="824" t="e">
        <f>+'[6]입력 시트(0124)'!T425</f>
        <v>#REF!</v>
      </c>
      <c r="U327" s="824" t="e">
        <f>+'[6]입력 시트(0124)'!U425</f>
        <v>#REF!</v>
      </c>
      <c r="V327" s="824" t="e">
        <f>+'[6]입력 시트(0124)'!V425</f>
        <v>#REF!</v>
      </c>
      <c r="W327" s="824" t="e">
        <f>+'[6]입력 시트(0124)'!W425</f>
        <v>#REF!</v>
      </c>
      <c r="X327" s="824" t="e">
        <f>+'[6]입력 시트(0124)'!X425</f>
        <v>#REF!</v>
      </c>
      <c r="Y327" s="824" t="e">
        <f>+'[6]입력 시트(0124)'!Y425</f>
        <v>#REF!</v>
      </c>
    </row>
    <row r="328" spans="2:25" hidden="1" outlineLevel="1">
      <c r="B328" s="735" t="s">
        <v>540</v>
      </c>
      <c r="E328" s="826"/>
      <c r="F328" s="826"/>
      <c r="G328" s="826"/>
      <c r="H328" s="826"/>
      <c r="I328" s="826"/>
      <c r="J328" s="826"/>
      <c r="K328" s="826"/>
      <c r="L328" s="826"/>
      <c r="M328" s="826"/>
      <c r="N328" s="826"/>
      <c r="O328" s="826"/>
      <c r="P328" s="826"/>
      <c r="Q328" s="826"/>
      <c r="T328" s="826"/>
      <c r="U328" s="826"/>
      <c r="V328" s="826"/>
      <c r="W328" s="826"/>
      <c r="X328" s="826"/>
      <c r="Y328" s="826"/>
    </row>
  </sheetData>
  <mergeCells count="17">
    <mergeCell ref="C11:D11"/>
    <mergeCell ref="C12:D12"/>
    <mergeCell ref="C66:D67"/>
    <mergeCell ref="C75:D75"/>
    <mergeCell ref="H1:P1"/>
    <mergeCell ref="C264:D264"/>
    <mergeCell ref="C93:D93"/>
    <mergeCell ref="C102:D102"/>
    <mergeCell ref="C111:D111"/>
    <mergeCell ref="C120:D120"/>
    <mergeCell ref="C130:D130"/>
    <mergeCell ref="C157:D157"/>
    <mergeCell ref="C179:D179"/>
    <mergeCell ref="C215:D215"/>
    <mergeCell ref="C233:D233"/>
    <mergeCell ref="E1:G1"/>
    <mergeCell ref="C84:D84"/>
  </mergeCells>
  <phoneticPr fontId="9" type="noConversion"/>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A11BC-9089-405E-B080-97C348F40F19}">
  <dimension ref="A1:U114"/>
  <sheetViews>
    <sheetView topLeftCell="A85" workbookViewId="0">
      <selection activeCell="F120" sqref="F120"/>
    </sheetView>
  </sheetViews>
  <sheetFormatPr defaultRowHeight="12.75"/>
  <cols>
    <col min="2" max="2" width="57.28515625" customWidth="1"/>
    <col min="3" max="4" width="12.7109375" customWidth="1"/>
    <col min="5" max="5" width="13.85546875" style="5" bestFit="1" customWidth="1"/>
    <col min="6" max="18" width="13.85546875" customWidth="1"/>
    <col min="19" max="21" width="10.42578125" customWidth="1"/>
  </cols>
  <sheetData>
    <row r="1" spans="2:12">
      <c r="I1" s="5"/>
    </row>
    <row r="2" spans="2:12" ht="13.5">
      <c r="B2" s="769" t="s">
        <v>421</v>
      </c>
      <c r="C2" s="769"/>
      <c r="D2" s="769"/>
      <c r="I2" s="5"/>
    </row>
    <row r="3" spans="2:12">
      <c r="E3" s="5">
        <f>+SUM(E4:E8)</f>
        <v>24990000</v>
      </c>
      <c r="I3" s="5"/>
    </row>
    <row r="4" spans="2:12">
      <c r="B4" s="768" t="s">
        <v>422</v>
      </c>
      <c r="C4" s="768"/>
      <c r="D4" s="768"/>
      <c r="E4" s="5">
        <v>11995200</v>
      </c>
      <c r="F4" s="767">
        <f>+E4/$E$3</f>
        <v>0.48</v>
      </c>
      <c r="H4" s="768" t="s">
        <v>423</v>
      </c>
      <c r="I4">
        <f>+I5+I6</f>
        <v>800865800</v>
      </c>
      <c r="K4" s="5">
        <v>1100000000</v>
      </c>
    </row>
    <row r="5" spans="2:12">
      <c r="B5" s="768" t="s">
        <v>424</v>
      </c>
      <c r="C5" s="768"/>
      <c r="D5" s="768"/>
      <c r="E5" s="5">
        <v>6997200.0000000009</v>
      </c>
      <c r="F5" s="767">
        <f t="shared" ref="F5:F8" si="0">+E5/$E$3</f>
        <v>0.28000000000000003</v>
      </c>
      <c r="H5" s="773" t="s">
        <v>425</v>
      </c>
      <c r="I5">
        <f>+'INPUTSHEET(BOLT 2)'!E165</f>
        <v>653768000</v>
      </c>
      <c r="J5" s="766">
        <f>+I5/$I$4</f>
        <v>0.81632653061224492</v>
      </c>
      <c r="K5" s="27">
        <f>+K4-K6-K7</f>
        <v>870000000</v>
      </c>
      <c r="L5" s="766">
        <f>+K5/$K$4</f>
        <v>0.79090909090909089</v>
      </c>
    </row>
    <row r="6" spans="2:12">
      <c r="B6" s="768" t="s">
        <v>426</v>
      </c>
      <c r="C6" s="768"/>
      <c r="D6" s="768"/>
      <c r="E6" s="5">
        <v>999600</v>
      </c>
      <c r="F6" s="767">
        <f t="shared" si="0"/>
        <v>0.04</v>
      </c>
      <c r="H6" s="773" t="s">
        <v>427</v>
      </c>
      <c r="I6">
        <f>+'INPUTSHEET(BOLT 2)'!E197</f>
        <v>147097800</v>
      </c>
      <c r="J6" s="766">
        <f>+I6/$I$4</f>
        <v>0.18367346938775511</v>
      </c>
      <c r="K6" s="5">
        <v>180000000</v>
      </c>
      <c r="L6" s="766">
        <f>+K6/$K$4</f>
        <v>0.16363636363636364</v>
      </c>
    </row>
    <row r="7" spans="2:12">
      <c r="B7" s="768" t="s">
        <v>428</v>
      </c>
      <c r="C7" s="768"/>
      <c r="D7" s="768"/>
      <c r="E7" s="5">
        <v>1999200</v>
      </c>
      <c r="F7" s="767">
        <f t="shared" si="0"/>
        <v>0.08</v>
      </c>
      <c r="H7" s="773" t="s">
        <v>429</v>
      </c>
      <c r="K7" s="5">
        <v>50000000</v>
      </c>
      <c r="L7" s="766">
        <f>+K7/$K$4</f>
        <v>4.5454545454545456E-2</v>
      </c>
    </row>
    <row r="8" spans="2:12">
      <c r="B8" s="768" t="s">
        <v>430</v>
      </c>
      <c r="C8" s="768"/>
      <c r="D8" s="768"/>
      <c r="E8" s="5">
        <v>2998800</v>
      </c>
      <c r="F8" s="767">
        <f t="shared" si="0"/>
        <v>0.12</v>
      </c>
      <c r="I8" s="5"/>
    </row>
    <row r="9" spans="2:12">
      <c r="I9" s="5"/>
    </row>
    <row r="10" spans="2:12" ht="13.5">
      <c r="B10" s="361" t="s">
        <v>431</v>
      </c>
      <c r="C10" s="361"/>
      <c r="D10" s="361"/>
      <c r="E10" s="5">
        <v>25000000</v>
      </c>
      <c r="I10" s="5"/>
    </row>
    <row r="11" spans="2:12">
      <c r="B11" s="768" t="s">
        <v>422</v>
      </c>
      <c r="C11" s="768"/>
      <c r="D11" s="768"/>
      <c r="E11" s="5">
        <v>12500000</v>
      </c>
      <c r="I11" s="5"/>
    </row>
    <row r="12" spans="2:12">
      <c r="B12" s="768" t="s">
        <v>424</v>
      </c>
      <c r="C12" s="768"/>
      <c r="D12" s="768"/>
      <c r="E12" s="5">
        <v>2600000</v>
      </c>
      <c r="I12" s="5"/>
    </row>
    <row r="13" spans="2:12">
      <c r="B13" s="768" t="s">
        <v>426</v>
      </c>
      <c r="C13" s="768"/>
      <c r="D13" s="768"/>
    </row>
    <row r="14" spans="2:12">
      <c r="B14" s="768" t="s">
        <v>428</v>
      </c>
      <c r="C14" s="768"/>
      <c r="D14" s="768"/>
      <c r="E14" s="5">
        <v>6000000</v>
      </c>
    </row>
    <row r="15" spans="2:12">
      <c r="B15" s="768" t="s">
        <v>430</v>
      </c>
      <c r="C15" s="768"/>
      <c r="D15" s="768"/>
      <c r="E15" s="5">
        <f>+E10-E11-E12-E13-E14</f>
        <v>3900000</v>
      </c>
    </row>
    <row r="16" spans="2:12">
      <c r="B16" s="768" t="s">
        <v>432</v>
      </c>
      <c r="C16" s="768"/>
      <c r="D16" s="768"/>
      <c r="E16" s="5">
        <v>40000000</v>
      </c>
    </row>
    <row r="18" spans="1:21" s="328" customFormat="1" ht="25.5">
      <c r="A18" s="328" t="s">
        <v>433</v>
      </c>
      <c r="C18" s="1037" t="s">
        <v>434</v>
      </c>
      <c r="D18" s="1037" t="s">
        <v>435</v>
      </c>
      <c r="E18" s="770"/>
      <c r="F18" s="772" t="str">
        <f>+'BT 7HO'!C11</f>
        <v>Eco Inshutech</v>
      </c>
      <c r="G18" s="772" t="str">
        <f>+'BT 7HO'!C16</f>
        <v>Younggwang Industry</v>
      </c>
      <c r="H18" s="772" t="str">
        <f>+'BT 7HO'!C26</f>
        <v>MPM Trade</v>
      </c>
      <c r="I18" s="772"/>
      <c r="J18" s="772"/>
      <c r="K18" s="772"/>
      <c r="L18" s="772"/>
      <c r="M18" s="772"/>
      <c r="N18" s="772"/>
      <c r="O18" s="772"/>
      <c r="P18" s="772"/>
      <c r="Q18" s="772"/>
      <c r="R18" s="772"/>
      <c r="S18" s="771"/>
      <c r="T18" s="771"/>
      <c r="U18" s="771"/>
    </row>
    <row r="19" spans="1:21" ht="13.5">
      <c r="B19" s="200" t="s">
        <v>436</v>
      </c>
      <c r="C19" s="200"/>
      <c r="D19" s="200"/>
      <c r="F19">
        <f>+'INPUTSHEET(BOLT 7,4)'!E24</f>
        <v>0.22578000000000001</v>
      </c>
      <c r="G19">
        <f>+'INPUTSHEET(BOLT 7,4)'!F24</f>
        <v>0.54546499999999998</v>
      </c>
      <c r="H19">
        <f>+'INPUTSHEET(BOLT 7,4)'!G24</f>
        <v>0.21081999999999998</v>
      </c>
    </row>
    <row r="21" spans="1:21">
      <c r="B21" s="776" t="s">
        <v>437</v>
      </c>
      <c r="E21" s="5">
        <v>25000000</v>
      </c>
      <c r="F21" s="5">
        <f>+SUM(F22:F27)</f>
        <v>14675700</v>
      </c>
      <c r="G21" s="5">
        <f>+SUM(G22:G27)</f>
        <v>35455225</v>
      </c>
      <c r="H21" s="5">
        <f>+SUM(H22:H27)</f>
        <v>13703300</v>
      </c>
      <c r="I21" s="5"/>
      <c r="J21" s="5"/>
      <c r="K21" s="5"/>
      <c r="L21" s="5"/>
      <c r="M21" s="5"/>
      <c r="N21" s="5"/>
      <c r="O21" s="5"/>
      <c r="P21" s="5"/>
      <c r="Q21" s="5"/>
      <c r="R21" s="5"/>
    </row>
    <row r="22" spans="1:21">
      <c r="B22" t="s">
        <v>422</v>
      </c>
      <c r="E22" s="5">
        <v>12500000</v>
      </c>
      <c r="F22" s="5">
        <f>+$E22*F19</f>
        <v>2822250</v>
      </c>
      <c r="G22" s="5">
        <f>+$E22*G19</f>
        <v>6818312.5</v>
      </c>
      <c r="H22" s="5">
        <f>+$E22*H19</f>
        <v>2635249.9999999995</v>
      </c>
      <c r="I22" s="5"/>
      <c r="J22" s="5"/>
      <c r="K22" s="5"/>
      <c r="L22" s="5"/>
      <c r="M22" s="5"/>
      <c r="N22" s="5"/>
      <c r="O22" s="5"/>
      <c r="P22" s="5"/>
      <c r="Q22" s="5"/>
      <c r="R22" s="5"/>
    </row>
    <row r="23" spans="1:21">
      <c r="B23" t="s">
        <v>424</v>
      </c>
      <c r="F23" s="5">
        <f>+$E23*F19</f>
        <v>0</v>
      </c>
      <c r="G23" s="5">
        <f>+$E23*G19</f>
        <v>0</v>
      </c>
      <c r="H23" s="5">
        <f>+$E23*H19</f>
        <v>0</v>
      </c>
      <c r="I23" s="5"/>
      <c r="J23" s="5"/>
      <c r="K23" s="5"/>
      <c r="L23" s="5"/>
      <c r="M23" s="5"/>
      <c r="N23" s="5"/>
      <c r="O23" s="5"/>
      <c r="P23" s="5"/>
      <c r="Q23" s="5"/>
      <c r="R23" s="5"/>
    </row>
    <row r="24" spans="1:21">
      <c r="B24" t="s">
        <v>426</v>
      </c>
      <c r="E24" s="5">
        <v>2600000</v>
      </c>
      <c r="F24" s="5">
        <f>+$E24*F19</f>
        <v>587028</v>
      </c>
      <c r="G24" s="5">
        <f>+$E24*G19</f>
        <v>1418209</v>
      </c>
      <c r="H24" s="5">
        <f>+$E24*H19</f>
        <v>548132</v>
      </c>
      <c r="I24" s="5"/>
      <c r="J24" s="5"/>
      <c r="K24" s="5"/>
      <c r="L24" s="5"/>
      <c r="M24" s="5"/>
      <c r="N24" s="5"/>
      <c r="O24" s="5"/>
      <c r="P24" s="5"/>
      <c r="Q24" s="5"/>
      <c r="R24" s="5"/>
    </row>
    <row r="25" spans="1:21">
      <c r="B25" t="s">
        <v>428</v>
      </c>
      <c r="E25" s="5">
        <v>6000000</v>
      </c>
      <c r="F25" s="5">
        <f>+$E25*F19</f>
        <v>1354680</v>
      </c>
      <c r="G25" s="5">
        <f>+$E25*G19</f>
        <v>3272790</v>
      </c>
      <c r="H25" s="5">
        <f>+$E25*H19</f>
        <v>1264919.9999999998</v>
      </c>
      <c r="I25" s="5"/>
      <c r="J25" s="5"/>
      <c r="K25" s="5"/>
      <c r="L25" s="5"/>
      <c r="M25" s="5"/>
      <c r="N25" s="5"/>
      <c r="O25" s="5"/>
      <c r="P25" s="5"/>
      <c r="Q25" s="5"/>
      <c r="R25" s="5"/>
    </row>
    <row r="26" spans="1:21">
      <c r="B26" t="s">
        <v>430</v>
      </c>
      <c r="E26" s="5">
        <v>3900000</v>
      </c>
      <c r="F26" s="5">
        <f>+$E26*F19</f>
        <v>880542</v>
      </c>
      <c r="G26" s="5">
        <f>+$E26*G19</f>
        <v>2127313.5</v>
      </c>
      <c r="H26" s="5">
        <f>+$E26*H19</f>
        <v>822197.99999999988</v>
      </c>
      <c r="I26" s="5"/>
      <c r="J26" s="5"/>
      <c r="K26" s="5"/>
      <c r="L26" s="5"/>
      <c r="M26" s="5"/>
      <c r="N26" s="5"/>
      <c r="O26" s="5"/>
      <c r="P26" s="5"/>
      <c r="Q26" s="5"/>
      <c r="R26" s="5"/>
    </row>
    <row r="27" spans="1:21">
      <c r="B27" t="s">
        <v>432</v>
      </c>
      <c r="E27" s="5">
        <v>40000000</v>
      </c>
      <c r="F27" s="5">
        <f>+$E27*F19</f>
        <v>9031200</v>
      </c>
      <c r="G27" s="5">
        <f>+$E27*G19</f>
        <v>21818600</v>
      </c>
      <c r="H27" s="5">
        <f>+$E27*H19</f>
        <v>8432800</v>
      </c>
      <c r="I27" s="5"/>
      <c r="J27" s="5"/>
      <c r="K27" s="5"/>
      <c r="L27" s="5"/>
      <c r="M27" s="5"/>
      <c r="N27" s="5"/>
      <c r="O27" s="5"/>
      <c r="P27" s="5"/>
      <c r="Q27" s="5"/>
      <c r="R27" s="5"/>
    </row>
    <row r="29" spans="1:21">
      <c r="B29" s="776" t="s">
        <v>438</v>
      </c>
      <c r="E29" s="5">
        <v>1100000000</v>
      </c>
      <c r="F29" s="27">
        <f>+SUM(F30:F32)</f>
        <v>248358000</v>
      </c>
      <c r="G29" s="27">
        <f>+SUM(G30:G32)</f>
        <v>600011500</v>
      </c>
      <c r="H29" s="27">
        <f>+SUM(H30:H32)</f>
        <v>231901999.99999997</v>
      </c>
      <c r="I29" s="27"/>
      <c r="J29" s="27"/>
      <c r="K29" s="27"/>
      <c r="L29" s="27"/>
      <c r="M29" s="27"/>
      <c r="N29" s="27"/>
      <c r="O29" s="27"/>
      <c r="P29" s="27"/>
      <c r="Q29" s="27"/>
      <c r="R29" s="27"/>
    </row>
    <row r="30" spans="1:21">
      <c r="B30" s="773" t="str">
        <f>+'INPUTSHEET(BOLT 3)'!B163</f>
        <v>BOS</v>
      </c>
      <c r="C30" s="773"/>
      <c r="D30" s="773"/>
      <c r="E30" s="5">
        <v>800000000</v>
      </c>
      <c r="F30" s="5">
        <f>+$E30*F19</f>
        <v>180624000</v>
      </c>
      <c r="G30" s="5">
        <f>+$E30*G19</f>
        <v>436372000</v>
      </c>
      <c r="H30" s="5">
        <f>+$E30*H19</f>
        <v>168655999.99999997</v>
      </c>
      <c r="I30" s="5"/>
      <c r="J30" s="5"/>
      <c r="K30" s="5"/>
      <c r="L30" s="5"/>
      <c r="M30" s="5"/>
      <c r="N30" s="5"/>
      <c r="O30" s="5"/>
      <c r="P30" s="5"/>
      <c r="Q30" s="5"/>
      <c r="R30" s="5"/>
    </row>
    <row r="31" spans="1:21">
      <c r="B31" s="773" t="str">
        <f>+'INPUTSHEET(BOLT 3)'!B181</f>
        <v>Modules</v>
      </c>
      <c r="C31" s="773"/>
      <c r="D31" s="773"/>
      <c r="E31" s="5">
        <v>180000000</v>
      </c>
      <c r="F31" s="5">
        <f>+$E31*F19</f>
        <v>40640400</v>
      </c>
      <c r="G31" s="5">
        <f>+$E31*G19</f>
        <v>98183700</v>
      </c>
      <c r="H31" s="5">
        <f>+$E31*H19</f>
        <v>37947600</v>
      </c>
      <c r="I31" s="5"/>
      <c r="J31" s="5"/>
      <c r="K31" s="5"/>
      <c r="L31" s="5"/>
      <c r="M31" s="5"/>
      <c r="N31" s="5"/>
      <c r="O31" s="5"/>
      <c r="P31" s="5"/>
      <c r="Q31" s="5"/>
      <c r="R31" s="5"/>
    </row>
    <row r="32" spans="1:21">
      <c r="B32" s="773" t="str">
        <f>+'INPUTSHEET(BOLT 3)'!B199</f>
        <v>Grid Connection Cost</v>
      </c>
      <c r="C32" s="773"/>
      <c r="D32" s="773"/>
      <c r="E32" s="5">
        <v>120000000</v>
      </c>
      <c r="F32" s="5">
        <f>+$E32*F19</f>
        <v>27093600</v>
      </c>
      <c r="G32" s="5">
        <f>+$E32*G19</f>
        <v>65455800</v>
      </c>
      <c r="H32" s="5">
        <f>+$E32*H19</f>
        <v>25298399.999999996</v>
      </c>
      <c r="I32" s="5"/>
      <c r="J32" s="5"/>
      <c r="K32" s="5"/>
      <c r="L32" s="5"/>
      <c r="M32" s="5"/>
      <c r="N32" s="5"/>
      <c r="O32" s="5"/>
      <c r="P32" s="5"/>
      <c r="Q32" s="5"/>
      <c r="R32" s="5"/>
    </row>
    <row r="34" spans="1:21">
      <c r="B34" s="776" t="s">
        <v>439</v>
      </c>
    </row>
    <row r="35" spans="1:21">
      <c r="B35" s="773" t="s">
        <v>440</v>
      </c>
      <c r="C35" s="773"/>
      <c r="D35" s="773"/>
      <c r="F35" s="27">
        <f>+F19*F36</f>
        <v>112890000</v>
      </c>
      <c r="G35" s="27">
        <f>+G19*G36</f>
        <v>272732500</v>
      </c>
      <c r="H35" s="27">
        <f>+H19*H36</f>
        <v>105409999.99999999</v>
      </c>
      <c r="I35" s="27"/>
      <c r="J35" s="27"/>
      <c r="K35" s="27"/>
      <c r="L35" s="27"/>
      <c r="M35" s="27"/>
      <c r="N35" s="27"/>
      <c r="O35" s="27"/>
      <c r="P35" s="27"/>
      <c r="Q35" s="27"/>
      <c r="R35" s="27"/>
    </row>
    <row r="36" spans="1:21" ht="13.5">
      <c r="B36" s="200" t="s">
        <v>441</v>
      </c>
      <c r="C36" s="200"/>
      <c r="D36" s="200"/>
      <c r="F36" s="27">
        <v>500000000</v>
      </c>
      <c r="G36" s="27">
        <v>500000000</v>
      </c>
      <c r="H36" s="27">
        <v>500000000</v>
      </c>
      <c r="I36" s="27"/>
      <c r="J36" s="27"/>
      <c r="K36" s="27"/>
      <c r="L36" s="27"/>
      <c r="M36" s="27"/>
      <c r="N36" s="27"/>
      <c r="O36" s="27"/>
      <c r="P36" s="27"/>
      <c r="Q36" s="27"/>
      <c r="R36" s="27"/>
    </row>
    <row r="37" spans="1:21">
      <c r="F37" s="27"/>
      <c r="G37" s="27"/>
      <c r="H37" s="27"/>
      <c r="I37" s="27"/>
      <c r="J37" s="27"/>
      <c r="K37" s="27"/>
      <c r="L37" s="27"/>
      <c r="M37" s="27"/>
      <c r="N37" s="27"/>
      <c r="O37" s="27"/>
      <c r="P37" s="27"/>
      <c r="Q37" s="27"/>
      <c r="R37" s="27"/>
    </row>
    <row r="38" spans="1:21" ht="13.5">
      <c r="B38" s="200" t="s">
        <v>442</v>
      </c>
      <c r="C38" s="200"/>
      <c r="D38" s="200"/>
      <c r="F38" s="27"/>
      <c r="G38" s="27"/>
      <c r="H38" s="27"/>
      <c r="I38" s="27"/>
      <c r="J38" s="27"/>
      <c r="K38" s="27"/>
      <c r="L38" s="27"/>
      <c r="M38" s="27"/>
      <c r="N38" s="27"/>
      <c r="O38" s="27"/>
      <c r="P38" s="27"/>
      <c r="Q38" s="27"/>
      <c r="R38" s="27"/>
    </row>
    <row r="39" spans="1:21">
      <c r="B39" s="773" t="str">
        <f>+'INPUTSHEET(BOLT 2)'!B293</f>
        <v>Other</v>
      </c>
      <c r="C39" s="773"/>
      <c r="D39" s="773"/>
      <c r="F39" s="27">
        <f>+F19*F40</f>
        <v>9031200</v>
      </c>
      <c r="G39" s="27">
        <f>+G19*G40</f>
        <v>21818600</v>
      </c>
      <c r="H39" s="27">
        <f>+H19*H40</f>
        <v>8432800</v>
      </c>
      <c r="I39" s="27"/>
      <c r="J39" s="27"/>
      <c r="K39" s="27"/>
      <c r="L39" s="27"/>
      <c r="M39" s="27"/>
      <c r="N39" s="27"/>
      <c r="O39" s="27"/>
      <c r="P39" s="27"/>
      <c r="Q39" s="27"/>
      <c r="R39" s="27"/>
    </row>
    <row r="40" spans="1:21" ht="13.5">
      <c r="B40" t="s">
        <v>443</v>
      </c>
      <c r="F40" s="27">
        <v>40000000</v>
      </c>
      <c r="G40" s="27">
        <v>40000000</v>
      </c>
      <c r="H40" s="27">
        <v>40000000</v>
      </c>
      <c r="I40" s="27"/>
      <c r="J40" s="27"/>
      <c r="K40" s="27"/>
      <c r="L40" s="27"/>
      <c r="M40" s="27"/>
      <c r="N40" s="27"/>
      <c r="O40" s="27"/>
      <c r="P40" s="27"/>
      <c r="Q40" s="27"/>
      <c r="R40" s="27"/>
    </row>
    <row r="41" spans="1:21">
      <c r="F41" s="27"/>
      <c r="G41" s="27"/>
      <c r="H41" s="27"/>
      <c r="I41" s="27"/>
      <c r="J41" s="27"/>
      <c r="K41" s="27"/>
      <c r="L41" s="27"/>
      <c r="M41" s="27"/>
      <c r="N41" s="27"/>
      <c r="O41" s="27"/>
      <c r="P41" s="27"/>
      <c r="Q41" s="27"/>
      <c r="R41" s="27"/>
    </row>
    <row r="42" spans="1:21" s="328" customFormat="1" ht="25.5">
      <c r="A42" s="328" t="s">
        <v>444</v>
      </c>
      <c r="C42" s="1037" t="s">
        <v>434</v>
      </c>
      <c r="D42" s="1037" t="s">
        <v>435</v>
      </c>
      <c r="E42" s="770"/>
      <c r="F42" s="772" t="str">
        <f>+'INPUTSHEET(BOLT 3)'!E5</f>
        <v>Changseong High Tech</v>
      </c>
      <c r="G42" s="772" t="str">
        <f>+'INPUTSHEET(BOLT 3)'!F5</f>
        <v>LSG</v>
      </c>
      <c r="H42" s="772" t="str">
        <f>+'INPUTSHEET(BOLT 3)'!G5</f>
        <v>Hanseo Motors</v>
      </c>
      <c r="I42" s="772" t="str">
        <f>+'INPUTSHEET(BOLT 3)'!H5</f>
        <v>Seun Steel Gyeongju</v>
      </c>
      <c r="J42" s="772" t="str">
        <f>+'INPUTSHEET(BOLT 3)'!I5</f>
        <v>Oneel</v>
      </c>
      <c r="K42" s="772" t="str">
        <f>+'INPUTSHEET(BOLT 3)'!J5</f>
        <v>E-Tech</v>
      </c>
      <c r="L42" s="772" t="str">
        <f>+'INPUTSHEET(BOLT 3)'!K5</f>
        <v>Daechon Headquarters</v>
      </c>
      <c r="M42" s="772" t="str">
        <f>+'INPUTSHEET(BOLT 3)'!L5</f>
        <v>Daechon Busan</v>
      </c>
      <c r="N42" s="772"/>
      <c r="O42" s="772"/>
      <c r="P42" s="772"/>
      <c r="Q42" s="772"/>
      <c r="R42" s="772"/>
      <c r="S42" s="771"/>
      <c r="T42" s="771"/>
      <c r="U42" s="771"/>
    </row>
    <row r="43" spans="1:21" ht="13.5">
      <c r="B43" s="200" t="s">
        <v>436</v>
      </c>
      <c r="C43" s="200"/>
      <c r="D43" s="200"/>
      <c r="F43">
        <f>+'INPUTSHEET(BOLT 3)'!E24</f>
        <v>0.16637000000000002</v>
      </c>
      <c r="G43">
        <f>+'INPUTSHEET(BOLT 3)'!F24</f>
        <v>0.49911</v>
      </c>
      <c r="H43">
        <f>+'INPUTSHEET(BOLT 3)'!G24</f>
        <v>0.142875</v>
      </c>
      <c r="I43">
        <f>+'INPUTSHEET(BOLT 3)'!H24</f>
        <v>0.70929500000000001</v>
      </c>
      <c r="J43">
        <f>+'INPUTSHEET(BOLT 3)'!I24</f>
        <v>0.52260499999999999</v>
      </c>
      <c r="K43">
        <f>+'INPUTSHEET(BOLT 3)'!J24</f>
        <v>0.14848</v>
      </c>
      <c r="L43">
        <f>+'INPUTSHEET(BOLT 3)'!K24</f>
        <v>0.89788999999999997</v>
      </c>
      <c r="M43">
        <f>+'INPUTSHEET(BOLT 3)'!L24</f>
        <v>1.1556999999999999</v>
      </c>
    </row>
    <row r="45" spans="1:21">
      <c r="B45" s="776" t="s">
        <v>437</v>
      </c>
      <c r="E45" s="5">
        <v>25000000</v>
      </c>
      <c r="F45" s="5">
        <f t="shared" ref="F45:M45" si="1">+SUM(F46:F51)</f>
        <v>10814050.000000002</v>
      </c>
      <c r="G45" s="5">
        <f t="shared" si="1"/>
        <v>32442150</v>
      </c>
      <c r="H45" s="5">
        <f t="shared" si="1"/>
        <v>9286875</v>
      </c>
      <c r="I45" s="5">
        <f t="shared" si="1"/>
        <v>46104175</v>
      </c>
      <c r="J45" s="5">
        <f t="shared" si="1"/>
        <v>33969325</v>
      </c>
      <c r="K45" s="5">
        <f t="shared" si="1"/>
        <v>9651200</v>
      </c>
      <c r="L45" s="5">
        <f t="shared" si="1"/>
        <v>58362850</v>
      </c>
      <c r="M45" s="5">
        <f t="shared" si="1"/>
        <v>75120500</v>
      </c>
      <c r="N45" s="5"/>
      <c r="O45" s="5"/>
      <c r="P45" s="5"/>
      <c r="Q45" s="5"/>
      <c r="R45" s="5"/>
    </row>
    <row r="46" spans="1:21">
      <c r="B46" t="s">
        <v>422</v>
      </c>
      <c r="E46" s="5">
        <v>12500000</v>
      </c>
      <c r="F46" s="5">
        <f t="shared" ref="F46:M46" si="2">+$E46*F43</f>
        <v>2079625.0000000002</v>
      </c>
      <c r="G46" s="5">
        <f t="shared" si="2"/>
        <v>6238875</v>
      </c>
      <c r="H46" s="5">
        <f t="shared" si="2"/>
        <v>1785937.5</v>
      </c>
      <c r="I46" s="5">
        <f t="shared" si="2"/>
        <v>8866187.5</v>
      </c>
      <c r="J46" s="5">
        <f t="shared" si="2"/>
        <v>6532562.5</v>
      </c>
      <c r="K46" s="5">
        <f t="shared" si="2"/>
        <v>1856000</v>
      </c>
      <c r="L46" s="5">
        <f t="shared" si="2"/>
        <v>11223625</v>
      </c>
      <c r="M46" s="5">
        <f t="shared" si="2"/>
        <v>14446250</v>
      </c>
      <c r="N46" s="5"/>
      <c r="O46" s="5"/>
      <c r="P46" s="5"/>
      <c r="Q46" s="5"/>
      <c r="R46" s="5"/>
    </row>
    <row r="47" spans="1:21">
      <c r="B47" t="s">
        <v>424</v>
      </c>
      <c r="F47" s="5">
        <f t="shared" ref="F47:M47" si="3">+$E47*F43</f>
        <v>0</v>
      </c>
      <c r="G47" s="5">
        <f t="shared" si="3"/>
        <v>0</v>
      </c>
      <c r="H47" s="5">
        <f t="shared" si="3"/>
        <v>0</v>
      </c>
      <c r="I47" s="5">
        <f t="shared" si="3"/>
        <v>0</v>
      </c>
      <c r="J47" s="5">
        <f t="shared" si="3"/>
        <v>0</v>
      </c>
      <c r="K47" s="5">
        <f t="shared" si="3"/>
        <v>0</v>
      </c>
      <c r="L47" s="5">
        <f t="shared" si="3"/>
        <v>0</v>
      </c>
      <c r="M47" s="5">
        <f t="shared" si="3"/>
        <v>0</v>
      </c>
      <c r="N47" s="5"/>
      <c r="O47" s="5"/>
      <c r="P47" s="5"/>
      <c r="Q47" s="5"/>
      <c r="R47" s="5"/>
    </row>
    <row r="48" spans="1:21">
      <c r="B48" t="s">
        <v>426</v>
      </c>
      <c r="E48" s="5">
        <v>2600000</v>
      </c>
      <c r="F48" s="5">
        <f t="shared" ref="F48:M48" si="4">+$E48*F43</f>
        <v>432562.00000000006</v>
      </c>
      <c r="G48" s="5">
        <f t="shared" si="4"/>
        <v>1297686</v>
      </c>
      <c r="H48" s="5">
        <f t="shared" si="4"/>
        <v>371475</v>
      </c>
      <c r="I48" s="5">
        <f t="shared" si="4"/>
        <v>1844167</v>
      </c>
      <c r="J48" s="5">
        <f t="shared" si="4"/>
        <v>1358773</v>
      </c>
      <c r="K48" s="5">
        <f t="shared" si="4"/>
        <v>386048</v>
      </c>
      <c r="L48" s="5">
        <f t="shared" si="4"/>
        <v>2334514</v>
      </c>
      <c r="M48" s="5">
        <f t="shared" si="4"/>
        <v>3004820</v>
      </c>
      <c r="N48" s="5"/>
      <c r="O48" s="5"/>
      <c r="P48" s="5"/>
      <c r="Q48" s="5"/>
      <c r="R48" s="5"/>
    </row>
    <row r="49" spans="2:18">
      <c r="B49" t="s">
        <v>428</v>
      </c>
      <c r="E49" s="5">
        <v>6000000</v>
      </c>
      <c r="F49" s="5">
        <f t="shared" ref="F49:M49" si="5">+$E49*F43</f>
        <v>998220.00000000012</v>
      </c>
      <c r="G49" s="5">
        <f t="shared" si="5"/>
        <v>2994660</v>
      </c>
      <c r="H49" s="5">
        <f t="shared" si="5"/>
        <v>857250</v>
      </c>
      <c r="I49" s="5">
        <f t="shared" si="5"/>
        <v>4255770</v>
      </c>
      <c r="J49" s="5">
        <f t="shared" si="5"/>
        <v>3135630</v>
      </c>
      <c r="K49" s="5">
        <f t="shared" si="5"/>
        <v>890880</v>
      </c>
      <c r="L49" s="5">
        <f t="shared" si="5"/>
        <v>5387340</v>
      </c>
      <c r="M49" s="5">
        <f t="shared" si="5"/>
        <v>6934200</v>
      </c>
      <c r="N49" s="5"/>
      <c r="O49" s="5"/>
      <c r="P49" s="5"/>
      <c r="Q49" s="5"/>
      <c r="R49" s="5"/>
    </row>
    <row r="50" spans="2:18">
      <c r="B50" t="s">
        <v>430</v>
      </c>
      <c r="E50" s="5">
        <v>3900000</v>
      </c>
      <c r="F50" s="5">
        <f t="shared" ref="F50:M50" si="6">+$E50*F43</f>
        <v>648843.00000000012</v>
      </c>
      <c r="G50" s="5">
        <f t="shared" si="6"/>
        <v>1946529</v>
      </c>
      <c r="H50" s="5">
        <f t="shared" si="6"/>
        <v>557212.5</v>
      </c>
      <c r="I50" s="5">
        <f t="shared" si="6"/>
        <v>2766250.5</v>
      </c>
      <c r="J50" s="5">
        <f t="shared" si="6"/>
        <v>2038159.5</v>
      </c>
      <c r="K50" s="5">
        <f t="shared" si="6"/>
        <v>579072</v>
      </c>
      <c r="L50" s="5">
        <f t="shared" si="6"/>
        <v>3501771</v>
      </c>
      <c r="M50" s="5">
        <f t="shared" si="6"/>
        <v>4507230</v>
      </c>
      <c r="N50" s="5"/>
      <c r="O50" s="5"/>
      <c r="P50" s="5"/>
      <c r="Q50" s="5"/>
      <c r="R50" s="5"/>
    </row>
    <row r="51" spans="2:18">
      <c r="B51" t="s">
        <v>432</v>
      </c>
      <c r="E51" s="5">
        <v>40000000</v>
      </c>
      <c r="F51" s="5">
        <f t="shared" ref="F51:M51" si="7">+$E51*F43</f>
        <v>6654800.0000000009</v>
      </c>
      <c r="G51" s="5">
        <f t="shared" si="7"/>
        <v>19964400</v>
      </c>
      <c r="H51" s="5">
        <f t="shared" si="7"/>
        <v>5715000</v>
      </c>
      <c r="I51" s="5">
        <f t="shared" si="7"/>
        <v>28371800</v>
      </c>
      <c r="J51" s="5">
        <f t="shared" si="7"/>
        <v>20904200</v>
      </c>
      <c r="K51" s="5">
        <f t="shared" si="7"/>
        <v>5939200</v>
      </c>
      <c r="L51" s="5">
        <f t="shared" si="7"/>
        <v>35915600</v>
      </c>
      <c r="M51" s="5">
        <f t="shared" si="7"/>
        <v>46228000</v>
      </c>
      <c r="N51" s="5"/>
      <c r="O51" s="5"/>
      <c r="P51" s="5"/>
      <c r="Q51" s="5"/>
      <c r="R51" s="5"/>
    </row>
    <row r="53" spans="2:18">
      <c r="B53" s="776" t="s">
        <v>438</v>
      </c>
      <c r="E53" s="5">
        <v>1100000000</v>
      </c>
      <c r="F53" s="27">
        <f t="shared" ref="F53:M53" si="8">+SUM(F54:F56)</f>
        <v>183007000.00000003</v>
      </c>
      <c r="G53" s="27">
        <f t="shared" si="8"/>
        <v>549021000</v>
      </c>
      <c r="H53" s="27">
        <f t="shared" si="8"/>
        <v>157162500</v>
      </c>
      <c r="I53" s="27">
        <f t="shared" si="8"/>
        <v>780224500</v>
      </c>
      <c r="J53" s="27">
        <f t="shared" si="8"/>
        <v>574865500</v>
      </c>
      <c r="K53" s="27">
        <f t="shared" si="8"/>
        <v>163328000</v>
      </c>
      <c r="L53" s="27">
        <f t="shared" si="8"/>
        <v>987679000</v>
      </c>
      <c r="M53" s="27">
        <f t="shared" si="8"/>
        <v>1271270000</v>
      </c>
      <c r="N53" s="27"/>
      <c r="O53" s="27"/>
      <c r="P53" s="27"/>
      <c r="Q53" s="27"/>
      <c r="R53" s="27"/>
    </row>
    <row r="54" spans="2:18">
      <c r="B54" s="773" t="str">
        <f>+'INPUTSHEET(BOLT 3)'!B163</f>
        <v>BOS</v>
      </c>
      <c r="C54" s="773"/>
      <c r="D54" s="773"/>
      <c r="E54" s="5">
        <v>800000000</v>
      </c>
      <c r="F54" s="5">
        <f t="shared" ref="F54:M54" si="9">+$E54*F43</f>
        <v>133096000.00000001</v>
      </c>
      <c r="G54" s="5">
        <f t="shared" si="9"/>
        <v>399288000</v>
      </c>
      <c r="H54" s="5">
        <f t="shared" si="9"/>
        <v>114300000</v>
      </c>
      <c r="I54" s="5">
        <f t="shared" si="9"/>
        <v>567436000</v>
      </c>
      <c r="J54" s="5">
        <f t="shared" si="9"/>
        <v>418084000</v>
      </c>
      <c r="K54" s="5">
        <f t="shared" si="9"/>
        <v>118784000</v>
      </c>
      <c r="L54" s="5">
        <f t="shared" si="9"/>
        <v>718312000</v>
      </c>
      <c r="M54" s="5">
        <f t="shared" si="9"/>
        <v>924560000</v>
      </c>
      <c r="N54" s="5"/>
      <c r="O54" s="5"/>
      <c r="P54" s="5"/>
      <c r="Q54" s="5"/>
      <c r="R54" s="5"/>
    </row>
    <row r="55" spans="2:18">
      <c r="B55" s="773" t="str">
        <f>+'INPUTSHEET(BOLT 3)'!B181</f>
        <v>Modules</v>
      </c>
      <c r="C55" s="773"/>
      <c r="D55" s="773"/>
      <c r="E55" s="5">
        <v>180000000</v>
      </c>
      <c r="F55" s="5">
        <f t="shared" ref="F55:M55" si="10">+$E55*F43</f>
        <v>29946600.000000004</v>
      </c>
      <c r="G55" s="5">
        <f t="shared" si="10"/>
        <v>89839800</v>
      </c>
      <c r="H55" s="5">
        <f t="shared" si="10"/>
        <v>25717500</v>
      </c>
      <c r="I55" s="5">
        <f t="shared" si="10"/>
        <v>127673100</v>
      </c>
      <c r="J55" s="5">
        <f t="shared" si="10"/>
        <v>94068900</v>
      </c>
      <c r="K55" s="5">
        <f t="shared" si="10"/>
        <v>26726400</v>
      </c>
      <c r="L55" s="5">
        <f t="shared" si="10"/>
        <v>161620200</v>
      </c>
      <c r="M55" s="5">
        <f t="shared" si="10"/>
        <v>208026000</v>
      </c>
      <c r="N55" s="5"/>
      <c r="O55" s="5"/>
      <c r="P55" s="5"/>
      <c r="Q55" s="5"/>
      <c r="R55" s="5"/>
    </row>
    <row r="56" spans="2:18">
      <c r="B56" s="773" t="str">
        <f>+'INPUTSHEET(BOLT 3)'!B199</f>
        <v>Grid Connection Cost</v>
      </c>
      <c r="C56" s="773"/>
      <c r="D56" s="773"/>
      <c r="E56" s="5">
        <v>120000000</v>
      </c>
      <c r="F56" s="5">
        <f t="shared" ref="F56:M56" si="11">+$E56*F43</f>
        <v>19964400.000000004</v>
      </c>
      <c r="G56" s="5">
        <f t="shared" si="11"/>
        <v>59893200</v>
      </c>
      <c r="H56" s="5">
        <f t="shared" si="11"/>
        <v>17145000</v>
      </c>
      <c r="I56" s="5">
        <f t="shared" si="11"/>
        <v>85115400</v>
      </c>
      <c r="J56" s="5">
        <f t="shared" si="11"/>
        <v>62712600</v>
      </c>
      <c r="K56" s="5">
        <f t="shared" si="11"/>
        <v>17817600</v>
      </c>
      <c r="L56" s="5">
        <f t="shared" si="11"/>
        <v>107746800</v>
      </c>
      <c r="M56" s="5">
        <f t="shared" si="11"/>
        <v>138684000</v>
      </c>
      <c r="N56" s="5"/>
      <c r="O56" s="5"/>
      <c r="P56" s="5"/>
      <c r="Q56" s="5"/>
      <c r="R56" s="5"/>
    </row>
    <row r="58" spans="2:18">
      <c r="B58" s="776" t="s">
        <v>439</v>
      </c>
    </row>
    <row r="59" spans="2:18">
      <c r="B59" s="773" t="s">
        <v>440</v>
      </c>
      <c r="C59" s="773"/>
      <c r="D59" s="773"/>
      <c r="F59" s="27">
        <f t="shared" ref="F59:M59" si="12">+F43*F60</f>
        <v>83185000.000000015</v>
      </c>
      <c r="G59" s="27">
        <f t="shared" si="12"/>
        <v>249555000</v>
      </c>
      <c r="H59" s="27">
        <f t="shared" si="12"/>
        <v>71437500</v>
      </c>
      <c r="I59" s="27">
        <f t="shared" si="12"/>
        <v>354647500</v>
      </c>
      <c r="J59" s="27">
        <f t="shared" si="12"/>
        <v>261302500</v>
      </c>
      <c r="K59" s="27">
        <f t="shared" si="12"/>
        <v>74240000</v>
      </c>
      <c r="L59" s="27">
        <f t="shared" si="12"/>
        <v>448945000</v>
      </c>
      <c r="M59" s="27">
        <f t="shared" si="12"/>
        <v>577850000</v>
      </c>
      <c r="N59" s="27"/>
      <c r="O59" s="27"/>
      <c r="P59" s="27"/>
      <c r="Q59" s="27"/>
      <c r="R59" s="27"/>
    </row>
    <row r="60" spans="2:18" ht="13.5">
      <c r="B60" s="200" t="s">
        <v>441</v>
      </c>
      <c r="C60" s="200"/>
      <c r="D60" s="200"/>
      <c r="F60" s="27">
        <v>500000000</v>
      </c>
      <c r="G60" s="27">
        <v>500000000</v>
      </c>
      <c r="H60" s="27">
        <v>500000000</v>
      </c>
      <c r="I60" s="27">
        <v>500000000</v>
      </c>
      <c r="J60" s="27">
        <v>500000000</v>
      </c>
      <c r="K60" s="27">
        <v>500000000</v>
      </c>
      <c r="L60" s="27">
        <v>500000000</v>
      </c>
      <c r="M60" s="27">
        <v>500000000</v>
      </c>
      <c r="N60" s="27"/>
      <c r="O60" s="27"/>
      <c r="P60" s="27"/>
      <c r="Q60" s="27"/>
      <c r="R60" s="27"/>
    </row>
    <row r="61" spans="2:18">
      <c r="F61" s="27"/>
      <c r="G61" s="27"/>
      <c r="H61" s="27"/>
      <c r="I61" s="27"/>
      <c r="J61" s="27"/>
      <c r="K61" s="27"/>
      <c r="L61" s="27"/>
      <c r="M61" s="27"/>
      <c r="N61" s="27"/>
      <c r="O61" s="27"/>
      <c r="P61" s="27"/>
      <c r="Q61" s="27"/>
      <c r="R61" s="27"/>
    </row>
    <row r="62" spans="2:18" ht="13.5">
      <c r="B62" s="200" t="s">
        <v>442</v>
      </c>
      <c r="C62" s="200"/>
      <c r="D62" s="200"/>
      <c r="F62" s="27"/>
      <c r="G62" s="27"/>
      <c r="H62" s="27"/>
      <c r="I62" s="27"/>
      <c r="J62" s="27"/>
      <c r="K62" s="27"/>
      <c r="L62" s="27"/>
      <c r="M62" s="27"/>
      <c r="N62" s="27"/>
      <c r="O62" s="27"/>
      <c r="P62" s="27"/>
      <c r="Q62" s="27"/>
      <c r="R62" s="27"/>
    </row>
    <row r="63" spans="2:18">
      <c r="B63" s="773" t="str">
        <f>+'INPUTSHEET(BOLT 2)'!B293</f>
        <v>Other</v>
      </c>
      <c r="C63" s="773"/>
      <c r="D63" s="773"/>
      <c r="F63" s="27">
        <f t="shared" ref="F63:M63" si="13">+F43*F64</f>
        <v>6654800.0000000009</v>
      </c>
      <c r="G63" s="27">
        <f t="shared" si="13"/>
        <v>19964400</v>
      </c>
      <c r="H63" s="27">
        <f t="shared" si="13"/>
        <v>5715000</v>
      </c>
      <c r="I63" s="27">
        <f t="shared" si="13"/>
        <v>28371800</v>
      </c>
      <c r="J63" s="27">
        <f t="shared" si="13"/>
        <v>20904200</v>
      </c>
      <c r="K63" s="27">
        <f t="shared" si="13"/>
        <v>5939200</v>
      </c>
      <c r="L63" s="27">
        <f t="shared" si="13"/>
        <v>35915600</v>
      </c>
      <c r="M63" s="27">
        <f t="shared" si="13"/>
        <v>46228000</v>
      </c>
      <c r="N63" s="27"/>
      <c r="O63" s="27"/>
      <c r="P63" s="27"/>
      <c r="Q63" s="27"/>
      <c r="R63" s="27"/>
    </row>
    <row r="64" spans="2:18" ht="13.5">
      <c r="B64" t="s">
        <v>443</v>
      </c>
      <c r="F64" s="27">
        <v>40000000</v>
      </c>
      <c r="G64" s="27">
        <v>40000000</v>
      </c>
      <c r="H64" s="27">
        <v>40000000</v>
      </c>
      <c r="I64" s="27">
        <v>40000000</v>
      </c>
      <c r="J64" s="27">
        <v>40000000</v>
      </c>
      <c r="K64" s="27">
        <v>40000000</v>
      </c>
      <c r="L64" s="27">
        <v>40000000</v>
      </c>
      <c r="M64" s="27">
        <v>40000000</v>
      </c>
      <c r="N64" s="27"/>
      <c r="O64" s="27"/>
      <c r="P64" s="27"/>
      <c r="Q64" s="27"/>
      <c r="R64" s="27"/>
    </row>
    <row r="65" spans="1:21">
      <c r="F65" s="27"/>
      <c r="G65" s="27"/>
      <c r="H65" s="27"/>
      <c r="I65" s="27"/>
      <c r="J65" s="27"/>
      <c r="K65" s="27"/>
      <c r="L65" s="27"/>
      <c r="M65" s="27"/>
      <c r="N65" s="27"/>
      <c r="O65" s="27"/>
      <c r="P65" s="27"/>
      <c r="Q65" s="27"/>
      <c r="R65" s="27"/>
    </row>
    <row r="66" spans="1:21">
      <c r="F66" s="27"/>
      <c r="G66" s="27"/>
      <c r="H66" s="27"/>
      <c r="I66" s="27"/>
      <c r="J66" s="27"/>
      <c r="K66" s="27"/>
      <c r="L66" s="27"/>
      <c r="M66" s="27"/>
      <c r="N66" s="27"/>
      <c r="O66" s="27"/>
      <c r="P66" s="27"/>
      <c r="Q66" s="27"/>
      <c r="R66" s="27"/>
    </row>
    <row r="67" spans="1:21" s="328" customFormat="1" ht="35.25" customHeight="1">
      <c r="A67" s="328" t="s">
        <v>445</v>
      </c>
      <c r="C67" s="774" t="s">
        <v>434</v>
      </c>
      <c r="D67" s="774" t="s">
        <v>435</v>
      </c>
      <c r="E67" s="770"/>
      <c r="F67" s="772" t="str">
        <f>+'INPUTSHEET(BOLT 2)'!E6</f>
        <v>Jinyoung Metal Factory_1</v>
      </c>
      <c r="G67" s="772" t="str">
        <f>+'INPUTSHEET(BOLT 2)'!F6</f>
        <v>Jinyoung Metal Factory_2</v>
      </c>
      <c r="H67" s="772" t="str">
        <f>+'INPUTSHEET(BOLT 2)'!G6</f>
        <v>Kairos</v>
      </c>
      <c r="I67" s="772" t="str">
        <f>+'INPUTSHEET(BOLT 2)'!H6</f>
        <v>Doori Industry</v>
      </c>
      <c r="J67" s="772" t="str">
        <f>+'INPUTSHEET(BOLT 2)'!I6</f>
        <v>Geumjeong Techno</v>
      </c>
      <c r="K67" s="772" t="str">
        <f>+'INPUTSHEET(BOLT 2)'!J6</f>
        <v>Joongang Special Paper</v>
      </c>
      <c r="L67" s="772" t="str">
        <f>+'INPUTSHEET(BOLT 2)'!K6</f>
        <v>Sambo Green Filter</v>
      </c>
      <c r="M67" s="772" t="str">
        <f>+'INPUTSHEET(BOLT 2)'!L6</f>
        <v>Fusei Menix 1 &amp; 2</v>
      </c>
      <c r="N67" s="772" t="str">
        <f>+'INPUTSHEET(BOLT 2)'!M6</f>
        <v>Shincheon Food</v>
      </c>
      <c r="O67" s="772" t="str">
        <f>+'INPUTSHEET(BOLT 2)'!N6</f>
        <v>Giga steel</v>
      </c>
      <c r="P67" s="772" t="str">
        <f>+'INPUTSHEET(BOLT 2)'!O6</f>
        <v>Mijin Precision</v>
      </c>
      <c r="Q67" s="772" t="str">
        <f>+'INPUTSHEET(BOLT 2)'!P6</f>
        <v>Wolchool Metal</v>
      </c>
      <c r="R67" s="772" t="str">
        <f>+'INPUTSHEET(BOLT 2)'!Q6</f>
        <v>Unitech Korea</v>
      </c>
      <c r="S67" s="771"/>
      <c r="T67" s="771"/>
      <c r="U67" s="771"/>
    </row>
    <row r="68" spans="1:21" ht="13.5">
      <c r="B68" s="361" t="s">
        <v>436</v>
      </c>
      <c r="C68" s="361"/>
      <c r="D68" s="361"/>
      <c r="F68">
        <f>+'INPUTSHEET(BOLT 2)'!E24</f>
        <v>0.81720999999999999</v>
      </c>
      <c r="G68">
        <f>+'INPUTSHEET(BOLT 2)'!F24</f>
        <v>0.24068999999999999</v>
      </c>
      <c r="H68">
        <f>+'INPUTSHEET(BOLT 2)'!G24</f>
        <v>0.38624000000000003</v>
      </c>
      <c r="I68">
        <f>+'INPUTSHEET(BOLT 2)'!H24</f>
        <v>0.21</v>
      </c>
      <c r="J68">
        <f>+'INPUTSHEET(BOLT 2)'!I24</f>
        <v>0.122</v>
      </c>
      <c r="K68">
        <f>+'INPUTSHEET(BOLT 2)'!J24</f>
        <v>0.438</v>
      </c>
      <c r="L68">
        <f>+'INPUTSHEET(BOLT 2)'!K24</f>
        <v>0.17100000000000001</v>
      </c>
      <c r="M68">
        <f>+'INPUTSHEET(BOLT 2)'!L24</f>
        <v>0.52700000000000002</v>
      </c>
      <c r="N68">
        <f>+'INPUTSHEET(BOLT 2)'!M24</f>
        <v>0.23400000000000001</v>
      </c>
      <c r="O68">
        <f>+'INPUTSHEET(BOLT 2)'!N24</f>
        <v>0.5</v>
      </c>
      <c r="P68">
        <f>+'INPUTSHEET(BOLT 2)'!O24</f>
        <v>0.127</v>
      </c>
      <c r="Q68">
        <f>+'INPUTSHEET(BOLT 2)'!P24</f>
        <v>0.161</v>
      </c>
      <c r="R68">
        <f>+'INPUTSHEET(BOLT 2)'!Q24</f>
        <v>0.26900000000000002</v>
      </c>
    </row>
    <row r="70" spans="1:21">
      <c r="B70" s="776" t="s">
        <v>437</v>
      </c>
      <c r="E70" s="5">
        <v>25000000</v>
      </c>
      <c r="F70" s="5">
        <f>+SUM(F71:F76)</f>
        <v>53118650</v>
      </c>
      <c r="G70" s="5">
        <f t="shared" ref="G70:R70" si="14">+SUM(G71:G76)</f>
        <v>15644850</v>
      </c>
      <c r="H70" s="5">
        <f t="shared" si="14"/>
        <v>25105600</v>
      </c>
      <c r="I70" s="5">
        <f t="shared" si="14"/>
        <v>13650000</v>
      </c>
      <c r="J70" s="5">
        <f t="shared" si="14"/>
        <v>7930000</v>
      </c>
      <c r="K70" s="5">
        <f t="shared" si="14"/>
        <v>28470000</v>
      </c>
      <c r="L70" s="5">
        <f t="shared" si="14"/>
        <v>11115000</v>
      </c>
      <c r="M70" s="5">
        <f t="shared" si="14"/>
        <v>34255000</v>
      </c>
      <c r="N70" s="5">
        <f t="shared" si="14"/>
        <v>15210000</v>
      </c>
      <c r="O70" s="5">
        <f t="shared" si="14"/>
        <v>32500000</v>
      </c>
      <c r="P70" s="5">
        <f t="shared" si="14"/>
        <v>8255000</v>
      </c>
      <c r="Q70" s="5">
        <f t="shared" si="14"/>
        <v>10465000</v>
      </c>
      <c r="R70" s="5">
        <f t="shared" si="14"/>
        <v>17485000</v>
      </c>
    </row>
    <row r="71" spans="1:21">
      <c r="B71" s="768" t="s">
        <v>422</v>
      </c>
      <c r="C71" s="768"/>
      <c r="D71" s="768"/>
      <c r="E71" s="5">
        <v>12500000</v>
      </c>
      <c r="F71" s="5">
        <f>+$E71*F$68</f>
        <v>10215125</v>
      </c>
      <c r="G71" s="5">
        <f t="shared" ref="G71:R71" si="15">+$E71*G$68</f>
        <v>3008625</v>
      </c>
      <c r="H71" s="5">
        <f t="shared" si="15"/>
        <v>4828000</v>
      </c>
      <c r="I71" s="5">
        <f t="shared" si="15"/>
        <v>2625000</v>
      </c>
      <c r="J71" s="5">
        <f t="shared" si="15"/>
        <v>1525000</v>
      </c>
      <c r="K71" s="5">
        <f t="shared" si="15"/>
        <v>5475000</v>
      </c>
      <c r="L71" s="5">
        <f t="shared" si="15"/>
        <v>2137500</v>
      </c>
      <c r="M71" s="5">
        <f t="shared" si="15"/>
        <v>6587500</v>
      </c>
      <c r="N71" s="5">
        <f t="shared" si="15"/>
        <v>2925000</v>
      </c>
      <c r="O71" s="5">
        <f t="shared" si="15"/>
        <v>6250000</v>
      </c>
      <c r="P71" s="5">
        <f t="shared" si="15"/>
        <v>1587500</v>
      </c>
      <c r="Q71" s="5">
        <f t="shared" si="15"/>
        <v>2012500</v>
      </c>
      <c r="R71" s="5">
        <f t="shared" si="15"/>
        <v>3362500</v>
      </c>
    </row>
    <row r="72" spans="1:21">
      <c r="B72" s="768" t="s">
        <v>424</v>
      </c>
      <c r="C72" s="768"/>
      <c r="D72" s="768"/>
      <c r="F72" s="5">
        <f t="shared" ref="F72:R76" si="16">+$E72*F$68</f>
        <v>0</v>
      </c>
      <c r="G72" s="5">
        <f t="shared" si="16"/>
        <v>0</v>
      </c>
      <c r="H72" s="5">
        <f t="shared" si="16"/>
        <v>0</v>
      </c>
      <c r="I72" s="5">
        <f t="shared" si="16"/>
        <v>0</v>
      </c>
      <c r="J72" s="5">
        <f t="shared" si="16"/>
        <v>0</v>
      </c>
      <c r="K72" s="5">
        <f t="shared" si="16"/>
        <v>0</v>
      </c>
      <c r="L72" s="5">
        <f t="shared" si="16"/>
        <v>0</v>
      </c>
      <c r="M72" s="5">
        <f t="shared" si="16"/>
        <v>0</v>
      </c>
      <c r="N72" s="5">
        <f t="shared" si="16"/>
        <v>0</v>
      </c>
      <c r="O72" s="5">
        <f t="shared" si="16"/>
        <v>0</v>
      </c>
      <c r="P72" s="5">
        <f t="shared" si="16"/>
        <v>0</v>
      </c>
      <c r="Q72" s="5">
        <f t="shared" si="16"/>
        <v>0</v>
      </c>
      <c r="R72" s="5">
        <f t="shared" si="16"/>
        <v>0</v>
      </c>
    </row>
    <row r="73" spans="1:21">
      <c r="B73" s="768" t="s">
        <v>426</v>
      </c>
      <c r="C73" s="768"/>
      <c r="D73" s="768"/>
      <c r="E73" s="5">
        <v>2600000</v>
      </c>
      <c r="F73" s="5">
        <f t="shared" si="16"/>
        <v>2124746</v>
      </c>
      <c r="G73" s="5">
        <f t="shared" si="16"/>
        <v>625794</v>
      </c>
      <c r="H73" s="5">
        <f t="shared" si="16"/>
        <v>1004224.0000000001</v>
      </c>
      <c r="I73" s="5">
        <f t="shared" si="16"/>
        <v>546000</v>
      </c>
      <c r="J73" s="5">
        <f t="shared" si="16"/>
        <v>317200</v>
      </c>
      <c r="K73" s="5">
        <f t="shared" si="16"/>
        <v>1138800</v>
      </c>
      <c r="L73" s="5">
        <f t="shared" si="16"/>
        <v>444600.00000000006</v>
      </c>
      <c r="M73" s="5">
        <f t="shared" si="16"/>
        <v>1370200</v>
      </c>
      <c r="N73" s="5">
        <f t="shared" si="16"/>
        <v>608400</v>
      </c>
      <c r="O73" s="5">
        <f t="shared" si="16"/>
        <v>1300000</v>
      </c>
      <c r="P73" s="5">
        <f t="shared" si="16"/>
        <v>330200</v>
      </c>
      <c r="Q73" s="5">
        <f t="shared" si="16"/>
        <v>418600</v>
      </c>
      <c r="R73" s="5">
        <f t="shared" si="16"/>
        <v>699400</v>
      </c>
    </row>
    <row r="74" spans="1:21">
      <c r="B74" s="768" t="s">
        <v>428</v>
      </c>
      <c r="C74" s="768"/>
      <c r="D74" s="768"/>
      <c r="E74" s="5">
        <v>6000000</v>
      </c>
      <c r="F74" s="5">
        <f t="shared" si="16"/>
        <v>4903260</v>
      </c>
      <c r="G74" s="5">
        <f t="shared" si="16"/>
        <v>1444140</v>
      </c>
      <c r="H74" s="5">
        <f t="shared" si="16"/>
        <v>2317440</v>
      </c>
      <c r="I74" s="5">
        <f t="shared" si="16"/>
        <v>1260000</v>
      </c>
      <c r="J74" s="5">
        <f t="shared" si="16"/>
        <v>732000</v>
      </c>
      <c r="K74" s="5">
        <f t="shared" si="16"/>
        <v>2628000</v>
      </c>
      <c r="L74" s="5">
        <f t="shared" si="16"/>
        <v>1026000.0000000001</v>
      </c>
      <c r="M74" s="5">
        <f t="shared" si="16"/>
        <v>3162000</v>
      </c>
      <c r="N74" s="5">
        <f t="shared" si="16"/>
        <v>1404000</v>
      </c>
      <c r="O74" s="5">
        <f t="shared" si="16"/>
        <v>3000000</v>
      </c>
      <c r="P74" s="5">
        <f t="shared" si="16"/>
        <v>762000</v>
      </c>
      <c r="Q74" s="5">
        <f t="shared" si="16"/>
        <v>966000</v>
      </c>
      <c r="R74" s="5">
        <f t="shared" si="16"/>
        <v>1614000</v>
      </c>
    </row>
    <row r="75" spans="1:21">
      <c r="B75" s="768" t="s">
        <v>430</v>
      </c>
      <c r="C75" s="768"/>
      <c r="D75" s="768"/>
      <c r="E75" s="5">
        <v>3900000</v>
      </c>
      <c r="F75" s="5">
        <f t="shared" si="16"/>
        <v>3187119</v>
      </c>
      <c r="G75" s="5">
        <f t="shared" si="16"/>
        <v>938691</v>
      </c>
      <c r="H75" s="5">
        <f t="shared" si="16"/>
        <v>1506336</v>
      </c>
      <c r="I75" s="5">
        <f t="shared" si="16"/>
        <v>819000</v>
      </c>
      <c r="J75" s="5">
        <f t="shared" si="16"/>
        <v>475800</v>
      </c>
      <c r="K75" s="5">
        <f t="shared" si="16"/>
        <v>1708200</v>
      </c>
      <c r="L75" s="5">
        <f t="shared" si="16"/>
        <v>666900</v>
      </c>
      <c r="M75" s="5">
        <f t="shared" si="16"/>
        <v>2055300</v>
      </c>
      <c r="N75" s="5">
        <f t="shared" si="16"/>
        <v>912600</v>
      </c>
      <c r="O75" s="5">
        <f t="shared" si="16"/>
        <v>1950000</v>
      </c>
      <c r="P75" s="5">
        <f t="shared" si="16"/>
        <v>495300</v>
      </c>
      <c r="Q75" s="5">
        <f t="shared" si="16"/>
        <v>627900</v>
      </c>
      <c r="R75" s="5">
        <f t="shared" si="16"/>
        <v>1049100</v>
      </c>
    </row>
    <row r="76" spans="1:21">
      <c r="B76" s="768" t="s">
        <v>432</v>
      </c>
      <c r="C76" s="768"/>
      <c r="D76" s="768"/>
      <c r="E76" s="5">
        <v>40000000</v>
      </c>
      <c r="F76" s="5">
        <f t="shared" si="16"/>
        <v>32688400</v>
      </c>
      <c r="G76" s="5">
        <f t="shared" si="16"/>
        <v>9627600</v>
      </c>
      <c r="H76" s="5">
        <f t="shared" si="16"/>
        <v>15449600.000000002</v>
      </c>
      <c r="I76" s="5">
        <f t="shared" si="16"/>
        <v>8400000</v>
      </c>
      <c r="J76" s="5">
        <f t="shared" si="16"/>
        <v>4880000</v>
      </c>
      <c r="K76" s="5">
        <f t="shared" si="16"/>
        <v>17520000</v>
      </c>
      <c r="L76" s="5">
        <f t="shared" si="16"/>
        <v>6840000.0000000009</v>
      </c>
      <c r="M76" s="5">
        <f t="shared" si="16"/>
        <v>21080000</v>
      </c>
      <c r="N76" s="5">
        <f t="shared" si="16"/>
        <v>9360000</v>
      </c>
      <c r="O76" s="5">
        <f t="shared" si="16"/>
        <v>20000000</v>
      </c>
      <c r="P76" s="5">
        <f t="shared" si="16"/>
        <v>5080000</v>
      </c>
      <c r="Q76" s="5">
        <f t="shared" si="16"/>
        <v>6440000</v>
      </c>
      <c r="R76" s="5">
        <f t="shared" si="16"/>
        <v>10760000</v>
      </c>
    </row>
    <row r="78" spans="1:21">
      <c r="B78" s="776" t="s">
        <v>438</v>
      </c>
      <c r="E78" s="5">
        <v>1100000000</v>
      </c>
      <c r="F78" s="27">
        <f>+SUM(F79:F81)</f>
        <v>898931000</v>
      </c>
      <c r="G78" s="27">
        <f t="shared" ref="G78:R78" si="17">+SUM(G79:G81)</f>
        <v>264759000</v>
      </c>
      <c r="H78" s="27">
        <f t="shared" si="17"/>
        <v>424864000</v>
      </c>
      <c r="I78" s="27">
        <f t="shared" si="17"/>
        <v>231000000</v>
      </c>
      <c r="J78" s="27">
        <f t="shared" si="17"/>
        <v>134200000</v>
      </c>
      <c r="K78" s="27">
        <f t="shared" si="17"/>
        <v>481800000</v>
      </c>
      <c r="L78" s="27">
        <f t="shared" si="17"/>
        <v>188100000</v>
      </c>
      <c r="M78" s="27">
        <f t="shared" si="17"/>
        <v>579700000</v>
      </c>
      <c r="N78" s="27">
        <f t="shared" si="17"/>
        <v>257400000</v>
      </c>
      <c r="O78" s="27">
        <f t="shared" si="17"/>
        <v>550000000</v>
      </c>
      <c r="P78" s="27">
        <f t="shared" si="17"/>
        <v>139700000</v>
      </c>
      <c r="Q78" s="27">
        <f t="shared" si="17"/>
        <v>177100000</v>
      </c>
      <c r="R78" s="27">
        <f t="shared" si="17"/>
        <v>295900000</v>
      </c>
    </row>
    <row r="79" spans="1:21">
      <c r="B79" s="773" t="str">
        <f>+'INPUTSHEET(BOLT 2)'!B163</f>
        <v>BOS</v>
      </c>
      <c r="C79" s="773"/>
      <c r="D79" s="773"/>
      <c r="E79" s="5">
        <v>800000000</v>
      </c>
      <c r="F79" s="5">
        <f t="shared" ref="F79:R81" si="18">+$E79*F$68</f>
        <v>653768000</v>
      </c>
      <c r="G79" s="5">
        <f t="shared" si="18"/>
        <v>192552000</v>
      </c>
      <c r="H79" s="5">
        <f t="shared" si="18"/>
        <v>308992000</v>
      </c>
      <c r="I79" s="5">
        <f t="shared" si="18"/>
        <v>168000000</v>
      </c>
      <c r="J79" s="5">
        <f t="shared" si="18"/>
        <v>97600000</v>
      </c>
      <c r="K79" s="5">
        <f t="shared" si="18"/>
        <v>350400000</v>
      </c>
      <c r="L79" s="5">
        <f t="shared" si="18"/>
        <v>136800000</v>
      </c>
      <c r="M79" s="5">
        <f t="shared" si="18"/>
        <v>421600000</v>
      </c>
      <c r="N79" s="5">
        <f t="shared" si="18"/>
        <v>187200000</v>
      </c>
      <c r="O79" s="5">
        <f t="shared" si="18"/>
        <v>400000000</v>
      </c>
      <c r="P79" s="5">
        <f t="shared" si="18"/>
        <v>101600000</v>
      </c>
      <c r="Q79" s="5">
        <f t="shared" si="18"/>
        <v>128800000</v>
      </c>
      <c r="R79" s="5">
        <f t="shared" si="18"/>
        <v>215200000</v>
      </c>
    </row>
    <row r="80" spans="1:21">
      <c r="B80" s="773" t="str">
        <f>+'INPUTSHEET(BOLT 2)'!B195</f>
        <v>Modules</v>
      </c>
      <c r="C80" s="773"/>
      <c r="D80" s="773"/>
      <c r="E80" s="5">
        <v>180000000</v>
      </c>
      <c r="F80" s="5">
        <f t="shared" si="18"/>
        <v>147097800</v>
      </c>
      <c r="G80" s="5">
        <f t="shared" si="18"/>
        <v>43324200</v>
      </c>
      <c r="H80" s="5">
        <f t="shared" si="18"/>
        <v>69523200</v>
      </c>
      <c r="I80" s="5">
        <f t="shared" si="18"/>
        <v>37800000</v>
      </c>
      <c r="J80" s="5">
        <f t="shared" si="18"/>
        <v>21960000</v>
      </c>
      <c r="K80" s="5">
        <f t="shared" si="18"/>
        <v>78840000</v>
      </c>
      <c r="L80" s="5">
        <f t="shared" si="18"/>
        <v>30780000.000000004</v>
      </c>
      <c r="M80" s="5">
        <f t="shared" si="18"/>
        <v>94860000</v>
      </c>
      <c r="N80" s="5">
        <f t="shared" si="18"/>
        <v>42120000</v>
      </c>
      <c r="O80" s="5">
        <f t="shared" si="18"/>
        <v>90000000</v>
      </c>
      <c r="P80" s="5">
        <f t="shared" si="18"/>
        <v>22860000</v>
      </c>
      <c r="Q80" s="5">
        <f t="shared" si="18"/>
        <v>28980000</v>
      </c>
      <c r="R80" s="5">
        <f t="shared" si="18"/>
        <v>48420000</v>
      </c>
    </row>
    <row r="81" spans="1:21">
      <c r="B81" s="773" t="str">
        <f>+'INPUTSHEET(BOLT 2)'!B227</f>
        <v>Grid Connection Cost</v>
      </c>
      <c r="C81" s="773"/>
      <c r="D81" s="773"/>
      <c r="E81" s="5">
        <v>120000000</v>
      </c>
      <c r="F81" s="5">
        <f t="shared" si="18"/>
        <v>98065200</v>
      </c>
      <c r="G81" s="5">
        <f t="shared" si="18"/>
        <v>28882800</v>
      </c>
      <c r="H81" s="5">
        <f t="shared" si="18"/>
        <v>46348800</v>
      </c>
      <c r="I81" s="5">
        <f t="shared" si="18"/>
        <v>25200000</v>
      </c>
      <c r="J81" s="5">
        <f t="shared" si="18"/>
        <v>14640000</v>
      </c>
      <c r="K81" s="5">
        <f t="shared" si="18"/>
        <v>52560000</v>
      </c>
      <c r="L81" s="5">
        <f t="shared" si="18"/>
        <v>20520000</v>
      </c>
      <c r="M81" s="5">
        <f t="shared" si="18"/>
        <v>63240000</v>
      </c>
      <c r="N81" s="5">
        <f t="shared" si="18"/>
        <v>28080000</v>
      </c>
      <c r="O81" s="5">
        <f t="shared" si="18"/>
        <v>60000000</v>
      </c>
      <c r="P81" s="5">
        <f t="shared" si="18"/>
        <v>15240000</v>
      </c>
      <c r="Q81" s="5">
        <f t="shared" si="18"/>
        <v>19320000</v>
      </c>
      <c r="R81" s="5">
        <f t="shared" si="18"/>
        <v>32280000.000000004</v>
      </c>
    </row>
    <row r="83" spans="1:21">
      <c r="B83" s="776" t="s">
        <v>439</v>
      </c>
    </row>
    <row r="84" spans="1:21">
      <c r="B84" s="773" t="s">
        <v>440</v>
      </c>
      <c r="C84" s="773"/>
      <c r="D84" s="773"/>
      <c r="F84" s="27">
        <f>+F68*F85</f>
        <v>286023500</v>
      </c>
      <c r="G84" s="27">
        <f t="shared" ref="G84:R84" si="19">+G68*G85</f>
        <v>84241500</v>
      </c>
      <c r="H84" s="27">
        <f t="shared" si="19"/>
        <v>173808000</v>
      </c>
      <c r="I84" s="27">
        <f t="shared" si="19"/>
        <v>94500000</v>
      </c>
      <c r="J84" s="27">
        <f t="shared" si="19"/>
        <v>54900000</v>
      </c>
      <c r="K84" s="27">
        <f t="shared" si="19"/>
        <v>197100000</v>
      </c>
      <c r="L84" s="27">
        <f t="shared" si="19"/>
        <v>76950000</v>
      </c>
      <c r="M84" s="27">
        <f t="shared" si="19"/>
        <v>237150000</v>
      </c>
      <c r="N84" s="27">
        <f t="shared" si="19"/>
        <v>105300000</v>
      </c>
      <c r="O84" s="27">
        <f t="shared" si="19"/>
        <v>225000000</v>
      </c>
      <c r="P84" s="27">
        <f t="shared" si="19"/>
        <v>57150000</v>
      </c>
      <c r="Q84" s="27">
        <f t="shared" si="19"/>
        <v>72450000</v>
      </c>
      <c r="R84" s="27">
        <f t="shared" si="19"/>
        <v>134500000</v>
      </c>
    </row>
    <row r="85" spans="1:21" ht="13.5">
      <c r="B85" s="361" t="s">
        <v>441</v>
      </c>
      <c r="C85" s="361"/>
      <c r="D85" s="361"/>
      <c r="F85" s="27">
        <v>350000000</v>
      </c>
      <c r="G85" s="27">
        <v>350000000</v>
      </c>
      <c r="H85" s="27">
        <v>450000000</v>
      </c>
      <c r="I85" s="27">
        <v>450000000</v>
      </c>
      <c r="J85" s="27">
        <v>450000000</v>
      </c>
      <c r="K85" s="27">
        <v>450000000</v>
      </c>
      <c r="L85" s="27">
        <v>450000000</v>
      </c>
      <c r="M85" s="27">
        <v>450000000</v>
      </c>
      <c r="N85" s="27">
        <v>450000000</v>
      </c>
      <c r="O85" s="27">
        <v>450000000</v>
      </c>
      <c r="P85" s="27">
        <v>450000000</v>
      </c>
      <c r="Q85" s="27">
        <v>450000000</v>
      </c>
      <c r="R85" s="27">
        <v>500000000</v>
      </c>
    </row>
    <row r="86" spans="1:21">
      <c r="F86" s="27"/>
      <c r="G86" s="27"/>
      <c r="H86" s="27"/>
      <c r="I86" s="27"/>
      <c r="J86" s="27"/>
      <c r="K86" s="27"/>
      <c r="L86" s="27"/>
      <c r="M86" s="27"/>
      <c r="N86" s="27"/>
      <c r="O86" s="27"/>
      <c r="P86" s="27"/>
      <c r="Q86" s="27"/>
      <c r="R86" s="27"/>
    </row>
    <row r="87" spans="1:21" ht="13.5">
      <c r="B87" s="361" t="s">
        <v>442</v>
      </c>
      <c r="C87" s="361"/>
      <c r="D87" s="361"/>
      <c r="F87" s="27"/>
      <c r="G87" s="27"/>
      <c r="H87" s="27"/>
      <c r="I87" s="27"/>
      <c r="J87" s="27"/>
      <c r="K87" s="27"/>
      <c r="L87" s="27"/>
      <c r="M87" s="27"/>
      <c r="N87" s="27"/>
      <c r="O87" s="27"/>
      <c r="P87" s="27"/>
      <c r="Q87" s="27"/>
      <c r="R87" s="27"/>
    </row>
    <row r="88" spans="1:21">
      <c r="B88" s="773" t="str">
        <f>+'INPUTSHEET(BOLT 2)'!B293</f>
        <v>Other</v>
      </c>
      <c r="C88" s="773"/>
      <c r="D88" s="773"/>
      <c r="F88" s="27">
        <f>+F68*F89</f>
        <v>28602350</v>
      </c>
      <c r="G88" s="27">
        <f t="shared" ref="G88:R88" si="20">+G68*G89</f>
        <v>8424150</v>
      </c>
      <c r="H88" s="27">
        <f t="shared" si="20"/>
        <v>13518400.000000002</v>
      </c>
      <c r="I88" s="27">
        <f t="shared" si="20"/>
        <v>8400000</v>
      </c>
      <c r="J88" s="27">
        <f t="shared" si="20"/>
        <v>4270000</v>
      </c>
      <c r="K88" s="27">
        <f t="shared" si="20"/>
        <v>15330000</v>
      </c>
      <c r="L88" s="27">
        <f t="shared" si="20"/>
        <v>5985000</v>
      </c>
      <c r="M88" s="27">
        <f t="shared" si="20"/>
        <v>21080000</v>
      </c>
      <c r="N88" s="27">
        <f t="shared" si="20"/>
        <v>8190000.0000000009</v>
      </c>
      <c r="O88" s="27">
        <f t="shared" si="20"/>
        <v>17500000</v>
      </c>
      <c r="P88" s="27">
        <f t="shared" si="20"/>
        <v>4445000</v>
      </c>
      <c r="Q88" s="27">
        <f t="shared" si="20"/>
        <v>6440000</v>
      </c>
      <c r="R88" s="27">
        <f t="shared" si="20"/>
        <v>10760000</v>
      </c>
    </row>
    <row r="89" spans="1:21" ht="13.5">
      <c r="B89" t="s">
        <v>443</v>
      </c>
      <c r="F89" s="27">
        <v>35000000</v>
      </c>
      <c r="G89" s="27">
        <v>35000000</v>
      </c>
      <c r="H89" s="27">
        <v>35000000</v>
      </c>
      <c r="I89" s="27">
        <v>40000000</v>
      </c>
      <c r="J89" s="27">
        <v>35000000</v>
      </c>
      <c r="K89" s="27">
        <v>35000000</v>
      </c>
      <c r="L89" s="27">
        <v>35000000</v>
      </c>
      <c r="M89" s="27">
        <v>40000000</v>
      </c>
      <c r="N89" s="27">
        <v>35000000</v>
      </c>
      <c r="O89" s="27">
        <v>35000000</v>
      </c>
      <c r="P89" s="27">
        <v>35000000</v>
      </c>
      <c r="Q89" s="27">
        <v>40000000</v>
      </c>
      <c r="R89" s="27">
        <v>40000000</v>
      </c>
    </row>
    <row r="92" spans="1:21" s="328" customFormat="1" ht="35.25" customHeight="1">
      <c r="A92" s="328" t="s">
        <v>1085</v>
      </c>
      <c r="C92" s="774" t="s">
        <v>434</v>
      </c>
      <c r="D92" s="774" t="s">
        <v>435</v>
      </c>
      <c r="E92" s="770"/>
      <c r="F92" s="772" t="str">
        <f>+'SPV별 DEVEX 현황'!C41</f>
        <v>Daesung Fruit Industry</v>
      </c>
      <c r="G92" s="772" t="str">
        <f>+'SPV별 DEVEX 현황'!C42</f>
        <v>RMK</v>
      </c>
      <c r="H92" s="772" t="str">
        <f>+'SPV별 DEVEX 현황'!C43</f>
        <v>Ilshin Industry(HQ)</v>
      </c>
      <c r="I92" s="772" t="str">
        <f>+'SPV별 DEVEX 현황'!C44</f>
        <v>Ilsan Metal</v>
      </c>
      <c r="J92" s="772" t="str">
        <f>+'SPV별 DEVEX 현황'!C45</f>
        <v>LC-Tech</v>
      </c>
      <c r="K92" s="772" t="str">
        <f>+'SPV별 DEVEX 현황'!C46</f>
        <v>Lijin Factory 1</v>
      </c>
      <c r="L92" s="772" t="str">
        <f>+'SPV별 DEVEX 현황'!C47</f>
        <v>Lijin Factory 2</v>
      </c>
      <c r="M92" s="772" t="str">
        <f>+'SPV별 DEVEX 현황'!C48</f>
        <v>kinam Metal</v>
      </c>
      <c r="N92" s="772" t="str">
        <f>+'SPV별 DEVEX 현황'!C49</f>
        <v>JK Fiber</v>
      </c>
      <c r="O92" s="772">
        <f>+'INPUTSHEET(BOLT 2)'!N31</f>
        <v>0</v>
      </c>
      <c r="P92" s="772">
        <f>+'INPUTSHEET(BOLT 2)'!O31</f>
        <v>0</v>
      </c>
      <c r="Q92" s="772">
        <f>+'INPUTSHEET(BOLT 2)'!P31</f>
        <v>0</v>
      </c>
      <c r="R92" s="772">
        <f>+'INPUTSHEET(BOLT 2)'!Q31</f>
        <v>0</v>
      </c>
      <c r="S92" s="771"/>
      <c r="T92" s="771"/>
      <c r="U92" s="771"/>
    </row>
    <row r="93" spans="1:21" ht="13.5">
      <c r="B93" s="361" t="s">
        <v>436</v>
      </c>
      <c r="C93" s="361"/>
      <c r="D93" s="361"/>
      <c r="F93" s="657">
        <f>+'SPV별 DEVEX 현황'!D41</f>
        <v>315</v>
      </c>
      <c r="G93" s="657">
        <f>+'SPV별 DEVEX 현황'!D42</f>
        <v>991</v>
      </c>
      <c r="H93" s="657">
        <f>+'SPV별 DEVEX 현황'!D43</f>
        <v>1000</v>
      </c>
      <c r="I93" s="657">
        <f>+'SPV별 DEVEX 현황'!D44</f>
        <v>156</v>
      </c>
      <c r="J93" s="657">
        <f>+'SPV별 DEVEX 현황'!D45</f>
        <v>173</v>
      </c>
      <c r="K93" s="657">
        <f>+'SPV별 DEVEX 현황'!D46</f>
        <v>227</v>
      </c>
      <c r="L93" s="657">
        <f>+'SPV별 DEVEX 현황'!D47</f>
        <v>233</v>
      </c>
      <c r="M93" s="657">
        <f>+'SPV별 DEVEX 현황'!D48</f>
        <v>237</v>
      </c>
      <c r="N93" s="657">
        <f>+'SPV별 DEVEX 현황'!D49</f>
        <v>165</v>
      </c>
      <c r="O93">
        <f>+'INPUTSHEET(BOLT 2)'!N49</f>
        <v>2E-3</v>
      </c>
      <c r="P93">
        <f>+'INPUTSHEET(BOLT 2)'!O49</f>
        <v>2E-3</v>
      </c>
      <c r="Q93">
        <f>+'INPUTSHEET(BOLT 2)'!P49</f>
        <v>2E-3</v>
      </c>
      <c r="R93">
        <f>+'INPUTSHEET(BOLT 2)'!Q49</f>
        <v>2E-3</v>
      </c>
    </row>
    <row r="95" spans="1:21">
      <c r="B95" s="776" t="s">
        <v>437</v>
      </c>
      <c r="E95" s="5">
        <v>25000000</v>
      </c>
      <c r="F95" s="5">
        <f>+SUM(F96:F101)</f>
        <v>20475000</v>
      </c>
      <c r="G95" s="5">
        <f t="shared" ref="G95:R95" si="21">+SUM(G96:G101)</f>
        <v>74325000</v>
      </c>
      <c r="H95" s="5">
        <f t="shared" si="21"/>
        <v>65000000</v>
      </c>
      <c r="I95" s="5">
        <f t="shared" si="21"/>
        <v>10140000</v>
      </c>
      <c r="J95" s="5">
        <f t="shared" si="21"/>
        <v>11245000</v>
      </c>
      <c r="K95" s="5">
        <f t="shared" si="21"/>
        <v>14755000</v>
      </c>
      <c r="L95" s="5">
        <f t="shared" si="21"/>
        <v>15145000</v>
      </c>
      <c r="M95" s="5">
        <f t="shared" si="21"/>
        <v>15405000</v>
      </c>
      <c r="N95" s="5">
        <f t="shared" si="21"/>
        <v>10725000</v>
      </c>
      <c r="O95" s="5">
        <f t="shared" si="21"/>
        <v>130</v>
      </c>
      <c r="P95" s="5">
        <f t="shared" si="21"/>
        <v>130</v>
      </c>
      <c r="Q95" s="5">
        <f t="shared" si="21"/>
        <v>130</v>
      </c>
      <c r="R95" s="5">
        <f t="shared" si="21"/>
        <v>130</v>
      </c>
    </row>
    <row r="96" spans="1:21">
      <c r="B96" s="768" t="s">
        <v>422</v>
      </c>
      <c r="C96" s="768"/>
      <c r="D96" s="768"/>
      <c r="E96" s="5">
        <v>12500000</v>
      </c>
      <c r="F96" s="5">
        <f t="shared" ref="F96:R101" si="22">+$E96*F$93/1000</f>
        <v>3937500</v>
      </c>
      <c r="G96" s="5">
        <f t="shared" si="22"/>
        <v>12387500</v>
      </c>
      <c r="H96" s="5">
        <f t="shared" si="22"/>
        <v>12500000</v>
      </c>
      <c r="I96" s="5">
        <f t="shared" si="22"/>
        <v>1950000</v>
      </c>
      <c r="J96" s="5">
        <f t="shared" si="22"/>
        <v>2162500</v>
      </c>
      <c r="K96" s="5">
        <f t="shared" si="22"/>
        <v>2837500</v>
      </c>
      <c r="L96" s="5">
        <f t="shared" si="22"/>
        <v>2912500</v>
      </c>
      <c r="M96" s="5">
        <f t="shared" si="22"/>
        <v>2962500</v>
      </c>
      <c r="N96" s="5">
        <f t="shared" si="22"/>
        <v>2062500</v>
      </c>
      <c r="O96" s="5">
        <f t="shared" si="22"/>
        <v>25</v>
      </c>
      <c r="P96" s="5">
        <f t="shared" si="22"/>
        <v>25</v>
      </c>
      <c r="Q96" s="5">
        <f t="shared" si="22"/>
        <v>25</v>
      </c>
      <c r="R96" s="5">
        <f t="shared" si="22"/>
        <v>25</v>
      </c>
    </row>
    <row r="97" spans="2:18">
      <c r="B97" s="768" t="s">
        <v>424</v>
      </c>
      <c r="C97" s="768"/>
      <c r="D97" s="768"/>
      <c r="F97" s="5">
        <f t="shared" si="22"/>
        <v>0</v>
      </c>
      <c r="G97" s="5">
        <f t="shared" si="22"/>
        <v>0</v>
      </c>
      <c r="H97" s="5">
        <f t="shared" si="22"/>
        <v>0</v>
      </c>
      <c r="I97" s="5">
        <f t="shared" si="22"/>
        <v>0</v>
      </c>
      <c r="J97" s="5">
        <f t="shared" si="22"/>
        <v>0</v>
      </c>
      <c r="K97" s="5">
        <f t="shared" si="22"/>
        <v>0</v>
      </c>
      <c r="L97" s="5">
        <f t="shared" si="22"/>
        <v>0</v>
      </c>
      <c r="M97" s="5">
        <f t="shared" si="22"/>
        <v>0</v>
      </c>
      <c r="N97" s="5">
        <f t="shared" si="22"/>
        <v>0</v>
      </c>
      <c r="O97" s="5">
        <f t="shared" si="22"/>
        <v>0</v>
      </c>
      <c r="P97" s="5">
        <f t="shared" si="22"/>
        <v>0</v>
      </c>
      <c r="Q97" s="5">
        <f t="shared" si="22"/>
        <v>0</v>
      </c>
      <c r="R97" s="5">
        <f t="shared" si="22"/>
        <v>0</v>
      </c>
    </row>
    <row r="98" spans="2:18">
      <c r="B98" s="768" t="s">
        <v>426</v>
      </c>
      <c r="C98" s="768"/>
      <c r="D98" s="768"/>
      <c r="E98" s="5">
        <v>2600000</v>
      </c>
      <c r="F98" s="5">
        <f t="shared" si="22"/>
        <v>819000</v>
      </c>
      <c r="G98" s="5">
        <f t="shared" si="22"/>
        <v>2576600</v>
      </c>
      <c r="H98" s="5">
        <f t="shared" si="22"/>
        <v>2600000</v>
      </c>
      <c r="I98" s="5">
        <f t="shared" si="22"/>
        <v>405600</v>
      </c>
      <c r="J98" s="5">
        <f t="shared" si="22"/>
        <v>449800</v>
      </c>
      <c r="K98" s="5">
        <f t="shared" si="22"/>
        <v>590200</v>
      </c>
      <c r="L98" s="5">
        <f t="shared" si="22"/>
        <v>605800</v>
      </c>
      <c r="M98" s="5">
        <f t="shared" si="22"/>
        <v>616200</v>
      </c>
      <c r="N98" s="5">
        <f t="shared" si="22"/>
        <v>429000</v>
      </c>
      <c r="O98" s="5">
        <f t="shared" si="22"/>
        <v>5.2</v>
      </c>
      <c r="P98" s="5">
        <f t="shared" si="22"/>
        <v>5.2</v>
      </c>
      <c r="Q98" s="5">
        <f t="shared" si="22"/>
        <v>5.2</v>
      </c>
      <c r="R98" s="5">
        <f t="shared" si="22"/>
        <v>5.2</v>
      </c>
    </row>
    <row r="99" spans="2:18">
      <c r="B99" s="768" t="s">
        <v>428</v>
      </c>
      <c r="C99" s="768"/>
      <c r="D99" s="768"/>
      <c r="E99" s="5">
        <v>6000000</v>
      </c>
      <c r="F99" s="5">
        <f t="shared" si="22"/>
        <v>1890000</v>
      </c>
      <c r="G99" s="5">
        <f t="shared" si="22"/>
        <v>5946000</v>
      </c>
      <c r="H99" s="5">
        <f t="shared" si="22"/>
        <v>6000000</v>
      </c>
      <c r="I99" s="5">
        <f t="shared" si="22"/>
        <v>936000</v>
      </c>
      <c r="J99" s="5">
        <f t="shared" si="22"/>
        <v>1038000</v>
      </c>
      <c r="K99" s="5">
        <f t="shared" si="22"/>
        <v>1362000</v>
      </c>
      <c r="L99" s="5">
        <f t="shared" si="22"/>
        <v>1398000</v>
      </c>
      <c r="M99" s="5">
        <f t="shared" si="22"/>
        <v>1422000</v>
      </c>
      <c r="N99" s="5">
        <f t="shared" si="22"/>
        <v>990000</v>
      </c>
      <c r="O99" s="5">
        <f t="shared" si="22"/>
        <v>12</v>
      </c>
      <c r="P99" s="5">
        <f t="shared" si="22"/>
        <v>12</v>
      </c>
      <c r="Q99" s="5">
        <f t="shared" si="22"/>
        <v>12</v>
      </c>
      <c r="R99" s="5">
        <f t="shared" si="22"/>
        <v>12</v>
      </c>
    </row>
    <row r="100" spans="2:18">
      <c r="B100" s="768" t="s">
        <v>430</v>
      </c>
      <c r="C100" s="768"/>
      <c r="D100" s="768"/>
      <c r="E100" s="5">
        <v>3900000</v>
      </c>
      <c r="F100" s="5">
        <f t="shared" si="22"/>
        <v>1228500</v>
      </c>
      <c r="G100" s="5">
        <f t="shared" si="22"/>
        <v>3864900</v>
      </c>
      <c r="H100" s="5">
        <f t="shared" si="22"/>
        <v>3900000</v>
      </c>
      <c r="I100" s="5">
        <f t="shared" si="22"/>
        <v>608400</v>
      </c>
      <c r="J100" s="5">
        <f t="shared" si="22"/>
        <v>674700</v>
      </c>
      <c r="K100" s="5">
        <f t="shared" si="22"/>
        <v>885300</v>
      </c>
      <c r="L100" s="5">
        <f t="shared" si="22"/>
        <v>908700</v>
      </c>
      <c r="M100" s="5">
        <f t="shared" si="22"/>
        <v>924300</v>
      </c>
      <c r="N100" s="5">
        <f t="shared" si="22"/>
        <v>643500</v>
      </c>
      <c r="O100" s="5">
        <f t="shared" si="22"/>
        <v>7.8</v>
      </c>
      <c r="P100" s="5">
        <f t="shared" si="22"/>
        <v>7.8</v>
      </c>
      <c r="Q100" s="5">
        <f t="shared" si="22"/>
        <v>7.8</v>
      </c>
      <c r="R100" s="5">
        <f t="shared" si="22"/>
        <v>7.8</v>
      </c>
    </row>
    <row r="101" spans="2:18">
      <c r="B101" s="768" t="s">
        <v>432</v>
      </c>
      <c r="C101" s="768"/>
      <c r="D101" s="768"/>
      <c r="E101" s="5">
        <v>40000000</v>
      </c>
      <c r="F101" s="5">
        <f>+$E101*F$93/1000</f>
        <v>12600000</v>
      </c>
      <c r="G101" s="5">
        <f>+($E101+10000000)*G$93/1000</f>
        <v>49550000</v>
      </c>
      <c r="H101" s="5">
        <f>+$E101*H$93/1000</f>
        <v>40000000</v>
      </c>
      <c r="I101" s="5">
        <f>+$E101*I$93/1000</f>
        <v>6240000</v>
      </c>
      <c r="J101" s="5">
        <f>+$E101*J$93/1000</f>
        <v>6920000</v>
      </c>
      <c r="K101" s="5">
        <f t="shared" si="22"/>
        <v>9080000</v>
      </c>
      <c r="L101" s="5">
        <f t="shared" si="22"/>
        <v>9320000</v>
      </c>
      <c r="M101" s="5">
        <f t="shared" si="22"/>
        <v>9480000</v>
      </c>
      <c r="N101" s="5">
        <f t="shared" si="22"/>
        <v>6600000</v>
      </c>
      <c r="O101" s="5">
        <f t="shared" si="22"/>
        <v>80</v>
      </c>
      <c r="P101" s="5">
        <f t="shared" si="22"/>
        <v>80</v>
      </c>
      <c r="Q101" s="5">
        <f t="shared" si="22"/>
        <v>80</v>
      </c>
      <c r="R101" s="5">
        <f t="shared" si="22"/>
        <v>80</v>
      </c>
    </row>
    <row r="103" spans="2:18">
      <c r="B103" s="776" t="s">
        <v>438</v>
      </c>
      <c r="E103" s="5">
        <v>1100000000</v>
      </c>
      <c r="F103" s="27">
        <f>+SUM(F104:F106)</f>
        <v>346500000</v>
      </c>
      <c r="G103" s="27">
        <f t="shared" ref="G103:R103" si="23">+SUM(G104:G106)</f>
        <v>1090100000</v>
      </c>
      <c r="H103" s="27">
        <f t="shared" si="23"/>
        <v>1100000000</v>
      </c>
      <c r="I103" s="27">
        <f t="shared" si="23"/>
        <v>171600000</v>
      </c>
      <c r="J103" s="27">
        <f t="shared" si="23"/>
        <v>190300000</v>
      </c>
      <c r="K103" s="27">
        <f t="shared" si="23"/>
        <v>249700000</v>
      </c>
      <c r="L103" s="27">
        <f t="shared" si="23"/>
        <v>256300000</v>
      </c>
      <c r="M103" s="27">
        <f t="shared" si="23"/>
        <v>260700000</v>
      </c>
      <c r="N103" s="27">
        <f t="shared" si="23"/>
        <v>181500000</v>
      </c>
      <c r="O103" s="27">
        <f t="shared" si="23"/>
        <v>2200</v>
      </c>
      <c r="P103" s="27">
        <f t="shared" si="23"/>
        <v>2200</v>
      </c>
      <c r="Q103" s="27">
        <f t="shared" si="23"/>
        <v>2200</v>
      </c>
      <c r="R103" s="27">
        <f t="shared" si="23"/>
        <v>2200</v>
      </c>
    </row>
    <row r="104" spans="2:18">
      <c r="B104" s="773" t="str">
        <f>+$B$79</f>
        <v>BOS</v>
      </c>
      <c r="C104" s="773"/>
      <c r="D104" s="773"/>
      <c r="E104" s="5">
        <v>800000000</v>
      </c>
      <c r="F104" s="5">
        <f t="shared" ref="F104:R106" si="24">+$E104*F$93/1000</f>
        <v>252000000</v>
      </c>
      <c r="G104" s="5">
        <f t="shared" si="24"/>
        <v>792800000</v>
      </c>
      <c r="H104" s="5">
        <f t="shared" si="24"/>
        <v>800000000</v>
      </c>
      <c r="I104" s="5">
        <f t="shared" si="24"/>
        <v>124800000</v>
      </c>
      <c r="J104" s="5">
        <f t="shared" si="24"/>
        <v>138400000</v>
      </c>
      <c r="K104" s="5">
        <f t="shared" si="24"/>
        <v>181600000</v>
      </c>
      <c r="L104" s="5">
        <f t="shared" si="24"/>
        <v>186400000</v>
      </c>
      <c r="M104" s="5">
        <f t="shared" si="24"/>
        <v>189600000</v>
      </c>
      <c r="N104" s="5">
        <f t="shared" si="24"/>
        <v>132000000</v>
      </c>
      <c r="O104" s="5">
        <f t="shared" si="24"/>
        <v>1600</v>
      </c>
      <c r="P104" s="5">
        <f t="shared" si="24"/>
        <v>1600</v>
      </c>
      <c r="Q104" s="5">
        <f t="shared" si="24"/>
        <v>1600</v>
      </c>
      <c r="R104" s="5">
        <f t="shared" si="24"/>
        <v>1600</v>
      </c>
    </row>
    <row r="105" spans="2:18">
      <c r="B105" s="773" t="str">
        <f>+$B$80</f>
        <v>Modules</v>
      </c>
      <c r="C105" s="773"/>
      <c r="D105" s="773"/>
      <c r="E105" s="5">
        <v>180000000</v>
      </c>
      <c r="F105" s="5">
        <f t="shared" si="24"/>
        <v>56700000</v>
      </c>
      <c r="G105" s="5">
        <f t="shared" si="24"/>
        <v>178380000</v>
      </c>
      <c r="H105" s="5">
        <f t="shared" si="24"/>
        <v>180000000</v>
      </c>
      <c r="I105" s="5">
        <f t="shared" si="24"/>
        <v>28080000</v>
      </c>
      <c r="J105" s="5">
        <f t="shared" si="24"/>
        <v>31140000</v>
      </c>
      <c r="K105" s="5">
        <f t="shared" si="24"/>
        <v>40860000</v>
      </c>
      <c r="L105" s="5">
        <f t="shared" si="24"/>
        <v>41940000</v>
      </c>
      <c r="M105" s="5">
        <f t="shared" si="24"/>
        <v>42660000</v>
      </c>
      <c r="N105" s="5">
        <f t="shared" si="24"/>
        <v>29700000</v>
      </c>
      <c r="O105" s="5">
        <f t="shared" si="24"/>
        <v>360</v>
      </c>
      <c r="P105" s="5">
        <f t="shared" si="24"/>
        <v>360</v>
      </c>
      <c r="Q105" s="5">
        <f t="shared" si="24"/>
        <v>360</v>
      </c>
      <c r="R105" s="5">
        <f t="shared" si="24"/>
        <v>360</v>
      </c>
    </row>
    <row r="106" spans="2:18">
      <c r="B106" s="773" t="str">
        <f>+$B$81</f>
        <v>Grid Connection Cost</v>
      </c>
      <c r="C106" s="773"/>
      <c r="D106" s="773"/>
      <c r="E106" s="5">
        <v>120000000</v>
      </c>
      <c r="F106" s="5">
        <f t="shared" si="24"/>
        <v>37800000</v>
      </c>
      <c r="G106" s="5">
        <f t="shared" si="24"/>
        <v>118920000</v>
      </c>
      <c r="H106" s="5">
        <f t="shared" si="24"/>
        <v>120000000</v>
      </c>
      <c r="I106" s="5">
        <f t="shared" si="24"/>
        <v>18720000</v>
      </c>
      <c r="J106" s="5">
        <f t="shared" si="24"/>
        <v>20760000</v>
      </c>
      <c r="K106" s="5">
        <f t="shared" si="24"/>
        <v>27240000</v>
      </c>
      <c r="L106" s="5">
        <f t="shared" si="24"/>
        <v>27960000</v>
      </c>
      <c r="M106" s="5">
        <f t="shared" si="24"/>
        <v>28440000</v>
      </c>
      <c r="N106" s="5">
        <f t="shared" si="24"/>
        <v>19800000</v>
      </c>
      <c r="O106" s="5">
        <f t="shared" si="24"/>
        <v>240</v>
      </c>
      <c r="P106" s="5">
        <f t="shared" si="24"/>
        <v>240</v>
      </c>
      <c r="Q106" s="5">
        <f t="shared" si="24"/>
        <v>240</v>
      </c>
      <c r="R106" s="5">
        <f t="shared" si="24"/>
        <v>240</v>
      </c>
    </row>
    <row r="108" spans="2:18">
      <c r="B108" s="776" t="s">
        <v>439</v>
      </c>
    </row>
    <row r="109" spans="2:18">
      <c r="B109" s="773" t="s">
        <v>440</v>
      </c>
      <c r="C109" s="773"/>
      <c r="D109" s="773"/>
      <c r="F109" s="27">
        <f>+F93*F110/1000</f>
        <v>157500000</v>
      </c>
      <c r="G109" s="27">
        <f t="shared" ref="G109:R109" si="25">+G93*G110/1000</f>
        <v>495500000</v>
      </c>
      <c r="H109" s="27">
        <f t="shared" si="25"/>
        <v>500000000</v>
      </c>
      <c r="I109" s="27">
        <f t="shared" si="25"/>
        <v>78000000</v>
      </c>
      <c r="J109" s="27">
        <f t="shared" si="25"/>
        <v>86500000</v>
      </c>
      <c r="K109" s="27">
        <f t="shared" si="25"/>
        <v>113500000</v>
      </c>
      <c r="L109" s="27">
        <f t="shared" si="25"/>
        <v>116500000</v>
      </c>
      <c r="M109" s="27">
        <f t="shared" si="25"/>
        <v>118500000</v>
      </c>
      <c r="N109" s="27">
        <f t="shared" si="25"/>
        <v>82500000</v>
      </c>
      <c r="O109" s="27">
        <f t="shared" si="25"/>
        <v>1000</v>
      </c>
      <c r="P109" s="27">
        <f t="shared" si="25"/>
        <v>1000</v>
      </c>
      <c r="Q109" s="27">
        <f t="shared" si="25"/>
        <v>1000</v>
      </c>
      <c r="R109" s="27">
        <f t="shared" si="25"/>
        <v>1000</v>
      </c>
    </row>
    <row r="110" spans="2:18" ht="13.5">
      <c r="B110" s="361" t="s">
        <v>441</v>
      </c>
      <c r="C110" s="361"/>
      <c r="D110" s="361"/>
      <c r="F110" s="27">
        <v>500000000</v>
      </c>
      <c r="G110" s="27">
        <v>500000000</v>
      </c>
      <c r="H110" s="27">
        <v>500000000</v>
      </c>
      <c r="I110" s="27">
        <v>500000000</v>
      </c>
      <c r="J110" s="27">
        <v>500000000</v>
      </c>
      <c r="K110" s="27">
        <v>500000000</v>
      </c>
      <c r="L110" s="27">
        <v>500000000</v>
      </c>
      <c r="M110" s="27">
        <v>500000000</v>
      </c>
      <c r="N110" s="27">
        <v>500000000</v>
      </c>
      <c r="O110" s="27">
        <v>500000000</v>
      </c>
      <c r="P110" s="27">
        <v>500000000</v>
      </c>
      <c r="Q110" s="27">
        <v>500000000</v>
      </c>
      <c r="R110" s="27">
        <v>500000000</v>
      </c>
    </row>
    <row r="111" spans="2:18">
      <c r="F111" s="27"/>
      <c r="G111" s="27"/>
      <c r="H111" s="27"/>
      <c r="I111" s="27"/>
      <c r="J111" s="27"/>
      <c r="K111" s="27"/>
      <c r="L111" s="27"/>
      <c r="M111" s="27"/>
      <c r="N111" s="27"/>
      <c r="O111" s="27"/>
      <c r="P111" s="27"/>
      <c r="Q111" s="27"/>
      <c r="R111" s="27"/>
    </row>
    <row r="112" spans="2:18" ht="13.5">
      <c r="B112" s="361" t="s">
        <v>442</v>
      </c>
      <c r="C112" s="361"/>
      <c r="D112" s="361"/>
      <c r="F112" s="27"/>
      <c r="G112" s="27"/>
      <c r="H112" s="27"/>
      <c r="I112" s="27"/>
      <c r="J112" s="27"/>
      <c r="K112" s="27"/>
      <c r="L112" s="27"/>
      <c r="M112" s="27"/>
      <c r="N112" s="27"/>
      <c r="O112" s="27"/>
      <c r="P112" s="27"/>
      <c r="Q112" s="27"/>
      <c r="R112" s="27"/>
    </row>
    <row r="113" spans="2:18">
      <c r="B113" s="773">
        <f>+'INPUTSHEET(BOLT 2)'!B318</f>
        <v>0</v>
      </c>
      <c r="C113" s="773"/>
      <c r="D113" s="773"/>
      <c r="F113" s="27">
        <f>+F93*F114/1000*5</f>
        <v>55125000</v>
      </c>
      <c r="G113" s="27">
        <f>+G93*G114/1000*5</f>
        <v>173425000</v>
      </c>
      <c r="H113" s="27">
        <f t="shared" ref="H113:R113" si="26">+H93*H114/1000*5</f>
        <v>200000000</v>
      </c>
      <c r="I113" s="27">
        <f t="shared" si="26"/>
        <v>27300000</v>
      </c>
      <c r="J113" s="27">
        <f t="shared" si="26"/>
        <v>30275000</v>
      </c>
      <c r="K113" s="27">
        <f t="shared" si="26"/>
        <v>51075000</v>
      </c>
      <c r="L113" s="27">
        <f t="shared" si="26"/>
        <v>52425000</v>
      </c>
      <c r="M113" s="27">
        <f t="shared" si="26"/>
        <v>47400000</v>
      </c>
      <c r="N113" s="27">
        <f t="shared" si="26"/>
        <v>33000000</v>
      </c>
      <c r="O113" s="27">
        <f t="shared" si="26"/>
        <v>400</v>
      </c>
      <c r="P113" s="27">
        <f t="shared" si="26"/>
        <v>400</v>
      </c>
      <c r="Q113" s="27">
        <f t="shared" si="26"/>
        <v>400</v>
      </c>
      <c r="R113" s="27">
        <f t="shared" si="26"/>
        <v>400</v>
      </c>
    </row>
    <row r="114" spans="2:18" ht="13.5">
      <c r="B114" t="s">
        <v>443</v>
      </c>
      <c r="F114" s="27">
        <v>35000000</v>
      </c>
      <c r="G114" s="27">
        <v>35000000</v>
      </c>
      <c r="H114" s="27">
        <v>40000000</v>
      </c>
      <c r="I114" s="27">
        <v>35000000</v>
      </c>
      <c r="J114" s="27">
        <v>35000000</v>
      </c>
      <c r="K114" s="27">
        <v>45000000</v>
      </c>
      <c r="L114" s="27">
        <v>45000000</v>
      </c>
      <c r="M114" s="27">
        <v>40000000</v>
      </c>
      <c r="N114" s="27">
        <v>40000000</v>
      </c>
      <c r="O114" s="27">
        <v>40000000</v>
      </c>
      <c r="P114" s="27">
        <v>40000000</v>
      </c>
      <c r="Q114" s="27">
        <v>40000000</v>
      </c>
      <c r="R114" s="27">
        <v>40000000</v>
      </c>
    </row>
  </sheetData>
  <phoneticPr fontId="9"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5903F-AC10-45B7-BA66-458835564A2E}">
  <dimension ref="B3:Z133"/>
  <sheetViews>
    <sheetView showGridLines="0" topLeftCell="A111" zoomScale="115" zoomScaleNormal="115" workbookViewId="0">
      <selection activeCell="I141" sqref="I141"/>
    </sheetView>
  </sheetViews>
  <sheetFormatPr defaultRowHeight="12.75"/>
  <cols>
    <col min="1" max="2" width="1.7109375" customWidth="1"/>
    <col min="3" max="3" width="20.7109375" customWidth="1"/>
    <col min="10" max="10" width="1.7109375" customWidth="1"/>
    <col min="11" max="11" width="20.7109375" customWidth="1"/>
    <col min="18" max="18" width="1.7109375" customWidth="1"/>
  </cols>
  <sheetData>
    <row r="3" spans="2:26" s="843" customFormat="1" ht="12"/>
    <row r="4" spans="2:26" ht="13.5" thickBot="1"/>
    <row r="5" spans="2:26" s="843" customFormat="1" ht="12">
      <c r="B5" s="845"/>
      <c r="C5" s="846"/>
      <c r="D5" s="846"/>
      <c r="E5" s="846"/>
      <c r="F5" s="846"/>
      <c r="G5" s="846"/>
      <c r="H5" s="846"/>
      <c r="I5" s="846"/>
      <c r="J5" s="846"/>
      <c r="K5" s="846"/>
      <c r="L5" s="846"/>
      <c r="M5" s="846"/>
      <c r="N5" s="846"/>
      <c r="O5" s="846"/>
      <c r="P5" s="846"/>
      <c r="Q5" s="846"/>
      <c r="R5" s="847"/>
    </row>
    <row r="6" spans="2:26" s="843" customFormat="1" ht="12">
      <c r="B6" s="848"/>
      <c r="C6" s="1376" t="s">
        <v>710</v>
      </c>
      <c r="D6" s="1376"/>
      <c r="E6" s="1376"/>
      <c r="F6" s="1376"/>
      <c r="R6" s="849"/>
    </row>
    <row r="7" spans="2:26" s="843" customFormat="1" ht="12">
      <c r="B7" s="848"/>
      <c r="E7" s="1377" t="s">
        <v>583</v>
      </c>
      <c r="F7" s="1377"/>
      <c r="G7" s="1377"/>
      <c r="H7" s="1377"/>
      <c r="I7" s="1377"/>
      <c r="M7" s="1377" t="s">
        <v>584</v>
      </c>
      <c r="N7" s="1377"/>
      <c r="O7" s="1377"/>
      <c r="P7" s="1377"/>
      <c r="Q7" s="1377"/>
      <c r="R7" s="849"/>
    </row>
    <row r="8" spans="2:26" s="843" customFormat="1" ht="12">
      <c r="B8" s="848"/>
      <c r="E8" s="859">
        <f>+F8-5</f>
        <v>177</v>
      </c>
      <c r="F8" s="859">
        <f>+G8-5</f>
        <v>182</v>
      </c>
      <c r="G8" s="863">
        <v>187</v>
      </c>
      <c r="H8" s="859">
        <f>+G8+5</f>
        <v>192</v>
      </c>
      <c r="I8" s="859">
        <f>+H8+5</f>
        <v>197</v>
      </c>
      <c r="M8" s="859">
        <f>+N8-50</f>
        <v>1000</v>
      </c>
      <c r="N8" s="859">
        <f>+O8-50</f>
        <v>1050</v>
      </c>
      <c r="O8" s="864">
        <v>1100</v>
      </c>
      <c r="P8" s="859">
        <f>+O8+50</f>
        <v>1150</v>
      </c>
      <c r="Q8" s="859">
        <f>+P8+50</f>
        <v>1200</v>
      </c>
      <c r="R8" s="849"/>
    </row>
    <row r="9" spans="2:26" s="843" customFormat="1" ht="12" customHeight="1">
      <c r="B9" s="848"/>
      <c r="C9" s="1378" t="s">
        <v>585</v>
      </c>
      <c r="D9" s="859">
        <f>+D10-50</f>
        <v>350</v>
      </c>
      <c r="E9" s="858">
        <v>9.3995261089008686E-2</v>
      </c>
      <c r="F9" s="858">
        <v>9.8126603783843969E-2</v>
      </c>
      <c r="G9" s="858">
        <v>0.10221700613267637</v>
      </c>
      <c r="H9" s="858">
        <v>0.10622958952114625</v>
      </c>
      <c r="I9" s="858">
        <v>0.11018841164616222</v>
      </c>
      <c r="K9" s="1378" t="s">
        <v>586</v>
      </c>
      <c r="L9" s="850">
        <v>-0.1</v>
      </c>
      <c r="M9" s="858">
        <v>0.10024582138890481</v>
      </c>
      <c r="N9" s="858">
        <v>9.6743978609880266E-2</v>
      </c>
      <c r="O9" s="858">
        <v>9.3427811417523099E-2</v>
      </c>
      <c r="P9" s="858">
        <v>9.0284204236291909E-2</v>
      </c>
      <c r="Q9" s="858">
        <v>8.7286571790448519E-2</v>
      </c>
      <c r="R9" s="849"/>
      <c r="Z9" s="851"/>
    </row>
    <row r="10" spans="2:26" s="843" customFormat="1" ht="12" customHeight="1">
      <c r="B10" s="848"/>
      <c r="C10" s="1379"/>
      <c r="D10" s="859">
        <f>+D11-50</f>
        <v>400</v>
      </c>
      <c r="E10" s="858">
        <v>9.0561447498340941E-2</v>
      </c>
      <c r="F10" s="858">
        <v>9.4597428959074747E-2</v>
      </c>
      <c r="G10" s="858">
        <v>9.8580559043959237E-2</v>
      </c>
      <c r="H10" s="858">
        <v>0.10252682526556778</v>
      </c>
      <c r="I10" s="858">
        <v>0.1063995867118015</v>
      </c>
      <c r="K10" s="1379"/>
      <c r="L10" s="850">
        <v>-0.05</v>
      </c>
      <c r="M10" s="858">
        <v>9.9470425934383488E-2</v>
      </c>
      <c r="N10" s="858">
        <v>9.5981014911051599E-2</v>
      </c>
      <c r="O10" s="858">
        <v>9.2676781749321702E-2</v>
      </c>
      <c r="P10" s="858">
        <v>8.9534297083170511E-2</v>
      </c>
      <c r="Q10" s="858">
        <v>8.6557673507801081E-2</v>
      </c>
      <c r="R10" s="849"/>
    </row>
    <row r="11" spans="2:26" s="843" customFormat="1" ht="12" customHeight="1">
      <c r="B11" s="848"/>
      <c r="C11" s="1379"/>
      <c r="D11" s="859">
        <f>+D12-50</f>
        <v>450</v>
      </c>
      <c r="E11" s="858">
        <v>8.730734936738771E-2</v>
      </c>
      <c r="F11" s="858">
        <v>9.1264422762776798E-2</v>
      </c>
      <c r="G11" s="858">
        <v>9.515934952909566E-2</v>
      </c>
      <c r="H11" s="858">
        <v>9.9003826708782494E-2</v>
      </c>
      <c r="I11" s="858">
        <v>0.10281589532855229</v>
      </c>
      <c r="K11" s="1379"/>
      <c r="L11" s="863" t="s">
        <v>587</v>
      </c>
      <c r="M11" s="858">
        <v>9.8691396889861505E-2</v>
      </c>
      <c r="N11" s="858">
        <v>9.5213779188283443E-2</v>
      </c>
      <c r="O11" s="865">
        <v>9.1921479863732447E-2</v>
      </c>
      <c r="P11" s="858">
        <v>8.8789896806030555E-2</v>
      </c>
      <c r="Q11" s="858">
        <v>8.5826446020878855E-2</v>
      </c>
      <c r="R11" s="849"/>
    </row>
    <row r="12" spans="2:26" s="843" customFormat="1" ht="12" customHeight="1">
      <c r="B12" s="848"/>
      <c r="C12" s="1379"/>
      <c r="D12" s="866">
        <v>500</v>
      </c>
      <c r="E12" s="858">
        <v>8.424016956497038E-2</v>
      </c>
      <c r="F12" s="858">
        <v>8.8100611852927946E-2</v>
      </c>
      <c r="G12" s="865">
        <v>9.1921479863732447E-2</v>
      </c>
      <c r="H12" s="858">
        <v>9.5684642630797123E-2</v>
      </c>
      <c r="I12" s="858">
        <v>9.9400222998554666E-2</v>
      </c>
      <c r="K12" s="1379"/>
      <c r="L12" s="850">
        <v>0.05</v>
      </c>
      <c r="M12" s="858">
        <v>9.7909049709084872E-2</v>
      </c>
      <c r="N12" s="858">
        <v>9.4442996429442649E-2</v>
      </c>
      <c r="O12" s="858">
        <v>9.1162832328688159E-2</v>
      </c>
      <c r="P12" s="858">
        <v>8.8042961689442034E-2</v>
      </c>
      <c r="Q12" s="858">
        <v>8.5090914880874724E-2</v>
      </c>
      <c r="R12" s="849"/>
    </row>
    <row r="13" spans="2:26" s="843" customFormat="1" ht="12" customHeight="1">
      <c r="B13" s="848"/>
      <c r="C13" s="1379"/>
      <c r="D13" s="859">
        <f>+D12+50</f>
        <v>550</v>
      </c>
      <c r="E13" s="858">
        <v>8.1333507308813058E-2</v>
      </c>
      <c r="F13" s="858">
        <v>8.5112356825086222E-2</v>
      </c>
      <c r="G13" s="858">
        <v>8.8842113329081984E-2</v>
      </c>
      <c r="H13" s="858">
        <v>9.2536920934690459E-2</v>
      </c>
      <c r="I13" s="858">
        <v>9.6176376419468301E-2</v>
      </c>
      <c r="K13" s="1380"/>
      <c r="L13" s="850">
        <v>0.1</v>
      </c>
      <c r="M13" s="858">
        <v>9.7122265394894658E-2</v>
      </c>
      <c r="N13" s="858">
        <v>9.3668814309947113E-2</v>
      </c>
      <c r="O13" s="858">
        <v>9.0400752341221358E-2</v>
      </c>
      <c r="P13" s="858">
        <v>8.7291618847851193E-2</v>
      </c>
      <c r="Q13" s="858">
        <v>8.4350989655560316E-2</v>
      </c>
      <c r="R13" s="849"/>
    </row>
    <row r="14" spans="2:26" s="843" customFormat="1" ht="12" customHeight="1">
      <c r="B14" s="848"/>
      <c r="C14" s="1379"/>
      <c r="D14" s="859">
        <f>+D13+50</f>
        <v>600</v>
      </c>
      <c r="E14" s="858">
        <v>7.8583107889733883E-2</v>
      </c>
      <c r="F14" s="858">
        <v>8.2273439286378647E-2</v>
      </c>
      <c r="G14" s="858">
        <v>8.5928831528593319E-2</v>
      </c>
      <c r="H14" s="858">
        <v>8.9538783922268328E-2</v>
      </c>
      <c r="I14" s="858">
        <v>9.3113896199991331E-2</v>
      </c>
      <c r="R14" s="849"/>
    </row>
    <row r="15" spans="2:26" s="843" customFormat="1" ht="12" customHeight="1">
      <c r="B15" s="848"/>
      <c r="C15" s="1380"/>
      <c r="D15" s="859">
        <f>+D14+50</f>
        <v>650</v>
      </c>
      <c r="E15" s="858">
        <v>7.598061731926764E-2</v>
      </c>
      <c r="F15" s="858">
        <v>7.9587711921337956E-2</v>
      </c>
      <c r="G15" s="858">
        <v>8.3157439158061841E-2</v>
      </c>
      <c r="H15" s="858">
        <v>8.6695124938735324E-2</v>
      </c>
      <c r="I15" s="858">
        <v>9.0202280353959496E-2</v>
      </c>
      <c r="L15" s="852"/>
      <c r="M15" s="851"/>
      <c r="R15" s="849"/>
    </row>
    <row r="16" spans="2:26" s="843" customFormat="1" thickBot="1">
      <c r="B16" s="853"/>
      <c r="C16" s="854"/>
      <c r="D16" s="854"/>
      <c r="E16" s="855"/>
      <c r="F16" s="855"/>
      <c r="G16" s="855"/>
      <c r="H16" s="855"/>
      <c r="I16" s="855"/>
      <c r="J16" s="854"/>
      <c r="K16" s="854"/>
      <c r="L16" s="854"/>
      <c r="M16" s="855"/>
      <c r="N16" s="855"/>
      <c r="O16" s="855"/>
      <c r="P16" s="855"/>
      <c r="Q16" s="855"/>
      <c r="R16" s="856"/>
    </row>
    <row r="17" spans="2:26" ht="13.5" thickBot="1"/>
    <row r="18" spans="2:26" s="843" customFormat="1" ht="12">
      <c r="B18" s="845"/>
      <c r="C18" s="846"/>
      <c r="D18" s="846"/>
      <c r="E18" s="846"/>
      <c r="F18" s="846"/>
      <c r="G18" s="846"/>
      <c r="H18" s="846"/>
      <c r="I18" s="846"/>
      <c r="J18" s="846"/>
      <c r="K18" s="846"/>
      <c r="L18" s="846"/>
      <c r="M18" s="846"/>
      <c r="N18" s="846"/>
      <c r="O18" s="846"/>
      <c r="P18" s="846"/>
      <c r="Q18" s="846"/>
      <c r="R18" s="847"/>
    </row>
    <row r="19" spans="2:26" s="843" customFormat="1" ht="12">
      <c r="B19" s="848"/>
      <c r="C19" s="1376" t="s">
        <v>1079</v>
      </c>
      <c r="D19" s="1376"/>
      <c r="E19" s="1376"/>
      <c r="F19" s="1376"/>
      <c r="R19" s="849"/>
    </row>
    <row r="20" spans="2:26" s="843" customFormat="1" ht="12">
      <c r="B20" s="848"/>
      <c r="E20" s="1377" t="s">
        <v>583</v>
      </c>
      <c r="F20" s="1377"/>
      <c r="G20" s="1377"/>
      <c r="H20" s="1377"/>
      <c r="I20" s="1377"/>
      <c r="M20" s="1377" t="s">
        <v>584</v>
      </c>
      <c r="N20" s="1377"/>
      <c r="O20" s="1377"/>
      <c r="P20" s="1377"/>
      <c r="Q20" s="1377"/>
      <c r="R20" s="849"/>
    </row>
    <row r="21" spans="2:26" s="843" customFormat="1" ht="12">
      <c r="B21" s="848"/>
      <c r="E21" s="859">
        <f>+F21-5</f>
        <v>177</v>
      </c>
      <c r="F21" s="859">
        <f>+G21-5</f>
        <v>182</v>
      </c>
      <c r="G21" s="863">
        <v>187</v>
      </c>
      <c r="H21" s="859">
        <f>+G21+5</f>
        <v>192</v>
      </c>
      <c r="I21" s="859">
        <f>+H21+5</f>
        <v>197</v>
      </c>
      <c r="M21" s="859">
        <f>+N21-50</f>
        <v>1000</v>
      </c>
      <c r="N21" s="859">
        <f>+O21-50</f>
        <v>1050</v>
      </c>
      <c r="O21" s="864">
        <v>1100</v>
      </c>
      <c r="P21" s="859">
        <f>+O21+50</f>
        <v>1150</v>
      </c>
      <c r="Q21" s="859">
        <f>+P21+50</f>
        <v>1200</v>
      </c>
      <c r="R21" s="849"/>
    </row>
    <row r="22" spans="2:26" s="843" customFormat="1" ht="12" customHeight="1">
      <c r="B22" s="848"/>
      <c r="C22" s="1378" t="s">
        <v>585</v>
      </c>
      <c r="D22" s="859">
        <f>+D23-50</f>
        <v>350</v>
      </c>
      <c r="E22" s="858">
        <v>9.2806605536818854E-2</v>
      </c>
      <c r="F22" s="858">
        <v>9.709303973821326E-2</v>
      </c>
      <c r="G22" s="858">
        <v>0.10133406469396555</v>
      </c>
      <c r="H22" s="858">
        <v>0.10549166009441291</v>
      </c>
      <c r="I22" s="858">
        <v>0.10959214986039312</v>
      </c>
      <c r="K22" s="1378" t="s">
        <v>586</v>
      </c>
      <c r="L22" s="850">
        <v>-0.1</v>
      </c>
      <c r="M22" s="858">
        <v>9.9490580136005757E-2</v>
      </c>
      <c r="N22" s="858">
        <v>9.6001562025126219E-2</v>
      </c>
      <c r="O22" s="858">
        <v>9.2697640528214498E-2</v>
      </c>
      <c r="P22" s="858">
        <v>8.9555507446300364E-2</v>
      </c>
      <c r="Q22" s="858">
        <v>8.6579018040312317E-2</v>
      </c>
      <c r="R22" s="849"/>
      <c r="Z22" s="851"/>
    </row>
    <row r="23" spans="2:26" s="843" customFormat="1" ht="12" customHeight="1">
      <c r="B23" s="848"/>
      <c r="C23" s="1379"/>
      <c r="D23" s="859">
        <f>+D24-50</f>
        <v>400</v>
      </c>
      <c r="E23" s="858">
        <v>8.9395092360656125E-2</v>
      </c>
      <c r="F23" s="858">
        <v>9.3582793045571044E-2</v>
      </c>
      <c r="G23" s="858">
        <v>9.7712495227532781E-2</v>
      </c>
      <c r="H23" s="858">
        <v>0.10180131074950705</v>
      </c>
      <c r="I23" s="858">
        <v>0.10581172219049462</v>
      </c>
      <c r="K23" s="1379"/>
      <c r="L23" s="850">
        <v>-0.05</v>
      </c>
      <c r="M23" s="858">
        <v>9.8659230132209341E-2</v>
      </c>
      <c r="N23" s="858">
        <v>9.5182669918789209E-2</v>
      </c>
      <c r="O23" s="858">
        <v>9.1891483038419874E-2</v>
      </c>
      <c r="P23" s="858">
        <v>8.8761080098991307E-2</v>
      </c>
      <c r="Q23" s="858">
        <v>8.5798550834347953E-2</v>
      </c>
      <c r="R23" s="849"/>
    </row>
    <row r="24" spans="2:26" s="843" customFormat="1" ht="12" customHeight="1">
      <c r="B24" s="848"/>
      <c r="C24" s="1379"/>
      <c r="D24" s="859">
        <f>+D25-50</f>
        <v>450</v>
      </c>
      <c r="E24" s="858">
        <v>8.6160939275738313E-2</v>
      </c>
      <c r="F24" s="858">
        <v>9.0267849174137105E-2</v>
      </c>
      <c r="G24" s="858">
        <v>9.4305338276504669E-2</v>
      </c>
      <c r="H24" s="858">
        <v>9.8289631367844299E-2</v>
      </c>
      <c r="I24" s="858">
        <v>0.10223696107220692</v>
      </c>
      <c r="K24" s="1379"/>
      <c r="L24" s="863" t="s">
        <v>1084</v>
      </c>
      <c r="M24" s="858">
        <v>9.7823896183003356E-2</v>
      </c>
      <c r="N24" s="858">
        <v>9.4359895561125118E-2</v>
      </c>
      <c r="O24" s="865">
        <v>9.1081640985625878E-2</v>
      </c>
      <c r="P24" s="858">
        <v>8.796353573532234E-2</v>
      </c>
      <c r="Q24" s="858">
        <v>8.5013177038678611E-2</v>
      </c>
      <c r="R24" s="849"/>
    </row>
    <row r="25" spans="2:26" s="843" customFormat="1" ht="12" customHeight="1">
      <c r="B25" s="848"/>
      <c r="C25" s="1379"/>
      <c r="D25" s="866">
        <v>500</v>
      </c>
      <c r="E25" s="858">
        <v>8.3118382242089339E-2</v>
      </c>
      <c r="F25" s="858">
        <v>8.7120161332660651E-2</v>
      </c>
      <c r="G25" s="865">
        <v>9.1081640985625878E-2</v>
      </c>
      <c r="H25" s="858">
        <v>9.4980141157564368E-2</v>
      </c>
      <c r="I25" s="858">
        <v>9.8828660124744783E-2</v>
      </c>
      <c r="K25" s="1379"/>
      <c r="L25" s="850">
        <v>0.05</v>
      </c>
      <c r="M25" s="858">
        <v>9.6983496398557412E-2</v>
      </c>
      <c r="N25" s="858">
        <v>9.3532943141735325E-2</v>
      </c>
      <c r="O25" s="858">
        <v>9.0267603248389561E-2</v>
      </c>
      <c r="P25" s="858">
        <v>8.716095901145926E-2</v>
      </c>
      <c r="Q25" s="858">
        <v>8.4222786444598352E-2</v>
      </c>
      <c r="R25" s="849"/>
    </row>
    <row r="26" spans="2:26" s="843" customFormat="1" ht="12" customHeight="1">
      <c r="B26" s="848"/>
      <c r="C26" s="1379"/>
      <c r="D26" s="859">
        <f>+D25+50</f>
        <v>550</v>
      </c>
      <c r="E26" s="858">
        <v>8.0231165468853227E-2</v>
      </c>
      <c r="F26" s="858">
        <v>8.4148846153039969E-2</v>
      </c>
      <c r="G26" s="858">
        <v>8.8016027676251385E-2</v>
      </c>
      <c r="H26" s="858">
        <v>9.1843212553507803E-2</v>
      </c>
      <c r="I26" s="858">
        <v>9.5612542579071924E-2</v>
      </c>
      <c r="K26" s="1380"/>
      <c r="L26" s="850">
        <v>0.1</v>
      </c>
      <c r="M26" s="858">
        <v>9.613791681968098E-2</v>
      </c>
      <c r="N26" s="858">
        <v>9.270080865965169E-2</v>
      </c>
      <c r="O26" s="858">
        <v>8.9448386944680491E-2</v>
      </c>
      <c r="P26" s="858">
        <v>8.635323568620934E-2</v>
      </c>
      <c r="Q26" s="858">
        <v>8.3429540872978825E-2</v>
      </c>
      <c r="R26" s="849"/>
    </row>
    <row r="27" spans="2:26" s="843" customFormat="1" ht="12" customHeight="1">
      <c r="B27" s="848"/>
      <c r="C27" s="1379"/>
      <c r="D27" s="859">
        <f>+D26+50</f>
        <v>600</v>
      </c>
      <c r="E27" s="858">
        <v>7.7502143269955193E-2</v>
      </c>
      <c r="F27" s="858">
        <v>8.1328131236031886E-2</v>
      </c>
      <c r="G27" s="858">
        <v>8.511610924231694E-2</v>
      </c>
      <c r="H27" s="858">
        <v>8.8854696829031354E-2</v>
      </c>
      <c r="I27" s="858">
        <v>9.2557870443482404E-2</v>
      </c>
      <c r="R27" s="849"/>
    </row>
    <row r="28" spans="2:26" s="843" customFormat="1" ht="12" customHeight="1">
      <c r="B28" s="848"/>
      <c r="C28" s="1380"/>
      <c r="D28" s="859">
        <f>+D27+50</f>
        <v>650</v>
      </c>
      <c r="E28" s="858">
        <v>7.491384937345158E-2</v>
      </c>
      <c r="F28" s="858">
        <v>7.8659764598458137E-2</v>
      </c>
      <c r="G28" s="858">
        <v>8.2356523508290813E-2</v>
      </c>
      <c r="H28" s="858">
        <v>8.6022938453739206E-2</v>
      </c>
      <c r="I28" s="858">
        <v>8.9643976952294091E-2</v>
      </c>
      <c r="L28" s="852"/>
      <c r="M28" s="851"/>
      <c r="R28" s="849"/>
    </row>
    <row r="29" spans="2:26" s="843" customFormat="1" thickBot="1">
      <c r="B29" s="853"/>
      <c r="C29" s="854"/>
      <c r="D29" s="854"/>
      <c r="E29" s="855"/>
      <c r="F29" s="855"/>
      <c r="G29" s="855"/>
      <c r="H29" s="855"/>
      <c r="I29" s="855"/>
      <c r="J29" s="854"/>
      <c r="K29" s="854"/>
      <c r="L29" s="854"/>
      <c r="M29" s="855"/>
      <c r="N29" s="855"/>
      <c r="O29" s="855"/>
      <c r="P29" s="855"/>
      <c r="Q29" s="855"/>
      <c r="R29" s="856"/>
    </row>
    <row r="30" spans="2:26" ht="13.5" thickBot="1"/>
    <row r="31" spans="2:26" s="843" customFormat="1" ht="12">
      <c r="B31" s="845"/>
      <c r="C31" s="846"/>
      <c r="D31" s="846"/>
      <c r="E31" s="846"/>
      <c r="F31" s="846"/>
      <c r="G31" s="846"/>
      <c r="H31" s="846"/>
      <c r="I31" s="846"/>
      <c r="J31" s="846"/>
      <c r="K31" s="846"/>
      <c r="L31" s="846"/>
      <c r="M31" s="846"/>
      <c r="N31" s="846"/>
      <c r="O31" s="846"/>
      <c r="P31" s="846"/>
      <c r="Q31" s="846"/>
      <c r="R31" s="847"/>
    </row>
    <row r="32" spans="2:26" s="843" customFormat="1" ht="12">
      <c r="B32" s="848"/>
      <c r="C32" s="1376" t="s">
        <v>711</v>
      </c>
      <c r="D32" s="1376"/>
      <c r="E32" s="1376"/>
      <c r="F32" s="1376"/>
      <c r="R32" s="849"/>
    </row>
    <row r="33" spans="2:26" s="843" customFormat="1" ht="12">
      <c r="B33" s="848"/>
      <c r="E33" s="1377" t="s">
        <v>583</v>
      </c>
      <c r="F33" s="1377"/>
      <c r="G33" s="1377"/>
      <c r="H33" s="1377"/>
      <c r="I33" s="1377"/>
      <c r="M33" s="1377" t="s">
        <v>584</v>
      </c>
      <c r="N33" s="1377"/>
      <c r="O33" s="1377"/>
      <c r="P33" s="1377"/>
      <c r="Q33" s="1377"/>
      <c r="R33" s="849"/>
    </row>
    <row r="34" spans="2:26" s="843" customFormat="1" ht="12">
      <c r="B34" s="848"/>
      <c r="E34" s="859">
        <f>+F34-5</f>
        <v>177</v>
      </c>
      <c r="F34" s="859">
        <f>+G34-5</f>
        <v>182</v>
      </c>
      <c r="G34" s="863">
        <v>187</v>
      </c>
      <c r="H34" s="859">
        <f>+G34+5</f>
        <v>192</v>
      </c>
      <c r="I34" s="859">
        <f>+H34+5</f>
        <v>197</v>
      </c>
      <c r="M34" s="859">
        <f>+N34-50</f>
        <v>1000</v>
      </c>
      <c r="N34" s="859">
        <f>+O34-50</f>
        <v>1050</v>
      </c>
      <c r="O34" s="864">
        <v>1100</v>
      </c>
      <c r="P34" s="859">
        <f>+O34+50</f>
        <v>1150</v>
      </c>
      <c r="Q34" s="859">
        <f>+P34+50</f>
        <v>1200</v>
      </c>
      <c r="R34" s="849"/>
    </row>
    <row r="35" spans="2:26" s="843" customFormat="1" ht="12" customHeight="1">
      <c r="B35" s="848"/>
      <c r="C35" s="1378" t="s">
        <v>585</v>
      </c>
      <c r="D35" s="859">
        <f>+D36-50</f>
        <v>350</v>
      </c>
      <c r="E35" s="858">
        <v>9.4827184991443936E-2</v>
      </c>
      <c r="F35" s="858">
        <v>9.8971717743379317E-2</v>
      </c>
      <c r="G35" s="858">
        <v>0.10307271892319347</v>
      </c>
      <c r="H35" s="858">
        <v>0.10709781187854484</v>
      </c>
      <c r="I35" s="858">
        <v>0.11106668915086071</v>
      </c>
      <c r="K35" s="1378" t="s">
        <v>586</v>
      </c>
      <c r="L35" s="850">
        <v>-0.1</v>
      </c>
      <c r="M35" s="858">
        <v>0.10117828062800571</v>
      </c>
      <c r="N35" s="858">
        <v>9.7650460670431816E-2</v>
      </c>
      <c r="O35" s="858">
        <v>9.4309551217167442E-2</v>
      </c>
      <c r="P35" s="858">
        <v>9.1142342963127732E-2</v>
      </c>
      <c r="Q35" s="858">
        <v>8.8123891950630195E-2</v>
      </c>
      <c r="R35" s="849"/>
      <c r="Z35" s="851"/>
    </row>
    <row r="36" spans="2:26" s="843" customFormat="1" ht="12" customHeight="1">
      <c r="B36" s="848"/>
      <c r="C36" s="1379"/>
      <c r="D36" s="859">
        <f>+D37-50</f>
        <v>400</v>
      </c>
      <c r="E36" s="858">
        <v>9.1366898560554244E-2</v>
      </c>
      <c r="F36" s="858">
        <v>9.541819742202029E-2</v>
      </c>
      <c r="G36" s="858">
        <v>9.941359181443743E-2</v>
      </c>
      <c r="H36" s="858">
        <v>0.10336920479013068</v>
      </c>
      <c r="I36" s="858">
        <v>0.10725411507501081</v>
      </c>
      <c r="K36" s="1379"/>
      <c r="L36" s="850">
        <v>-0.05</v>
      </c>
      <c r="M36" s="858">
        <v>0.10035378014943852</v>
      </c>
      <c r="N36" s="858">
        <v>9.6839200000741421E-2</v>
      </c>
      <c r="O36" s="858">
        <v>9.3510995954244835E-2</v>
      </c>
      <c r="P36" s="858">
        <v>9.0356016947971796E-2</v>
      </c>
      <c r="Q36" s="858">
        <v>8.7348425099964766E-2</v>
      </c>
      <c r="R36" s="849"/>
    </row>
    <row r="37" spans="2:26" s="843" customFormat="1" ht="12" customHeight="1">
      <c r="B37" s="848"/>
      <c r="C37" s="1379"/>
      <c r="D37" s="859">
        <f>+D38-50</f>
        <v>450</v>
      </c>
      <c r="E37" s="858">
        <v>8.8089655649748133E-2</v>
      </c>
      <c r="F37" s="858">
        <v>9.2060425230978682E-2</v>
      </c>
      <c r="G37" s="858">
        <v>9.5968816417948855E-2</v>
      </c>
      <c r="H37" s="858">
        <v>9.9825580122047564E-2</v>
      </c>
      <c r="I37" s="858">
        <v>0.10364582489329499</v>
      </c>
      <c r="K37" s="1379"/>
      <c r="L37" s="863" t="s">
        <v>587</v>
      </c>
      <c r="M37" s="858">
        <v>9.9524479856877512E-2</v>
      </c>
      <c r="N37" s="858">
        <v>9.6023133916422365E-2</v>
      </c>
      <c r="O37" s="865">
        <v>9.2707634548197415E-2</v>
      </c>
      <c r="P37" s="858">
        <v>8.9564889309704077E-2</v>
      </c>
      <c r="Q37" s="858">
        <v>8.6568187700139632E-2</v>
      </c>
      <c r="R37" s="849"/>
    </row>
    <row r="38" spans="2:26" s="843" customFormat="1" ht="12" customHeight="1">
      <c r="B38" s="848"/>
      <c r="C38" s="1379"/>
      <c r="D38" s="866">
        <v>500</v>
      </c>
      <c r="E38" s="858">
        <v>8.4998970247148087E-2</v>
      </c>
      <c r="F38" s="858">
        <v>8.8873447337697753E-2</v>
      </c>
      <c r="G38" s="865">
        <v>9.2707634548197415E-2</v>
      </c>
      <c r="H38" s="858">
        <v>9.6483063332816421E-2</v>
      </c>
      <c r="I38" s="858">
        <v>0.10021062335769448</v>
      </c>
      <c r="K38" s="1379"/>
      <c r="L38" s="850">
        <v>0.05</v>
      </c>
      <c r="M38" s="858">
        <v>9.8690274914736031E-2</v>
      </c>
      <c r="N38" s="858">
        <v>9.5202157194580916E-2</v>
      </c>
      <c r="O38" s="858">
        <v>9.1899361505927368E-2</v>
      </c>
      <c r="P38" s="858">
        <v>8.875822824808477E-2</v>
      </c>
      <c r="Q38" s="858">
        <v>8.5784829039698085E-2</v>
      </c>
      <c r="R38" s="849"/>
    </row>
    <row r="39" spans="2:26" s="843" customFormat="1" ht="12" customHeight="1">
      <c r="B39" s="848"/>
      <c r="C39" s="1379"/>
      <c r="D39" s="859">
        <f>+D38+50</f>
        <v>550</v>
      </c>
      <c r="E39" s="858">
        <v>8.2068099018931751E-2</v>
      </c>
      <c r="F39" s="858">
        <v>8.5861887752879618E-2</v>
      </c>
      <c r="G39" s="858">
        <v>8.9617087161327103E-2</v>
      </c>
      <c r="H39" s="858">
        <v>9.3313042747828812E-2</v>
      </c>
      <c r="I39" s="858">
        <v>9.696444072287469E-2</v>
      </c>
      <c r="K39" s="1380"/>
      <c r="L39" s="850">
        <v>0.1</v>
      </c>
      <c r="M39" s="858">
        <v>9.7852537435121123E-2</v>
      </c>
      <c r="N39" s="858">
        <v>9.4376161042070361E-2</v>
      </c>
      <c r="O39" s="858">
        <v>9.1086231260011363E-2</v>
      </c>
      <c r="P39" s="858">
        <v>8.7957876642739352E-2</v>
      </c>
      <c r="Q39" s="858">
        <v>8.4997225338262483E-2</v>
      </c>
      <c r="R39" s="849"/>
    </row>
    <row r="40" spans="2:26" s="843" customFormat="1" ht="12" customHeight="1">
      <c r="B40" s="848"/>
      <c r="C40" s="1379"/>
      <c r="D40" s="859">
        <f>+D39+50</f>
        <v>600</v>
      </c>
      <c r="E40" s="858">
        <v>7.9299598618284506E-2</v>
      </c>
      <c r="F40" s="858">
        <v>8.300935069541171E-2</v>
      </c>
      <c r="G40" s="858">
        <v>8.6670737173171419E-2</v>
      </c>
      <c r="H40" s="858">
        <v>9.0303828492976246E-2</v>
      </c>
      <c r="I40" s="858">
        <v>9.3880594155537844E-2</v>
      </c>
      <c r="R40" s="849"/>
    </row>
    <row r="41" spans="2:26" s="843" customFormat="1" ht="12" customHeight="1">
      <c r="B41" s="848"/>
      <c r="C41" s="1380"/>
      <c r="D41" s="859">
        <f>+D40+50</f>
        <v>650</v>
      </c>
      <c r="E41" s="858">
        <v>7.6670608083427183E-2</v>
      </c>
      <c r="F41" s="858">
        <v>8.0293174530390088E-2</v>
      </c>
      <c r="G41" s="858">
        <v>8.3884518605674474E-2</v>
      </c>
      <c r="H41" s="858">
        <v>8.7431113413559469E-2</v>
      </c>
      <c r="I41" s="858">
        <v>9.094851964725259E-2</v>
      </c>
      <c r="L41" s="852"/>
      <c r="M41" s="851"/>
      <c r="R41" s="849"/>
    </row>
    <row r="42" spans="2:26" s="843" customFormat="1" thickBot="1">
      <c r="B42" s="853"/>
      <c r="C42" s="854"/>
      <c r="D42" s="854"/>
      <c r="E42" s="855"/>
      <c r="F42" s="855"/>
      <c r="G42" s="855"/>
      <c r="H42" s="855"/>
      <c r="I42" s="855"/>
      <c r="J42" s="854"/>
      <c r="K42" s="854"/>
      <c r="L42" s="854"/>
      <c r="M42" s="855"/>
      <c r="N42" s="855"/>
      <c r="O42" s="855"/>
      <c r="P42" s="855"/>
      <c r="Q42" s="855"/>
      <c r="R42" s="856"/>
    </row>
    <row r="43" spans="2:26" ht="13.5" thickBot="1"/>
    <row r="44" spans="2:26" s="843" customFormat="1" ht="12" hidden="1">
      <c r="B44" s="845"/>
      <c r="C44" s="846"/>
      <c r="D44" s="846"/>
      <c r="E44" s="846"/>
      <c r="F44" s="846"/>
      <c r="G44" s="846"/>
      <c r="H44" s="846"/>
      <c r="I44" s="846"/>
      <c r="J44" s="846"/>
      <c r="K44" s="846"/>
      <c r="L44" s="846"/>
      <c r="M44" s="846"/>
      <c r="N44" s="846"/>
      <c r="O44" s="846"/>
      <c r="P44" s="846"/>
      <c r="Q44" s="846"/>
      <c r="R44" s="847"/>
    </row>
    <row r="45" spans="2:26" s="843" customFormat="1" ht="12" hidden="1">
      <c r="B45" s="848"/>
      <c r="C45" s="1376" t="s">
        <v>712</v>
      </c>
      <c r="D45" s="1376"/>
      <c r="E45" s="1376"/>
      <c r="F45" s="1376"/>
      <c r="R45" s="849"/>
    </row>
    <row r="46" spans="2:26" s="843" customFormat="1" ht="12" hidden="1">
      <c r="B46" s="848"/>
      <c r="E46" s="1377" t="s">
        <v>583</v>
      </c>
      <c r="F46" s="1377"/>
      <c r="G46" s="1377"/>
      <c r="H46" s="1377"/>
      <c r="I46" s="1377"/>
      <c r="M46" s="1377" t="s">
        <v>584</v>
      </c>
      <c r="N46" s="1377"/>
      <c r="O46" s="1377"/>
      <c r="P46" s="1377"/>
      <c r="Q46" s="1377"/>
      <c r="R46" s="849"/>
    </row>
    <row r="47" spans="2:26" s="843" customFormat="1" ht="12" hidden="1">
      <c r="B47" s="848"/>
      <c r="E47" s="859">
        <f>+F47-5</f>
        <v>177</v>
      </c>
      <c r="F47" s="859">
        <f>+G47-5</f>
        <v>182</v>
      </c>
      <c r="G47" s="863">
        <v>187</v>
      </c>
      <c r="H47" s="859">
        <f>+G47+5</f>
        <v>192</v>
      </c>
      <c r="I47" s="859">
        <f>+H47+5</f>
        <v>197</v>
      </c>
      <c r="M47" s="859">
        <f>+N47-50</f>
        <v>1000</v>
      </c>
      <c r="N47" s="859">
        <f>+O47-50</f>
        <v>1050</v>
      </c>
      <c r="O47" s="864">
        <v>1100</v>
      </c>
      <c r="P47" s="859">
        <f>+O47+50</f>
        <v>1150</v>
      </c>
      <c r="Q47" s="859">
        <f>+P47+50</f>
        <v>1200</v>
      </c>
      <c r="R47" s="849"/>
    </row>
    <row r="48" spans="2:26" s="843" customFormat="1" ht="12" hidden="1" customHeight="1">
      <c r="B48" s="848"/>
      <c r="C48" s="1378" t="s">
        <v>585</v>
      </c>
      <c r="D48" s="859">
        <f>+D49-50</f>
        <v>350</v>
      </c>
      <c r="E48" s="858">
        <v>9.3421654610904126E-2</v>
      </c>
      <c r="F48" s="858">
        <v>9.7539295087244904E-2</v>
      </c>
      <c r="G48" s="858">
        <v>0.10161756023890245</v>
      </c>
      <c r="H48" s="858">
        <v>0.10561745374008202</v>
      </c>
      <c r="I48" s="858">
        <v>0.10956559786091025</v>
      </c>
      <c r="K48" s="1378" t="s">
        <v>586</v>
      </c>
      <c r="L48" s="850">
        <v>-0.1</v>
      </c>
      <c r="M48" s="858">
        <v>9.9567312467645053E-2</v>
      </c>
      <c r="N48" s="858">
        <v>9.6085568952354095E-2</v>
      </c>
      <c r="O48" s="858">
        <v>9.2788535611656675E-2</v>
      </c>
      <c r="P48" s="858">
        <v>8.9652320135763297E-2</v>
      </c>
      <c r="Q48" s="858">
        <v>8.6682556582361237E-2</v>
      </c>
      <c r="R48" s="849"/>
      <c r="Z48" s="851"/>
    </row>
    <row r="49" spans="2:26" s="843" customFormat="1" ht="12" hidden="1" customHeight="1">
      <c r="B49" s="848"/>
      <c r="C49" s="1379"/>
      <c r="D49" s="859">
        <f>+D50-50</f>
        <v>400</v>
      </c>
      <c r="E49" s="858">
        <v>9.0007395196185724E-2</v>
      </c>
      <c r="F49" s="858">
        <v>9.4029810529185687E-2</v>
      </c>
      <c r="G49" s="858">
        <v>9.7999773934177803E-2</v>
      </c>
      <c r="H49" s="858">
        <v>0.10193439623946055</v>
      </c>
      <c r="I49" s="858">
        <v>0.10579494159873448</v>
      </c>
      <c r="K49" s="1379"/>
      <c r="L49" s="850">
        <v>-0.05</v>
      </c>
      <c r="M49" s="858">
        <v>9.8840673487342157E-2</v>
      </c>
      <c r="N49" s="858">
        <v>9.5369491808596774E-2</v>
      </c>
      <c r="O49" s="858">
        <v>9.2083655774612083E-2</v>
      </c>
      <c r="P49" s="858">
        <v>8.8958102415517493E-2</v>
      </c>
      <c r="Q49" s="858">
        <v>8.6000256146356868E-2</v>
      </c>
      <c r="R49" s="849"/>
    </row>
    <row r="50" spans="2:26" s="843" customFormat="1" ht="12" hidden="1" customHeight="1">
      <c r="B50" s="848"/>
      <c r="C50" s="1379"/>
      <c r="D50" s="859">
        <f>+D51-50</f>
        <v>450</v>
      </c>
      <c r="E50" s="858">
        <v>8.6770540919365313E-2</v>
      </c>
      <c r="F50" s="858">
        <v>9.0715467895729818E-2</v>
      </c>
      <c r="G50" s="858">
        <v>9.4596463597169E-2</v>
      </c>
      <c r="H50" s="858">
        <v>9.8429152636662964E-2</v>
      </c>
      <c r="I50" s="858">
        <v>0.10223003144058729</v>
      </c>
      <c r="K50" s="1379"/>
      <c r="L50" s="863" t="s">
        <v>587</v>
      </c>
      <c r="M50" s="858">
        <v>9.8110725484169548E-2</v>
      </c>
      <c r="N50" s="858">
        <v>9.4650795799186227E-2</v>
      </c>
      <c r="O50" s="865">
        <v>9.1376325614958009E-2</v>
      </c>
      <c r="P50" s="858">
        <v>8.8261383899577384E-2</v>
      </c>
      <c r="Q50" s="858">
        <v>8.531423222142287E-2</v>
      </c>
      <c r="R50" s="849"/>
    </row>
    <row r="51" spans="2:26" s="843" customFormat="1" ht="12" hidden="1" customHeight="1">
      <c r="B51" s="848"/>
      <c r="C51" s="1379"/>
      <c r="D51" s="866">
        <v>500</v>
      </c>
      <c r="E51" s="858">
        <v>8.3723820829046058E-2</v>
      </c>
      <c r="F51" s="858">
        <v>8.7568089843470309E-2</v>
      </c>
      <c r="G51" s="865">
        <v>9.1376325614958009E-2</v>
      </c>
      <c r="H51" s="858">
        <v>9.5125765579351595E-2</v>
      </c>
      <c r="I51" s="858">
        <v>9.8830487226784447E-2</v>
      </c>
      <c r="K51" s="1379"/>
      <c r="L51" s="850">
        <v>0.05</v>
      </c>
      <c r="M51" s="858">
        <v>9.7376941708709586E-2</v>
      </c>
      <c r="N51" s="858">
        <v>9.3928838433301021E-2</v>
      </c>
      <c r="O51" s="858">
        <v>9.0665723330873416E-2</v>
      </c>
      <c r="P51" s="858">
        <v>8.7560856948065258E-2</v>
      </c>
      <c r="Q51" s="858">
        <v>8.4624412168797791E-2</v>
      </c>
      <c r="R51" s="849"/>
    </row>
    <row r="52" spans="2:26" s="843" customFormat="1" ht="12" hidden="1" customHeight="1">
      <c r="B52" s="848"/>
      <c r="C52" s="1379"/>
      <c r="D52" s="859">
        <f>+D51+50</f>
        <v>550</v>
      </c>
      <c r="E52" s="858">
        <v>8.0832669356607045E-2</v>
      </c>
      <c r="F52" s="858">
        <v>8.4596856389674402E-2</v>
      </c>
      <c r="G52" s="858">
        <v>8.8313650622881212E-2</v>
      </c>
      <c r="H52" s="858">
        <v>9.1995013086035193E-2</v>
      </c>
      <c r="I52" s="858">
        <v>9.5622507261733825E-2</v>
      </c>
      <c r="K52" s="1380"/>
      <c r="L52" s="850">
        <v>0.1</v>
      </c>
      <c r="M52" s="858">
        <v>9.6639247313853538E-2</v>
      </c>
      <c r="N52" s="858">
        <v>9.3202969397072621E-2</v>
      </c>
      <c r="O52" s="858">
        <v>8.9951212659398871E-2</v>
      </c>
      <c r="P52" s="858">
        <v>8.6856446584460567E-2</v>
      </c>
      <c r="Q52" s="858">
        <v>8.3932210574902966E-2</v>
      </c>
      <c r="R52" s="849"/>
    </row>
    <row r="53" spans="2:26" s="843" customFormat="1" ht="12" hidden="1" customHeight="1">
      <c r="B53" s="848"/>
      <c r="C53" s="1379"/>
      <c r="D53" s="859">
        <f>+D52+50</f>
        <v>600</v>
      </c>
      <c r="E53" s="858">
        <v>7.8099833267530228E-2</v>
      </c>
      <c r="F53" s="858">
        <v>8.17754152101553E-2</v>
      </c>
      <c r="G53" s="858">
        <v>8.5416714724188658E-2</v>
      </c>
      <c r="H53" s="858">
        <v>8.9012183396014022E-2</v>
      </c>
      <c r="I53" s="858">
        <v>9.2576307945317016E-2</v>
      </c>
      <c r="R53" s="849"/>
    </row>
    <row r="54" spans="2:26" s="843" customFormat="1" ht="12" hidden="1" customHeight="1">
      <c r="B54" s="848"/>
      <c r="C54" s="1380"/>
      <c r="D54" s="859">
        <f>+D53+50</f>
        <v>650</v>
      </c>
      <c r="E54" s="858">
        <v>7.5508121994068977E-2</v>
      </c>
      <c r="F54" s="858">
        <v>7.9105679596029876E-2</v>
      </c>
      <c r="G54" s="858">
        <v>8.265942196589493E-2</v>
      </c>
      <c r="H54" s="858">
        <v>8.6185923724163338E-2</v>
      </c>
      <c r="I54" s="858">
        <v>8.9669700798759466E-2</v>
      </c>
      <c r="L54" s="852"/>
      <c r="M54" s="851"/>
      <c r="R54" s="849"/>
    </row>
    <row r="55" spans="2:26" s="843" customFormat="1" hidden="1" thickBot="1">
      <c r="B55" s="853"/>
      <c r="C55" s="854"/>
      <c r="D55" s="854"/>
      <c r="E55" s="855"/>
      <c r="F55" s="855"/>
      <c r="G55" s="855"/>
      <c r="H55" s="855"/>
      <c r="I55" s="855"/>
      <c r="J55" s="854"/>
      <c r="K55" s="854"/>
      <c r="L55" s="854"/>
      <c r="M55" s="855"/>
      <c r="N55" s="855"/>
      <c r="O55" s="855"/>
      <c r="P55" s="855"/>
      <c r="Q55" s="855"/>
      <c r="R55" s="856"/>
    </row>
    <row r="56" spans="2:26" ht="13.5" hidden="1" thickBot="1"/>
    <row r="57" spans="2:26" s="843" customFormat="1" ht="12">
      <c r="B57" s="845"/>
      <c r="C57" s="846"/>
      <c r="D57" s="846"/>
      <c r="E57" s="846"/>
      <c r="F57" s="846"/>
      <c r="G57" s="846"/>
      <c r="H57" s="846"/>
      <c r="I57" s="846"/>
      <c r="J57" s="846"/>
      <c r="K57" s="846"/>
      <c r="L57" s="846"/>
      <c r="M57" s="846"/>
      <c r="N57" s="846"/>
      <c r="O57" s="846"/>
      <c r="P57" s="846"/>
      <c r="Q57" s="846"/>
      <c r="R57" s="847"/>
    </row>
    <row r="58" spans="2:26" s="843" customFormat="1" ht="12">
      <c r="B58" s="848"/>
      <c r="C58" s="1376" t="s">
        <v>713</v>
      </c>
      <c r="D58" s="1376"/>
      <c r="E58" s="1376"/>
      <c r="F58" s="1376"/>
      <c r="R58" s="849"/>
    </row>
    <row r="59" spans="2:26" s="843" customFormat="1" ht="12">
      <c r="B59" s="848"/>
      <c r="E59" s="1377" t="s">
        <v>583</v>
      </c>
      <c r="F59" s="1377"/>
      <c r="G59" s="1377"/>
      <c r="H59" s="1377"/>
      <c r="I59" s="1377"/>
      <c r="M59" s="1377" t="s">
        <v>584</v>
      </c>
      <c r="N59" s="1377"/>
      <c r="O59" s="1377"/>
      <c r="P59" s="1377"/>
      <c r="Q59" s="1377"/>
      <c r="R59" s="849"/>
    </row>
    <row r="60" spans="2:26" s="843" customFormat="1" ht="12">
      <c r="B60" s="848"/>
      <c r="E60" s="859">
        <f>+F60-5</f>
        <v>177</v>
      </c>
      <c r="F60" s="859">
        <f>+G60-5</f>
        <v>182</v>
      </c>
      <c r="G60" s="863">
        <v>187</v>
      </c>
      <c r="H60" s="859">
        <f>+G60+5</f>
        <v>192</v>
      </c>
      <c r="I60" s="859">
        <f>+H60+5</f>
        <v>197</v>
      </c>
      <c r="M60" s="859">
        <f>+N60-50</f>
        <v>1000</v>
      </c>
      <c r="N60" s="859">
        <f>+O60-50</f>
        <v>1050</v>
      </c>
      <c r="O60" s="864">
        <v>1100</v>
      </c>
      <c r="P60" s="859">
        <f>+O60+50</f>
        <v>1150</v>
      </c>
      <c r="Q60" s="859">
        <f>+P60+50</f>
        <v>1200</v>
      </c>
      <c r="R60" s="849"/>
    </row>
    <row r="61" spans="2:26" s="843" customFormat="1" ht="12" customHeight="1">
      <c r="B61" s="848"/>
      <c r="C61" s="1378" t="s">
        <v>585</v>
      </c>
      <c r="D61" s="859">
        <f>+D62-50</f>
        <v>350</v>
      </c>
      <c r="E61" s="858">
        <v>8.9141858371938776E-2</v>
      </c>
      <c r="F61" s="858">
        <v>9.3205240835337655E-2</v>
      </c>
      <c r="G61" s="858">
        <v>9.7203749935290684E-2</v>
      </c>
      <c r="H61" s="858">
        <v>0.10114942697515072</v>
      </c>
      <c r="I61" s="858">
        <v>0.10505521823426833</v>
      </c>
      <c r="K61" s="1378" t="s">
        <v>586</v>
      </c>
      <c r="L61" s="850">
        <v>-0.1</v>
      </c>
      <c r="M61" s="858">
        <v>9.5236276237799178E-2</v>
      </c>
      <c r="N61" s="858">
        <v>9.18569030013483E-2</v>
      </c>
      <c r="O61" s="858">
        <v>8.8646992425863935E-2</v>
      </c>
      <c r="P61" s="858">
        <v>8.5614813830492409E-2</v>
      </c>
      <c r="Q61" s="858">
        <v>8.2732009061753597E-2</v>
      </c>
      <c r="R61" s="849"/>
      <c r="Z61" s="851"/>
    </row>
    <row r="62" spans="2:26" s="843" customFormat="1" ht="12" customHeight="1">
      <c r="B62" s="848"/>
      <c r="C62" s="1379"/>
      <c r="D62" s="859">
        <f>+D63-50</f>
        <v>400</v>
      </c>
      <c r="E62" s="858">
        <v>8.5833967327794358E-2</v>
      </c>
      <c r="F62" s="858">
        <v>8.9794375241196711E-2</v>
      </c>
      <c r="G62" s="858">
        <v>9.371068674359706E-2</v>
      </c>
      <c r="H62" s="858">
        <v>9.7567391041898155E-2</v>
      </c>
      <c r="I62" s="858">
        <v>0.10137518384301725</v>
      </c>
      <c r="K62" s="1379"/>
      <c r="L62" s="850">
        <v>-0.05</v>
      </c>
      <c r="M62" s="858">
        <v>9.4531597814831336E-2</v>
      </c>
      <c r="N62" s="858">
        <v>9.1163676365605628E-2</v>
      </c>
      <c r="O62" s="858">
        <v>8.7963926146626292E-2</v>
      </c>
      <c r="P62" s="858">
        <v>8.4942493759324833E-2</v>
      </c>
      <c r="Q62" s="858">
        <v>8.2071470056201967E-2</v>
      </c>
      <c r="R62" s="849"/>
    </row>
    <row r="63" spans="2:26" s="843" customFormat="1" ht="12" customHeight="1">
      <c r="B63" s="848"/>
      <c r="C63" s="1379"/>
      <c r="D63" s="859">
        <f>+D64-50</f>
        <v>450</v>
      </c>
      <c r="E63" s="858">
        <v>8.2708427011210173E-2</v>
      </c>
      <c r="F63" s="858">
        <v>8.6579343917225104E-2</v>
      </c>
      <c r="G63" s="858">
        <v>9.0411655548668701E-2</v>
      </c>
      <c r="H63" s="858">
        <v>9.4181907934006714E-2</v>
      </c>
      <c r="I63" s="858">
        <v>9.790664937426441E-2</v>
      </c>
      <c r="K63" s="1379"/>
      <c r="L63" s="863" t="s">
        <v>587</v>
      </c>
      <c r="M63" s="858">
        <v>9.382323060277975E-2</v>
      </c>
      <c r="N63" s="858">
        <v>9.0466764202302707E-2</v>
      </c>
      <c r="O63" s="865">
        <v>8.7277198359636321E-2</v>
      </c>
      <c r="P63" s="858">
        <v>8.4267726406600518E-2</v>
      </c>
      <c r="Q63" s="858">
        <v>8.1407345553992316E-2</v>
      </c>
      <c r="R63" s="849"/>
    </row>
    <row r="64" spans="2:26" s="843" customFormat="1" ht="12" customHeight="1">
      <c r="B64" s="848"/>
      <c r="C64" s="1379"/>
      <c r="D64" s="866">
        <v>500</v>
      </c>
      <c r="E64" s="858">
        <v>7.976464532826455E-2</v>
      </c>
      <c r="F64" s="858">
        <v>8.3545688720043643E-2</v>
      </c>
      <c r="G64" s="865">
        <v>8.7277198359636321E-2</v>
      </c>
      <c r="H64" s="858">
        <v>9.0978485130139619E-2</v>
      </c>
      <c r="I64" s="858">
        <v>9.4622277468724869E-2</v>
      </c>
      <c r="K64" s="1379"/>
      <c r="L64" s="850">
        <v>0.05</v>
      </c>
      <c r="M64" s="858">
        <v>9.311110389993793E-2</v>
      </c>
      <c r="N64" s="858">
        <v>8.9755838907470187E-2</v>
      </c>
      <c r="O64" s="858">
        <v>8.6586738432550714E-2</v>
      </c>
      <c r="P64" s="858">
        <v>8.3590338311916756E-2</v>
      </c>
      <c r="Q64" s="858">
        <v>8.0739670991433865E-2</v>
      </c>
      <c r="R64" s="849"/>
    </row>
    <row r="65" spans="2:26" s="843" customFormat="1" ht="12" customHeight="1">
      <c r="B65" s="848"/>
      <c r="C65" s="1379"/>
      <c r="D65" s="859">
        <f>+D64+50</f>
        <v>550</v>
      </c>
      <c r="E65" s="858">
        <v>7.6977806524655801E-2</v>
      </c>
      <c r="F65" s="858">
        <v>8.066516592375228E-2</v>
      </c>
      <c r="G65" s="858">
        <v>8.4320514358930065E-2</v>
      </c>
      <c r="H65" s="858">
        <v>8.7929980852061496E-2</v>
      </c>
      <c r="I65" s="858">
        <v>9.1509038859806768E-2</v>
      </c>
      <c r="K65" s="1380"/>
      <c r="L65" s="850">
        <v>0.1</v>
      </c>
      <c r="M65" s="858">
        <v>9.239514490979861E-2</v>
      </c>
      <c r="N65" s="858">
        <v>8.9050413774192094E-2</v>
      </c>
      <c r="O65" s="858">
        <v>8.5894515483706746E-2</v>
      </c>
      <c r="P65" s="858">
        <v>8.2901637325362598E-2</v>
      </c>
      <c r="Q65" s="858">
        <v>8.0070737997870678E-2</v>
      </c>
      <c r="R65" s="849"/>
    </row>
    <row r="66" spans="2:26" s="843" customFormat="1" ht="12" customHeight="1">
      <c r="B66" s="848"/>
      <c r="C66" s="1379"/>
      <c r="D66" s="859">
        <f>+D65+50</f>
        <v>600</v>
      </c>
      <c r="E66" s="858">
        <v>7.4333719088906625E-2</v>
      </c>
      <c r="F66" s="858">
        <v>7.794223748748208E-2</v>
      </c>
      <c r="G66" s="858">
        <v>8.1511006794358964E-2</v>
      </c>
      <c r="H66" s="858">
        <v>8.5047998788412071E-2</v>
      </c>
      <c r="I66" s="858">
        <v>8.854190691181052E-2</v>
      </c>
      <c r="R66" s="849"/>
    </row>
    <row r="67" spans="2:26" s="843" customFormat="1" ht="12" customHeight="1">
      <c r="B67" s="848"/>
      <c r="C67" s="1380"/>
      <c r="D67" s="859">
        <f>+D66+50</f>
        <v>650</v>
      </c>
      <c r="E67" s="858">
        <v>7.1819367655457267E-2</v>
      </c>
      <c r="F67" s="858">
        <v>7.5359326954367756E-2</v>
      </c>
      <c r="G67" s="858">
        <v>7.884862999405895E-2</v>
      </c>
      <c r="H67" s="858">
        <v>8.2305086792795246E-2</v>
      </c>
      <c r="I67" s="858">
        <v>8.57318352435672E-2</v>
      </c>
      <c r="L67" s="852"/>
      <c r="M67" s="851"/>
      <c r="R67" s="849"/>
    </row>
    <row r="68" spans="2:26" s="843" customFormat="1" thickBot="1">
      <c r="B68" s="853"/>
      <c r="C68" s="854"/>
      <c r="D68" s="854"/>
      <c r="E68" s="855"/>
      <c r="F68" s="855"/>
      <c r="G68" s="855"/>
      <c r="H68" s="855"/>
      <c r="I68" s="855"/>
      <c r="J68" s="854"/>
      <c r="K68" s="854"/>
      <c r="L68" s="854"/>
      <c r="M68" s="855"/>
      <c r="N68" s="855"/>
      <c r="O68" s="855"/>
      <c r="P68" s="855"/>
      <c r="Q68" s="855"/>
      <c r="R68" s="856"/>
    </row>
    <row r="69" spans="2:26" ht="13.5" thickBot="1"/>
    <row r="70" spans="2:26" s="843" customFormat="1" ht="12">
      <c r="B70" s="845"/>
      <c r="C70" s="846"/>
      <c r="D70" s="846"/>
      <c r="E70" s="846"/>
      <c r="F70" s="846"/>
      <c r="G70" s="846"/>
      <c r="H70" s="846"/>
      <c r="I70" s="846"/>
      <c r="J70" s="846"/>
      <c r="K70" s="846"/>
      <c r="L70" s="846"/>
      <c r="M70" s="846"/>
      <c r="N70" s="846"/>
      <c r="O70" s="846"/>
      <c r="P70" s="846"/>
      <c r="Q70" s="846"/>
      <c r="R70" s="847"/>
    </row>
    <row r="71" spans="2:26" s="843" customFormat="1" ht="12">
      <c r="B71" s="848"/>
      <c r="C71" s="1376" t="s">
        <v>714</v>
      </c>
      <c r="D71" s="1376"/>
      <c r="E71" s="1376"/>
      <c r="F71" s="1376"/>
      <c r="R71" s="849"/>
    </row>
    <row r="72" spans="2:26" s="843" customFormat="1" ht="12">
      <c r="B72" s="848"/>
      <c r="E72" s="1377" t="s">
        <v>583</v>
      </c>
      <c r="F72" s="1377"/>
      <c r="G72" s="1377"/>
      <c r="H72" s="1377"/>
      <c r="I72" s="1377"/>
      <c r="M72" s="1377" t="s">
        <v>584</v>
      </c>
      <c r="N72" s="1377"/>
      <c r="O72" s="1377"/>
      <c r="P72" s="1377"/>
      <c r="Q72" s="1377"/>
      <c r="R72" s="849"/>
    </row>
    <row r="73" spans="2:26" s="843" customFormat="1" ht="12">
      <c r="B73" s="848"/>
      <c r="E73" s="859">
        <f>+F73-5</f>
        <v>177</v>
      </c>
      <c r="F73" s="859">
        <f>+G73-5</f>
        <v>182</v>
      </c>
      <c r="G73" s="863">
        <v>187</v>
      </c>
      <c r="H73" s="859">
        <f>+G73+5</f>
        <v>192</v>
      </c>
      <c r="I73" s="859">
        <f>+H73+5</f>
        <v>197</v>
      </c>
      <c r="M73" s="859">
        <f>+N73-50</f>
        <v>1000</v>
      </c>
      <c r="N73" s="859">
        <f>+O73-50</f>
        <v>1050</v>
      </c>
      <c r="O73" s="864">
        <v>1100</v>
      </c>
      <c r="P73" s="859">
        <f>+O73+50</f>
        <v>1150</v>
      </c>
      <c r="Q73" s="859">
        <f>+P73+50</f>
        <v>1200</v>
      </c>
      <c r="R73" s="849"/>
    </row>
    <row r="74" spans="2:26" s="843" customFormat="1" ht="12" customHeight="1">
      <c r="B74" s="848"/>
      <c r="C74" s="1378" t="s">
        <v>585</v>
      </c>
      <c r="D74" s="859">
        <f>+D75-50</f>
        <v>350</v>
      </c>
      <c r="E74" s="858">
        <v>9.8778271249626348E-2</v>
      </c>
      <c r="F74" s="858">
        <v>0.10298507410417268</v>
      </c>
      <c r="G74" s="858">
        <v>0.10711218593971683</v>
      </c>
      <c r="H74" s="858">
        <v>0.11118205132275127</v>
      </c>
      <c r="I74" s="858">
        <v>0.11520016075915995</v>
      </c>
      <c r="K74" s="1378" t="s">
        <v>586</v>
      </c>
      <c r="L74" s="850">
        <v>-0.1</v>
      </c>
      <c r="M74" s="858">
        <v>0.10488251195137321</v>
      </c>
      <c r="N74" s="858">
        <v>0.10127686561511084</v>
      </c>
      <c r="O74" s="858">
        <v>9.7872003176949773E-2</v>
      </c>
      <c r="P74" s="858">
        <v>9.4641817020966412E-2</v>
      </c>
      <c r="Q74" s="858">
        <v>9.1574444289181711E-2</v>
      </c>
      <c r="R74" s="849"/>
      <c r="Z74" s="851"/>
    </row>
    <row r="75" spans="2:26" s="843" customFormat="1" ht="12" customHeight="1">
      <c r="B75" s="848"/>
      <c r="C75" s="1379"/>
      <c r="D75" s="859">
        <f>+D76-50</f>
        <v>400</v>
      </c>
      <c r="E75" s="858">
        <v>9.5243369239899511E-2</v>
      </c>
      <c r="F75" s="858">
        <v>9.9340356341535818E-2</v>
      </c>
      <c r="G75" s="858">
        <v>0.10339743554319414</v>
      </c>
      <c r="H75" s="858">
        <v>0.10737991374372635</v>
      </c>
      <c r="I75" s="858">
        <v>0.11130886818619623</v>
      </c>
      <c r="K75" s="1379"/>
      <c r="L75" s="850">
        <v>-0.05</v>
      </c>
      <c r="M75" s="858">
        <v>0.10419581380033205</v>
      </c>
      <c r="N75" s="858">
        <v>0.10059926344534831</v>
      </c>
      <c r="O75" s="858">
        <v>9.7205071505203744E-2</v>
      </c>
      <c r="P75" s="858">
        <v>9.3985147599451757E-2</v>
      </c>
      <c r="Q75" s="858">
        <v>9.0927671224557027E-2</v>
      </c>
      <c r="R75" s="849"/>
    </row>
    <row r="76" spans="2:26" s="843" customFormat="1" ht="12" customHeight="1">
      <c r="B76" s="848"/>
      <c r="C76" s="1379"/>
      <c r="D76" s="859">
        <f>+D77-50</f>
        <v>450</v>
      </c>
      <c r="E76" s="858">
        <v>9.1903950313074079E-2</v>
      </c>
      <c r="F76" s="858">
        <v>9.5911267383662846E-2</v>
      </c>
      <c r="G76" s="858">
        <v>9.9865132726945083E-2</v>
      </c>
      <c r="H76" s="858">
        <v>0.1037821031850501</v>
      </c>
      <c r="I76" s="858">
        <v>0.10762982035468571</v>
      </c>
      <c r="K76" s="1379"/>
      <c r="L76" s="863" t="s">
        <v>587</v>
      </c>
      <c r="M76" s="858">
        <v>0.10350590453411712</v>
      </c>
      <c r="N76" s="858">
        <v>9.991845320556525E-2</v>
      </c>
      <c r="O76" s="865">
        <v>9.6534929037110695E-2</v>
      </c>
      <c r="P76" s="858">
        <v>9.3325267843894721E-2</v>
      </c>
      <c r="Q76" s="858">
        <v>9.0277691710628716E-2</v>
      </c>
      <c r="R76" s="849"/>
    </row>
    <row r="77" spans="2:26" s="843" customFormat="1" ht="12" customHeight="1">
      <c r="B77" s="848"/>
      <c r="C77" s="1379"/>
      <c r="D77" s="866">
        <v>500</v>
      </c>
      <c r="E77" s="858">
        <v>8.8734165777523133E-2</v>
      </c>
      <c r="F77" s="858">
        <v>9.2664870820788892E-2</v>
      </c>
      <c r="G77" s="865">
        <v>9.6534929037110695E-2</v>
      </c>
      <c r="H77" s="858">
        <v>0.10035550673243887</v>
      </c>
      <c r="I77" s="858">
        <v>0.10414178195511203</v>
      </c>
      <c r="K77" s="1379"/>
      <c r="L77" s="850">
        <v>0.05</v>
      </c>
      <c r="M77" s="858">
        <v>0.10281272738451941</v>
      </c>
      <c r="N77" s="858">
        <v>9.9234377856423084E-2</v>
      </c>
      <c r="O77" s="858">
        <v>9.5861518553009617E-2</v>
      </c>
      <c r="P77" s="858">
        <v>9.2662120420277994E-2</v>
      </c>
      <c r="Q77" s="858">
        <v>8.9614123892917563E-2</v>
      </c>
      <c r="R77" s="849"/>
    </row>
    <row r="78" spans="2:26" s="843" customFormat="1" ht="12" customHeight="1">
      <c r="B78" s="848"/>
      <c r="C78" s="1379"/>
      <c r="D78" s="859">
        <f>+D77+50</f>
        <v>550</v>
      </c>
      <c r="E78" s="858">
        <v>8.5739830840897646E-2</v>
      </c>
      <c r="F78" s="858">
        <v>8.9577744129939685E-2</v>
      </c>
      <c r="G78" s="858">
        <v>9.337650868671421E-2</v>
      </c>
      <c r="H78" s="858">
        <v>9.7118628919244276E-2</v>
      </c>
      <c r="I78" s="858">
        <v>0.10081476455037985</v>
      </c>
      <c r="K78" s="1380"/>
      <c r="L78" s="850">
        <v>0.1</v>
      </c>
      <c r="M78" s="858">
        <v>0.10211622402702059</v>
      </c>
      <c r="N78" s="858">
        <v>9.8548200626730198E-2</v>
      </c>
      <c r="O78" s="858">
        <v>9.5184781257848572E-2</v>
      </c>
      <c r="P78" s="858">
        <v>9.1995646413095988E-2</v>
      </c>
      <c r="Q78" s="858">
        <v>8.8956701420713102E-2</v>
      </c>
      <c r="R78" s="849"/>
    </row>
    <row r="79" spans="2:26" s="843" customFormat="1" ht="12" customHeight="1">
      <c r="B79" s="848"/>
      <c r="C79" s="1379"/>
      <c r="D79" s="859">
        <f>+D78+50</f>
        <v>600</v>
      </c>
      <c r="E79" s="858">
        <v>8.2894879151058865E-2</v>
      </c>
      <c r="F79" s="858">
        <v>8.665449141138537E-2</v>
      </c>
      <c r="G79" s="858">
        <v>9.0378210454798324E-2</v>
      </c>
      <c r="H79" s="858">
        <v>9.4043531588424489E-2</v>
      </c>
      <c r="I79" s="858">
        <v>9.766610560123401E-2</v>
      </c>
      <c r="R79" s="849"/>
    </row>
    <row r="80" spans="2:26" s="843" customFormat="1" ht="12" customHeight="1">
      <c r="B80" s="848"/>
      <c r="C80" s="1380"/>
      <c r="D80" s="859">
        <f>+D79+50</f>
        <v>650</v>
      </c>
      <c r="E80" s="858">
        <v>8.0201764619051374E-2</v>
      </c>
      <c r="F80" s="858">
        <v>8.38817503255187E-2</v>
      </c>
      <c r="G80" s="858">
        <v>8.7515016801114953E-2</v>
      </c>
      <c r="H80" s="858">
        <v>9.1119666688420198E-2</v>
      </c>
      <c r="I80" s="858">
        <v>9.4670032133281401E-2</v>
      </c>
      <c r="L80" s="852"/>
      <c r="M80" s="851"/>
      <c r="R80" s="849"/>
    </row>
    <row r="81" spans="2:26" s="843" customFormat="1" thickBot="1">
      <c r="B81" s="853"/>
      <c r="C81" s="854"/>
      <c r="D81" s="854"/>
      <c r="E81" s="855"/>
      <c r="F81" s="855"/>
      <c r="G81" s="855"/>
      <c r="H81" s="855"/>
      <c r="I81" s="855"/>
      <c r="J81" s="854"/>
      <c r="K81" s="854"/>
      <c r="L81" s="854"/>
      <c r="M81" s="855"/>
      <c r="N81" s="855"/>
      <c r="O81" s="855"/>
      <c r="P81" s="855"/>
      <c r="Q81" s="855"/>
      <c r="R81" s="856"/>
    </row>
    <row r="82" spans="2:26" ht="13.5" thickBot="1"/>
    <row r="83" spans="2:26" s="1007" customFormat="1" ht="12">
      <c r="B83" s="1008"/>
      <c r="C83" s="1009"/>
      <c r="D83" s="1009"/>
      <c r="E83" s="1009"/>
      <c r="F83" s="1009"/>
      <c r="G83" s="1009"/>
      <c r="H83" s="1009"/>
      <c r="I83" s="1009"/>
      <c r="J83" s="1009"/>
      <c r="K83" s="1009"/>
      <c r="L83" s="1009"/>
      <c r="M83" s="1009"/>
      <c r="N83" s="1009"/>
      <c r="O83" s="1009"/>
      <c r="P83" s="1009"/>
      <c r="Q83" s="1009"/>
      <c r="R83" s="1010"/>
    </row>
    <row r="84" spans="2:26" s="1007" customFormat="1" ht="12">
      <c r="B84" s="1011"/>
      <c r="C84" s="1461" t="s">
        <v>1080</v>
      </c>
      <c r="D84" s="1461"/>
      <c r="E84" s="1461"/>
      <c r="F84" s="1461"/>
      <c r="R84" s="1012"/>
    </row>
    <row r="85" spans="2:26" s="1007" customFormat="1" ht="12">
      <c r="B85" s="1011"/>
      <c r="E85" s="1462" t="s">
        <v>583</v>
      </c>
      <c r="F85" s="1462"/>
      <c r="G85" s="1462"/>
      <c r="H85" s="1462"/>
      <c r="I85" s="1462"/>
      <c r="M85" s="1462" t="s">
        <v>584</v>
      </c>
      <c r="N85" s="1462"/>
      <c r="O85" s="1462"/>
      <c r="P85" s="1462"/>
      <c r="Q85" s="1462"/>
      <c r="R85" s="1012"/>
    </row>
    <row r="86" spans="2:26" s="1007" customFormat="1" ht="12">
      <c r="B86" s="1011"/>
      <c r="E86" s="859">
        <f>+F86-5</f>
        <v>177</v>
      </c>
      <c r="F86" s="859">
        <f>+G86-5</f>
        <v>182</v>
      </c>
      <c r="G86" s="1013">
        <v>187</v>
      </c>
      <c r="H86" s="859">
        <f>+G86+5</f>
        <v>192</v>
      </c>
      <c r="I86" s="859">
        <f>+H86+5</f>
        <v>197</v>
      </c>
      <c r="M86" s="859">
        <f>+N86-50</f>
        <v>1000</v>
      </c>
      <c r="N86" s="859">
        <f>+O86-50</f>
        <v>1050</v>
      </c>
      <c r="O86" s="864">
        <v>1100</v>
      </c>
      <c r="P86" s="859">
        <f>+O86+50</f>
        <v>1150</v>
      </c>
      <c r="Q86" s="859">
        <f>+P86+50</f>
        <v>1200</v>
      </c>
      <c r="R86" s="1012"/>
    </row>
    <row r="87" spans="2:26" s="1007" customFormat="1" ht="12" customHeight="1">
      <c r="B87" s="1011"/>
      <c r="C87" s="1463" t="s">
        <v>585</v>
      </c>
      <c r="D87" s="859">
        <f>+D88-50</f>
        <v>350</v>
      </c>
      <c r="E87" s="858">
        <v>9.141790728194743E-2</v>
      </c>
      <c r="F87" s="858">
        <v>9.5510712927029839E-2</v>
      </c>
      <c r="G87" s="858">
        <v>9.9547061640730572E-2</v>
      </c>
      <c r="H87" s="858">
        <v>0.10354323115471065</v>
      </c>
      <c r="I87" s="858">
        <v>0.10746772707731966</v>
      </c>
      <c r="K87" s="1463" t="s">
        <v>586</v>
      </c>
      <c r="L87" s="850">
        <v>-0.1</v>
      </c>
      <c r="M87" s="858">
        <v>9.7614739149692875E-2</v>
      </c>
      <c r="N87" s="858">
        <v>9.4175617258999367E-2</v>
      </c>
      <c r="O87" s="858">
        <v>9.0920747276860503E-2</v>
      </c>
      <c r="P87" s="858">
        <v>8.782306605870116E-2</v>
      </c>
      <c r="Q87" s="858">
        <v>8.4893547349764731E-2</v>
      </c>
      <c r="R87" s="1012"/>
      <c r="Z87" s="1014"/>
    </row>
    <row r="88" spans="2:26" s="1007" customFormat="1" ht="12" customHeight="1">
      <c r="B88" s="1011"/>
      <c r="C88" s="1464"/>
      <c r="D88" s="859">
        <f>+D89-50</f>
        <v>400</v>
      </c>
      <c r="E88" s="858">
        <v>8.8040499686938389E-2</v>
      </c>
      <c r="F88" s="858">
        <v>9.2048547339143028E-2</v>
      </c>
      <c r="G88" s="858">
        <v>9.5993929219312824E-2</v>
      </c>
      <c r="H88" s="858">
        <v>9.9887102914135051E-2</v>
      </c>
      <c r="I88" s="858">
        <v>0.10374372625844641</v>
      </c>
      <c r="K88" s="1464"/>
      <c r="L88" s="850">
        <v>-0.05</v>
      </c>
      <c r="M88" s="858">
        <v>9.6862353505142718E-2</v>
      </c>
      <c r="N88" s="858">
        <v>9.3435363046953324E-2</v>
      </c>
      <c r="O88" s="858">
        <v>9.0192143882653841E-2</v>
      </c>
      <c r="P88" s="858">
        <v>8.7104824401813108E-2</v>
      </c>
      <c r="Q88" s="858">
        <v>8.4187908757573648E-2</v>
      </c>
      <c r="R88" s="1012"/>
    </row>
    <row r="89" spans="2:26" s="1007" customFormat="1" ht="12" customHeight="1">
      <c r="B89" s="1011"/>
      <c r="C89" s="1464"/>
      <c r="D89" s="859">
        <f>+D90-50</f>
        <v>450</v>
      </c>
      <c r="E89" s="858">
        <v>8.4860771277859515E-2</v>
      </c>
      <c r="F89" s="858">
        <v>8.8768243341749153E-2</v>
      </c>
      <c r="G89" s="858">
        <v>9.2636175552014421E-2</v>
      </c>
      <c r="H89" s="858">
        <v>9.6444441832374883E-2</v>
      </c>
      <c r="I89" s="858">
        <v>0.10020435220370838</v>
      </c>
      <c r="K89" s="1464"/>
      <c r="L89" s="1013" t="s">
        <v>587</v>
      </c>
      <c r="M89" s="858">
        <v>9.6105849006624E-2</v>
      </c>
      <c r="N89" s="858">
        <v>9.269098937680309E-2</v>
      </c>
      <c r="O89" s="865">
        <v>8.9449201939794776E-2</v>
      </c>
      <c r="P89" s="858">
        <v>8.6383199151440548E-2</v>
      </c>
      <c r="Q89" s="858">
        <v>8.3478993355725395E-2</v>
      </c>
      <c r="R89" s="1012"/>
    </row>
    <row r="90" spans="2:26" s="1007" customFormat="1" ht="12" customHeight="1">
      <c r="B90" s="1011"/>
      <c r="C90" s="1464"/>
      <c r="D90" s="866">
        <v>500</v>
      </c>
      <c r="E90" s="858">
        <v>8.1851340227426572E-2</v>
      </c>
      <c r="F90" s="858">
        <v>8.5674858460235814E-2</v>
      </c>
      <c r="G90" s="865">
        <v>8.9449201939794776E-2</v>
      </c>
      <c r="H90" s="858">
        <v>9.3184955439905348E-2</v>
      </c>
      <c r="I90" s="858">
        <v>9.686547182611549E-2</v>
      </c>
      <c r="K90" s="1464"/>
      <c r="L90" s="850">
        <v>0.05</v>
      </c>
      <c r="M90" s="858">
        <v>9.5345142300308217E-2</v>
      </c>
      <c r="N90" s="858">
        <v>9.1942412685203312E-2</v>
      </c>
      <c r="O90" s="858">
        <v>8.8711624056082128E-2</v>
      </c>
      <c r="P90" s="858">
        <v>8.5658985688002343E-2</v>
      </c>
      <c r="Q90" s="858">
        <v>8.2758537862908321E-2</v>
      </c>
      <c r="R90" s="1012"/>
    </row>
    <row r="91" spans="2:26" s="1007" customFormat="1" ht="12" customHeight="1">
      <c r="B91" s="1011"/>
      <c r="C91" s="1464"/>
      <c r="D91" s="859">
        <f>+D90+50</f>
        <v>550</v>
      </c>
      <c r="E91" s="858">
        <v>7.9012583689884508E-2</v>
      </c>
      <c r="F91" s="858">
        <v>8.2741021868960818E-2</v>
      </c>
      <c r="G91" s="858">
        <v>8.6435745939404285E-2</v>
      </c>
      <c r="H91" s="858">
        <v>9.0095708233803418E-2</v>
      </c>
      <c r="I91" s="858">
        <v>9.3698632327565035E-2</v>
      </c>
      <c r="K91" s="1465"/>
      <c r="L91" s="850">
        <v>0.1</v>
      </c>
      <c r="M91" s="858">
        <v>9.4580228209362405E-2</v>
      </c>
      <c r="N91" s="858">
        <v>9.1190131405232133E-2</v>
      </c>
      <c r="O91" s="858">
        <v>8.7971635792397418E-2</v>
      </c>
      <c r="P91" s="858">
        <v>8.4930537803314055E-2</v>
      </c>
      <c r="Q91" s="858">
        <v>8.2041221517478391E-2</v>
      </c>
      <c r="R91" s="1012"/>
    </row>
    <row r="92" spans="2:26" s="1007" customFormat="1" ht="12" customHeight="1">
      <c r="B92" s="1011"/>
      <c r="C92" s="1464"/>
      <c r="D92" s="859">
        <f>+D91+50</f>
        <v>600</v>
      </c>
      <c r="E92" s="858">
        <v>7.6322182886660039E-2</v>
      </c>
      <c r="F92" s="858">
        <v>7.9967741727169139E-2</v>
      </c>
      <c r="G92" s="858">
        <v>8.3582007970409489E-2</v>
      </c>
      <c r="H92" s="858">
        <v>8.7150443115485698E-2</v>
      </c>
      <c r="I92" s="858">
        <v>9.0692169936182454E-2</v>
      </c>
      <c r="R92" s="1012"/>
    </row>
    <row r="93" spans="2:26" s="1007" customFormat="1" ht="12" customHeight="1">
      <c r="B93" s="1011"/>
      <c r="C93" s="1465"/>
      <c r="D93" s="859">
        <f>+D92+50</f>
        <v>650</v>
      </c>
      <c r="E93" s="858">
        <v>7.3762694849681454E-2</v>
      </c>
      <c r="F93" s="858">
        <v>7.7333334040778468E-2</v>
      </c>
      <c r="G93" s="858">
        <v>8.0863485882155306E-2</v>
      </c>
      <c r="H93" s="858">
        <v>8.4363784242154072E-2</v>
      </c>
      <c r="I93" s="858">
        <v>8.7821844219490686E-2</v>
      </c>
      <c r="L93" s="1015"/>
      <c r="M93" s="1014"/>
      <c r="R93" s="1012"/>
    </row>
    <row r="94" spans="2:26" s="1007" customFormat="1" thickBot="1">
      <c r="B94" s="1016"/>
      <c r="C94" s="1017"/>
      <c r="D94" s="1017"/>
      <c r="E94" s="1018"/>
      <c r="F94" s="1018"/>
      <c r="G94" s="1018"/>
      <c r="H94" s="1018"/>
      <c r="I94" s="1018"/>
      <c r="J94" s="1017"/>
      <c r="K94" s="1017"/>
      <c r="L94" s="1017"/>
      <c r="M94" s="1018"/>
      <c r="N94" s="1018"/>
      <c r="O94" s="1018"/>
      <c r="P94" s="1018"/>
      <c r="Q94" s="1018"/>
      <c r="R94" s="1019"/>
    </row>
    <row r="95" spans="2:26" ht="13.5" thickBot="1"/>
    <row r="96" spans="2:26" s="1007" customFormat="1" ht="12">
      <c r="B96" s="1008"/>
      <c r="C96" s="1009"/>
      <c r="D96" s="1009"/>
      <c r="E96" s="1009"/>
      <c r="F96" s="1009"/>
      <c r="G96" s="1009"/>
      <c r="H96" s="1009"/>
      <c r="I96" s="1009"/>
      <c r="J96" s="1009"/>
      <c r="K96" s="1009"/>
      <c r="L96" s="1009"/>
      <c r="M96" s="1009"/>
      <c r="N96" s="1009"/>
      <c r="O96" s="1009"/>
      <c r="P96" s="1009"/>
      <c r="Q96" s="1009"/>
      <c r="R96" s="1010"/>
    </row>
    <row r="97" spans="2:26" s="1007" customFormat="1" ht="12">
      <c r="B97" s="1011"/>
      <c r="C97" s="1461" t="s">
        <v>1081</v>
      </c>
      <c r="D97" s="1461"/>
      <c r="E97" s="1461"/>
      <c r="F97" s="1461"/>
      <c r="R97" s="1012"/>
    </row>
    <row r="98" spans="2:26" s="1007" customFormat="1" ht="12">
      <c r="B98" s="1011"/>
      <c r="E98" s="1462" t="s">
        <v>583</v>
      </c>
      <c r="F98" s="1462"/>
      <c r="G98" s="1462"/>
      <c r="H98" s="1462"/>
      <c r="I98" s="1462"/>
      <c r="M98" s="1462" t="s">
        <v>584</v>
      </c>
      <c r="N98" s="1462"/>
      <c r="O98" s="1462"/>
      <c r="P98" s="1462"/>
      <c r="Q98" s="1462"/>
      <c r="R98" s="1012"/>
    </row>
    <row r="99" spans="2:26" s="1007" customFormat="1" ht="12">
      <c r="B99" s="1011"/>
      <c r="E99" s="859">
        <f>+F99-5</f>
        <v>177</v>
      </c>
      <c r="F99" s="859">
        <f>+G99-5</f>
        <v>182</v>
      </c>
      <c r="G99" s="1013">
        <v>187</v>
      </c>
      <c r="H99" s="859">
        <f>+G99+5</f>
        <v>192</v>
      </c>
      <c r="I99" s="859">
        <f>+H99+5</f>
        <v>197</v>
      </c>
      <c r="M99" s="859">
        <f>+N99-50</f>
        <v>1000</v>
      </c>
      <c r="N99" s="859">
        <f>+O99-50</f>
        <v>1050</v>
      </c>
      <c r="O99" s="864">
        <v>1100</v>
      </c>
      <c r="P99" s="859">
        <f>+O99+50</f>
        <v>1150</v>
      </c>
      <c r="Q99" s="859">
        <f>+P99+50</f>
        <v>1200</v>
      </c>
      <c r="R99" s="1012"/>
    </row>
    <row r="100" spans="2:26" s="1007" customFormat="1" ht="12" customHeight="1">
      <c r="B100" s="1011"/>
      <c r="C100" s="1463" t="s">
        <v>585</v>
      </c>
      <c r="D100" s="859">
        <f>+D101-50</f>
        <v>350</v>
      </c>
      <c r="E100" s="858">
        <v>9.0456228945413608E-2</v>
      </c>
      <c r="F100" s="858">
        <v>9.4531463475288735E-2</v>
      </c>
      <c r="G100" s="858">
        <v>9.855276548860048E-2</v>
      </c>
      <c r="H100" s="858">
        <v>0.10253620481124481</v>
      </c>
      <c r="I100" s="858">
        <v>0.10644520264130408</v>
      </c>
      <c r="K100" s="1463" t="s">
        <v>586</v>
      </c>
      <c r="L100" s="850">
        <v>-0.1</v>
      </c>
      <c r="M100" s="858">
        <v>9.6656211632209166E-2</v>
      </c>
      <c r="N100" s="858">
        <v>9.3238359945858829E-2</v>
      </c>
      <c r="O100" s="858">
        <v>8.9993884631003329E-2</v>
      </c>
      <c r="P100" s="858">
        <v>8.6924078376717784E-2</v>
      </c>
      <c r="Q100" s="858">
        <v>8.4016142633653423E-2</v>
      </c>
      <c r="R100" s="1012"/>
      <c r="Z100" s="1014"/>
    </row>
    <row r="101" spans="2:26" s="1007" customFormat="1" ht="12" customHeight="1">
      <c r="B101" s="1011"/>
      <c r="C101" s="1464"/>
      <c r="D101" s="859">
        <f>+D102-50</f>
        <v>400</v>
      </c>
      <c r="E101" s="858">
        <v>8.7099501484138031E-2</v>
      </c>
      <c r="F101" s="858">
        <v>9.1092389890946368E-2</v>
      </c>
      <c r="G101" s="858">
        <v>9.5021288399981252E-2</v>
      </c>
      <c r="H101" s="858">
        <v>9.8899736581004927E-2</v>
      </c>
      <c r="I101" s="858">
        <v>0.10274456826399403</v>
      </c>
      <c r="K101" s="1464"/>
      <c r="L101" s="850">
        <v>-0.05</v>
      </c>
      <c r="M101" s="858">
        <v>9.5897073225025942E-2</v>
      </c>
      <c r="N101" s="858">
        <v>9.2491407880046284E-2</v>
      </c>
      <c r="O101" s="858">
        <v>8.9257666268801605E-2</v>
      </c>
      <c r="P101" s="858">
        <v>8.6201115224643132E-2</v>
      </c>
      <c r="Q101" s="858">
        <v>8.3297827821368298E-2</v>
      </c>
      <c r="R101" s="1012"/>
    </row>
    <row r="102" spans="2:26" s="1007" customFormat="1" ht="12" customHeight="1">
      <c r="B102" s="1011"/>
      <c r="C102" s="1464"/>
      <c r="D102" s="859">
        <f>+D103-50</f>
        <v>450</v>
      </c>
      <c r="E102" s="858">
        <v>8.3942442141857088E-2</v>
      </c>
      <c r="F102" s="858">
        <v>8.7833629451381956E-2</v>
      </c>
      <c r="G102" s="858">
        <v>9.1685164285830512E-2</v>
      </c>
      <c r="H102" s="858">
        <v>9.5478631582032625E-2</v>
      </c>
      <c r="I102" s="858">
        <v>9.9223700894777167E-2</v>
      </c>
      <c r="K102" s="1464"/>
      <c r="L102" s="1013" t="s">
        <v>587</v>
      </c>
      <c r="M102" s="858">
        <v>9.5133703188561958E-2</v>
      </c>
      <c r="N102" s="858">
        <v>9.1740223668551169E-2</v>
      </c>
      <c r="O102" s="865">
        <v>8.8518653416698179E-2</v>
      </c>
      <c r="P102" s="858">
        <v>8.547442205818423E-2</v>
      </c>
      <c r="Q102" s="858">
        <v>8.2581210841264685E-2</v>
      </c>
      <c r="R102" s="1012"/>
    </row>
    <row r="103" spans="2:26" s="1007" customFormat="1" ht="12" customHeight="1">
      <c r="B103" s="1011"/>
      <c r="C103" s="1464"/>
      <c r="D103" s="866">
        <v>500</v>
      </c>
      <c r="E103" s="858">
        <v>8.0954299850997113E-2</v>
      </c>
      <c r="F103" s="858">
        <v>8.4761020601081816E-2</v>
      </c>
      <c r="G103" s="865">
        <v>8.8518653416698179E-2</v>
      </c>
      <c r="H103" s="858">
        <v>9.2240084491904684E-2</v>
      </c>
      <c r="I103" s="858">
        <v>9.5906018033480755E-2</v>
      </c>
      <c r="K103" s="1464"/>
      <c r="L103" s="850">
        <v>0.05</v>
      </c>
      <c r="M103" s="858">
        <v>9.4367120350514089E-2</v>
      </c>
      <c r="N103" s="858">
        <v>9.098638416258642E-2</v>
      </c>
      <c r="O103" s="858">
        <v>8.7776101195123024E-2</v>
      </c>
      <c r="P103" s="858">
        <v>8.4743465541259555E-2</v>
      </c>
      <c r="Q103" s="858">
        <v>8.1862659588428865E-2</v>
      </c>
      <c r="R103" s="1012"/>
    </row>
    <row r="104" spans="2:26" s="1007" customFormat="1" ht="12" customHeight="1">
      <c r="B104" s="1011"/>
      <c r="C104" s="1464"/>
      <c r="D104" s="859">
        <f>+D103+50</f>
        <v>550</v>
      </c>
      <c r="E104" s="858">
        <v>7.8133072919574387E-2</v>
      </c>
      <c r="F104" s="858">
        <v>8.1847816067912804E-2</v>
      </c>
      <c r="G104" s="858">
        <v>8.5527205395169226E-2</v>
      </c>
      <c r="H104" s="858">
        <v>8.9159953351822807E-2</v>
      </c>
      <c r="I104" s="858">
        <v>9.2759474562073896E-2</v>
      </c>
      <c r="K104" s="1465"/>
      <c r="L104" s="850">
        <v>0.1</v>
      </c>
      <c r="M104" s="858">
        <v>9.3596879534454169E-2</v>
      </c>
      <c r="N104" s="858">
        <v>9.0228496267522829E-2</v>
      </c>
      <c r="O104" s="858">
        <v>8.7029183145191924E-2</v>
      </c>
      <c r="P104" s="858">
        <v>8.4008768612753082E-2</v>
      </c>
      <c r="Q104" s="858">
        <v>8.1140140396229965E-2</v>
      </c>
      <c r="R104" s="1012"/>
    </row>
    <row r="105" spans="2:26" s="1007" customFormat="1" ht="12" customHeight="1">
      <c r="B105" s="1011"/>
      <c r="C105" s="1464"/>
      <c r="D105" s="859">
        <f>+D104+50</f>
        <v>600</v>
      </c>
      <c r="E105" s="858">
        <v>7.546234459918999E-2</v>
      </c>
      <c r="F105" s="858">
        <v>7.9095308261176944E-2</v>
      </c>
      <c r="G105" s="858">
        <v>8.2684900485936463E-2</v>
      </c>
      <c r="H105" s="858">
        <v>8.624489112978595E-2</v>
      </c>
      <c r="I105" s="858">
        <v>8.976242073525853E-2</v>
      </c>
      <c r="R105" s="1012"/>
    </row>
    <row r="106" spans="2:26" s="1007" customFormat="1" ht="12" customHeight="1">
      <c r="B106" s="1011"/>
      <c r="C106" s="1465"/>
      <c r="D106" s="859">
        <f>+D105+50</f>
        <v>650</v>
      </c>
      <c r="E106" s="858">
        <v>7.2920047856705805E-2</v>
      </c>
      <c r="F106" s="858">
        <v>7.6482017210108832E-2</v>
      </c>
      <c r="G106" s="858">
        <v>7.9994837136541541E-2</v>
      </c>
      <c r="H106" s="858">
        <v>8.3479007840528086E-2</v>
      </c>
      <c r="I106" s="858">
        <v>8.6919403335169232E-2</v>
      </c>
      <c r="L106" s="1015"/>
      <c r="M106" s="1014"/>
      <c r="R106" s="1012"/>
    </row>
    <row r="107" spans="2:26" s="1007" customFormat="1" thickBot="1">
      <c r="B107" s="1016"/>
      <c r="C107" s="1017"/>
      <c r="D107" s="1017"/>
      <c r="E107" s="1018"/>
      <c r="F107" s="1018"/>
      <c r="G107" s="1018"/>
      <c r="H107" s="1018"/>
      <c r="I107" s="1018"/>
      <c r="J107" s="1017"/>
      <c r="K107" s="1017"/>
      <c r="L107" s="1017"/>
      <c r="M107" s="1018"/>
      <c r="N107" s="1018"/>
      <c r="O107" s="1018"/>
      <c r="P107" s="1018"/>
      <c r="Q107" s="1018"/>
      <c r="R107" s="1019"/>
    </row>
    <row r="108" spans="2:26" ht="13.5" thickBot="1"/>
    <row r="109" spans="2:26" s="1007" customFormat="1" ht="12">
      <c r="B109" s="1008"/>
      <c r="C109" s="1009"/>
      <c r="D109" s="1009"/>
      <c r="E109" s="1009"/>
      <c r="F109" s="1009"/>
      <c r="G109" s="1009"/>
      <c r="H109" s="1009"/>
      <c r="I109" s="1009"/>
      <c r="J109" s="1009"/>
      <c r="K109" s="1009"/>
      <c r="L109" s="1009"/>
      <c r="M109" s="1009"/>
      <c r="N109" s="1009"/>
      <c r="O109" s="1009"/>
      <c r="P109" s="1009"/>
      <c r="Q109" s="1009"/>
      <c r="R109" s="1010"/>
    </row>
    <row r="110" spans="2:26" s="1007" customFormat="1" ht="12">
      <c r="B110" s="1011"/>
      <c r="C110" s="1461" t="s">
        <v>1082</v>
      </c>
      <c r="D110" s="1461"/>
      <c r="E110" s="1461"/>
      <c r="F110" s="1461"/>
      <c r="R110" s="1012"/>
    </row>
    <row r="111" spans="2:26" s="1007" customFormat="1" ht="12">
      <c r="B111" s="1011"/>
      <c r="E111" s="1462" t="s">
        <v>583</v>
      </c>
      <c r="F111" s="1462"/>
      <c r="G111" s="1462"/>
      <c r="H111" s="1462"/>
      <c r="I111" s="1462"/>
      <c r="M111" s="1462" t="s">
        <v>584</v>
      </c>
      <c r="N111" s="1462"/>
      <c r="O111" s="1462"/>
      <c r="P111" s="1462"/>
      <c r="Q111" s="1462"/>
      <c r="R111" s="1012"/>
    </row>
    <row r="112" spans="2:26" s="1007" customFormat="1" ht="12">
      <c r="B112" s="1011"/>
      <c r="E112" s="859">
        <f>+F112-5</f>
        <v>177</v>
      </c>
      <c r="F112" s="859">
        <f>+G112-5</f>
        <v>182</v>
      </c>
      <c r="G112" s="1013">
        <v>187</v>
      </c>
      <c r="H112" s="859">
        <f>+G112+5</f>
        <v>192</v>
      </c>
      <c r="I112" s="859">
        <f>+H112+5</f>
        <v>197</v>
      </c>
      <c r="M112" s="859">
        <f>+N112-50</f>
        <v>1000</v>
      </c>
      <c r="N112" s="859">
        <f>+O112-50</f>
        <v>1050</v>
      </c>
      <c r="O112" s="864">
        <v>1100</v>
      </c>
      <c r="P112" s="859">
        <f>+O112+50</f>
        <v>1150</v>
      </c>
      <c r="Q112" s="859">
        <f>+P112+50</f>
        <v>1200</v>
      </c>
      <c r="R112" s="1012"/>
    </row>
    <row r="113" spans="2:26" s="1007" customFormat="1" ht="12" customHeight="1">
      <c r="B113" s="1011"/>
      <c r="C113" s="1463" t="s">
        <v>585</v>
      </c>
      <c r="D113" s="859">
        <f>+D114-50</f>
        <v>350</v>
      </c>
      <c r="E113" s="858">
        <v>9.185058082318176E-2</v>
      </c>
      <c r="F113" s="858">
        <v>9.5996538147459676E-2</v>
      </c>
      <c r="G113" s="858">
        <v>0.10010116366642019</v>
      </c>
      <c r="H113" s="858">
        <v>0.10412778240291609</v>
      </c>
      <c r="I113" s="858">
        <v>0.10810095833384659</v>
      </c>
      <c r="K113" s="1463" t="s">
        <v>586</v>
      </c>
      <c r="L113" s="850">
        <v>-0.1</v>
      </c>
      <c r="M113" s="858">
        <v>9.8108722255757952E-2</v>
      </c>
      <c r="N113" s="858">
        <v>9.4608405121738848E-2</v>
      </c>
      <c r="O113" s="858">
        <v>9.1294429822172951E-2</v>
      </c>
      <c r="P113" s="858">
        <v>8.8144011925934684E-2</v>
      </c>
      <c r="Q113" s="858">
        <v>8.5161185428091812E-2</v>
      </c>
      <c r="R113" s="1012"/>
      <c r="Z113" s="1014"/>
    </row>
    <row r="114" spans="2:26" s="1007" customFormat="1" ht="12" customHeight="1">
      <c r="B114" s="1011"/>
      <c r="C114" s="1464"/>
      <c r="D114" s="859">
        <f>+D115-50</f>
        <v>400</v>
      </c>
      <c r="E114" s="858">
        <v>8.8419888465747443E-2</v>
      </c>
      <c r="F114" s="858">
        <v>9.2469532160166956E-2</v>
      </c>
      <c r="G114" s="858">
        <v>9.6466106090371984E-2</v>
      </c>
      <c r="H114" s="858">
        <v>0.1004255221568513</v>
      </c>
      <c r="I114" s="858">
        <v>0.10431132887786987</v>
      </c>
      <c r="K114" s="1464"/>
      <c r="L114" s="850">
        <v>-0.05</v>
      </c>
      <c r="M114" s="858">
        <v>9.734561069124914E-2</v>
      </c>
      <c r="N114" s="858">
        <v>9.3856709287288842E-2</v>
      </c>
      <c r="O114" s="858">
        <v>9.0554151500540137E-2</v>
      </c>
      <c r="P114" s="858">
        <v>8.741494007598849E-2</v>
      </c>
      <c r="Q114" s="858">
        <v>8.444403337196027E-2</v>
      </c>
      <c r="R114" s="1012"/>
    </row>
    <row r="115" spans="2:26" s="1007" customFormat="1" ht="12" customHeight="1">
      <c r="B115" s="1011"/>
      <c r="C115" s="1464"/>
      <c r="D115" s="859">
        <f>+D116-50</f>
        <v>450</v>
      </c>
      <c r="E115" s="858">
        <v>8.5169610750677638E-2</v>
      </c>
      <c r="F115" s="858">
        <v>8.9139498861503963E-2</v>
      </c>
      <c r="G115" s="858">
        <v>9.3046071003813013E-2</v>
      </c>
      <c r="H115" s="858">
        <v>9.6903839592699326E-2</v>
      </c>
      <c r="I115" s="858">
        <v>0.10072809997894305</v>
      </c>
      <c r="K115" s="1464"/>
      <c r="L115" s="1013" t="s">
        <v>587</v>
      </c>
      <c r="M115" s="858">
        <v>9.6579361955683174E-2</v>
      </c>
      <c r="N115" s="858">
        <v>9.3101553184825825E-2</v>
      </c>
      <c r="O115" s="865">
        <v>8.9810922926969461E-2</v>
      </c>
      <c r="P115" s="858">
        <v>8.6682587053114935E-2</v>
      </c>
      <c r="Q115" s="858">
        <v>8.3722622936556412E-2</v>
      </c>
      <c r="R115" s="1012"/>
    </row>
    <row r="116" spans="2:26" s="1007" customFormat="1" ht="12" customHeight="1">
      <c r="B116" s="1011"/>
      <c r="C116" s="1464"/>
      <c r="D116" s="866">
        <v>500</v>
      </c>
      <c r="E116" s="858">
        <v>8.2111505823014408E-2</v>
      </c>
      <c r="F116" s="858">
        <v>8.597930768641282E-2</v>
      </c>
      <c r="G116" s="865">
        <v>8.9810922926969461E-2</v>
      </c>
      <c r="H116" s="858">
        <v>9.3584769366646947E-2</v>
      </c>
      <c r="I116" s="858">
        <v>9.7312879272927422E-2</v>
      </c>
      <c r="K116" s="1464"/>
      <c r="L116" s="850">
        <v>0.05</v>
      </c>
      <c r="M116" s="858">
        <v>9.5808732487000725E-2</v>
      </c>
      <c r="N116" s="858">
        <v>9.2342972853702188E-2</v>
      </c>
      <c r="O116" s="858">
        <v>8.9063923870688511E-2</v>
      </c>
      <c r="P116" s="858">
        <v>8.5945874854520099E-2</v>
      </c>
      <c r="Q116" s="858">
        <v>8.2997318632969774E-2</v>
      </c>
      <c r="R116" s="1012"/>
    </row>
    <row r="117" spans="2:26" s="1007" customFormat="1" ht="12" customHeight="1">
      <c r="B117" s="1011"/>
      <c r="C117" s="1464"/>
      <c r="D117" s="859">
        <f>+D116+50</f>
        <v>550</v>
      </c>
      <c r="E117" s="858">
        <v>7.9212684992297167E-2</v>
      </c>
      <c r="F117" s="858">
        <v>8.2996604434820265E-2</v>
      </c>
      <c r="G117" s="858">
        <v>8.6735996537556703E-2</v>
      </c>
      <c r="H117" s="858">
        <v>9.0439301891010793E-2</v>
      </c>
      <c r="I117" s="858">
        <v>9.40898926523972E-2</v>
      </c>
      <c r="K117" s="1465"/>
      <c r="L117" s="850">
        <v>0.1</v>
      </c>
      <c r="M117" s="858">
        <v>9.5033630490455101E-2</v>
      </c>
      <c r="N117" s="858">
        <v>9.1579915678880131E-2</v>
      </c>
      <c r="O117" s="858">
        <v>8.8312448746627359E-2</v>
      </c>
      <c r="P117" s="858">
        <v>8.5204711235965069E-2</v>
      </c>
      <c r="Q117" s="858">
        <v>8.2269589249011066E-2</v>
      </c>
      <c r="R117" s="1012"/>
    </row>
    <row r="118" spans="2:26" s="1007" customFormat="1" ht="12" customHeight="1">
      <c r="B118" s="1011"/>
      <c r="C118" s="1464"/>
      <c r="D118" s="859">
        <f>+D117+50</f>
        <v>600</v>
      </c>
      <c r="E118" s="858">
        <v>7.6473459530430832E-2</v>
      </c>
      <c r="F118" s="858">
        <v>8.2938733563266309E-2</v>
      </c>
      <c r="G118" s="858">
        <v>8.3827380674116769E-2</v>
      </c>
      <c r="H118" s="858">
        <v>8.7444758937239131E-2</v>
      </c>
      <c r="I118" s="858">
        <v>9.1029565680977864E-2</v>
      </c>
      <c r="R118" s="1012"/>
    </row>
    <row r="119" spans="2:26" s="1007" customFormat="1" ht="12" customHeight="1">
      <c r="B119" s="1011"/>
      <c r="C119" s="1465"/>
      <c r="D119" s="859">
        <f>+D118+50</f>
        <v>650</v>
      </c>
      <c r="E119" s="858">
        <v>7.3876457463814438E-2</v>
      </c>
      <c r="F119" s="858">
        <v>7.7491676781371366E-2</v>
      </c>
      <c r="G119" s="858">
        <v>8.1062568813848213E-2</v>
      </c>
      <c r="H119" s="858">
        <v>8.4607259206600949E-2</v>
      </c>
      <c r="I119" s="858">
        <v>8.8120837111921757E-2</v>
      </c>
      <c r="L119" s="1015"/>
      <c r="M119" s="1014"/>
      <c r="R119" s="1012"/>
    </row>
    <row r="120" spans="2:26" s="1007" customFormat="1" thickBot="1">
      <c r="B120" s="1016"/>
      <c r="C120" s="1017"/>
      <c r="D120" s="1017"/>
      <c r="E120" s="1018"/>
      <c r="F120" s="1018"/>
      <c r="G120" s="1018"/>
      <c r="H120" s="1018"/>
      <c r="I120" s="1018"/>
      <c r="J120" s="1017"/>
      <c r="K120" s="1017"/>
      <c r="L120" s="1017"/>
      <c r="M120" s="1018"/>
      <c r="N120" s="1018"/>
      <c r="O120" s="1018"/>
      <c r="P120" s="1018"/>
      <c r="Q120" s="1018"/>
      <c r="R120" s="1019"/>
    </row>
    <row r="121" spans="2:26" ht="13.5" thickBot="1"/>
    <row r="122" spans="2:26" s="1007" customFormat="1" ht="12">
      <c r="B122" s="1008"/>
      <c r="C122" s="1009"/>
      <c r="D122" s="1009"/>
      <c r="E122" s="1009"/>
      <c r="F122" s="1009"/>
      <c r="G122" s="1009"/>
      <c r="H122" s="1009"/>
      <c r="I122" s="1009"/>
      <c r="J122" s="1009"/>
      <c r="K122" s="1009"/>
      <c r="L122" s="1009"/>
      <c r="M122" s="1009"/>
      <c r="N122" s="1009"/>
      <c r="O122" s="1009"/>
      <c r="P122" s="1009"/>
      <c r="Q122" s="1009"/>
      <c r="R122" s="1010"/>
    </row>
    <row r="123" spans="2:26" s="1007" customFormat="1" ht="12">
      <c r="B123" s="1011"/>
      <c r="C123" s="1461" t="s">
        <v>1083</v>
      </c>
      <c r="D123" s="1461"/>
      <c r="E123" s="1461"/>
      <c r="F123" s="1461"/>
      <c r="R123" s="1012"/>
    </row>
    <row r="124" spans="2:26" s="1007" customFormat="1" ht="12">
      <c r="B124" s="1011"/>
      <c r="E124" s="1462" t="s">
        <v>583</v>
      </c>
      <c r="F124" s="1462"/>
      <c r="G124" s="1462"/>
      <c r="H124" s="1462"/>
      <c r="I124" s="1462"/>
      <c r="M124" s="1462" t="s">
        <v>584</v>
      </c>
      <c r="N124" s="1462"/>
      <c r="O124" s="1462"/>
      <c r="P124" s="1462"/>
      <c r="Q124" s="1462"/>
      <c r="R124" s="1012"/>
    </row>
    <row r="125" spans="2:26" s="1007" customFormat="1" ht="12">
      <c r="B125" s="1011"/>
      <c r="E125" s="859">
        <f>+F125-5</f>
        <v>177</v>
      </c>
      <c r="F125" s="859">
        <f>+G125-5</f>
        <v>182</v>
      </c>
      <c r="G125" s="1013">
        <v>187</v>
      </c>
      <c r="H125" s="859">
        <f>+G125+5</f>
        <v>192</v>
      </c>
      <c r="I125" s="859">
        <f>+H125+5</f>
        <v>197</v>
      </c>
      <c r="M125" s="859">
        <f>+N125-50</f>
        <v>1000</v>
      </c>
      <c r="N125" s="859">
        <f>+O125-50</f>
        <v>1050</v>
      </c>
      <c r="O125" s="864">
        <v>1100</v>
      </c>
      <c r="P125" s="859">
        <f>+O125+50</f>
        <v>1150</v>
      </c>
      <c r="Q125" s="859">
        <f>+P125+50</f>
        <v>1200</v>
      </c>
      <c r="R125" s="1012"/>
    </row>
    <row r="126" spans="2:26" s="1007" customFormat="1" ht="12" customHeight="1">
      <c r="B126" s="1011"/>
      <c r="C126" s="1463" t="s">
        <v>585</v>
      </c>
      <c r="D126" s="859">
        <f>+D127-50</f>
        <v>350</v>
      </c>
      <c r="E126" s="858">
        <v>8.2909584650221912E-2</v>
      </c>
      <c r="F126" s="858">
        <v>8.6922756733521345E-2</v>
      </c>
      <c r="G126" s="858">
        <v>9.0892642679526015E-2</v>
      </c>
      <c r="H126" s="858">
        <v>9.4802283177747304E-2</v>
      </c>
      <c r="I126" s="858">
        <v>9.866111107564346E-2</v>
      </c>
      <c r="K126" s="1463" t="s">
        <v>586</v>
      </c>
      <c r="L126" s="850">
        <v>-0.1</v>
      </c>
      <c r="M126" s="858">
        <v>8.9105645615426221E-2</v>
      </c>
      <c r="N126" s="858">
        <v>8.5799072881075134E-2</v>
      </c>
      <c r="O126" s="858">
        <v>8.2685844828797705E-2</v>
      </c>
      <c r="P126" s="858">
        <v>7.9733496188193254E-2</v>
      </c>
      <c r="Q126" s="858">
        <v>7.6943046746636989E-2</v>
      </c>
      <c r="R126" s="1012"/>
      <c r="Z126" s="1014"/>
    </row>
    <row r="127" spans="2:26" s="1007" customFormat="1" ht="12" customHeight="1">
      <c r="B127" s="1011"/>
      <c r="C127" s="1464"/>
      <c r="D127" s="859">
        <f>+D128-50</f>
        <v>400</v>
      </c>
      <c r="E127" s="858">
        <v>7.9697330791042464E-2</v>
      </c>
      <c r="F127" s="858">
        <v>8.361371830440989E-2</v>
      </c>
      <c r="G127" s="858">
        <v>8.7480760416023706E-2</v>
      </c>
      <c r="H127" s="858">
        <v>9.1309147461006601E-2</v>
      </c>
      <c r="I127" s="858">
        <v>9.5080476057385788E-2</v>
      </c>
      <c r="K127" s="1464"/>
      <c r="L127" s="850">
        <v>-0.05</v>
      </c>
      <c r="M127" s="858">
        <v>8.8359013627988592E-2</v>
      </c>
      <c r="N127" s="858">
        <v>8.5064569497167231E-2</v>
      </c>
      <c r="O127" s="858">
        <v>8.1964106135465897E-2</v>
      </c>
      <c r="P127" s="858">
        <v>7.9024799213882613E-2</v>
      </c>
      <c r="Q127" s="858">
        <v>7.6246532418716928E-2</v>
      </c>
      <c r="R127" s="1012"/>
    </row>
    <row r="128" spans="2:26" s="1007" customFormat="1" ht="12" customHeight="1">
      <c r="B128" s="1011"/>
      <c r="C128" s="1464"/>
      <c r="D128" s="859">
        <f>+D129-50</f>
        <v>450</v>
      </c>
      <c r="E128" s="858">
        <v>7.6677667033524743E-2</v>
      </c>
      <c r="F128" s="858">
        <v>8.0491303856351948E-2</v>
      </c>
      <c r="G128" s="858">
        <v>8.4269405173299061E-2</v>
      </c>
      <c r="H128" s="858">
        <v>8.8011300033893791E-2</v>
      </c>
      <c r="I128" s="858">
        <v>9.1697459648691471E-2</v>
      </c>
      <c r="K128" s="1464"/>
      <c r="L128" s="1013" t="s">
        <v>587</v>
      </c>
      <c r="M128" s="858">
        <v>8.7598189422856132E-2</v>
      </c>
      <c r="N128" s="858">
        <v>8.4326740238494624E-2</v>
      </c>
      <c r="O128" s="865">
        <v>8.1231655733005503E-2</v>
      </c>
      <c r="P128" s="858">
        <v>7.8311769927414954E-2</v>
      </c>
      <c r="Q128" s="858">
        <v>7.5546722741543393E-2</v>
      </c>
      <c r="R128" s="1012"/>
    </row>
    <row r="129" spans="2:18" s="1007" customFormat="1" ht="12" customHeight="1">
      <c r="B129" s="1011"/>
      <c r="C129" s="1464"/>
      <c r="D129" s="866">
        <v>500</v>
      </c>
      <c r="E129" s="858">
        <v>7.3828814625219952E-2</v>
      </c>
      <c r="F129" s="858">
        <v>7.7553030537934609E-2</v>
      </c>
      <c r="G129" s="865">
        <v>8.1231655733005503E-2</v>
      </c>
      <c r="H129" s="858">
        <v>8.4881286162327596E-2</v>
      </c>
      <c r="I129" s="858">
        <v>8.84975862097368E-2</v>
      </c>
      <c r="K129" s="1464"/>
      <c r="L129" s="850">
        <v>0.05</v>
      </c>
      <c r="M129" s="858">
        <v>8.6843419720223247E-2</v>
      </c>
      <c r="N129" s="858">
        <v>8.3584382846433547E-2</v>
      </c>
      <c r="O129" s="858">
        <v>8.0502516625079013E-2</v>
      </c>
      <c r="P129" s="858">
        <v>7.7596232262669762E-2</v>
      </c>
      <c r="Q129" s="858">
        <v>7.4842612839238765E-2</v>
      </c>
      <c r="R129" s="1012"/>
    </row>
    <row r="130" spans="2:18" s="1007" customFormat="1" ht="12" customHeight="1">
      <c r="B130" s="1011"/>
      <c r="C130" s="1464"/>
      <c r="D130" s="859">
        <f>+D129+50</f>
        <v>550</v>
      </c>
      <c r="E130" s="858">
        <v>7.112700183864118E-2</v>
      </c>
      <c r="F130" s="858">
        <v>7.4773917172281212E-2</v>
      </c>
      <c r="G130" s="858">
        <v>7.8366656519432309E-2</v>
      </c>
      <c r="H130" s="858">
        <v>8.1931432718776565E-2</v>
      </c>
      <c r="I130" s="858">
        <v>8.5453832790872042E-2</v>
      </c>
      <c r="K130" s="1465"/>
      <c r="L130" s="850">
        <v>0.1</v>
      </c>
      <c r="M130" s="858">
        <v>8.6084332905772554E-2</v>
      </c>
      <c r="N130" s="858">
        <v>8.2837658430188199E-2</v>
      </c>
      <c r="O130" s="858">
        <v>7.9768826257373693E-2</v>
      </c>
      <c r="P130" s="858">
        <v>7.6877209752291842E-2</v>
      </c>
      <c r="Q130" s="858">
        <v>7.413409722267672E-2</v>
      </c>
      <c r="R130" s="1012"/>
    </row>
    <row r="131" spans="2:18" s="1007" customFormat="1" ht="12" customHeight="1">
      <c r="B131" s="1011"/>
      <c r="C131" s="1464"/>
      <c r="D131" s="859">
        <f>+D130+50</f>
        <v>600</v>
      </c>
      <c r="E131" s="858">
        <v>6.8558905792832636E-2</v>
      </c>
      <c r="F131" s="858">
        <v>7.2135277064397707E-2</v>
      </c>
      <c r="G131" s="858">
        <v>7.5653966099465508E-2</v>
      </c>
      <c r="H131" s="858">
        <v>7.9130494015781538E-2</v>
      </c>
      <c r="I131" s="858">
        <v>8.2581072077907214E-2</v>
      </c>
      <c r="R131" s="1012"/>
    </row>
    <row r="132" spans="2:18" s="1007" customFormat="1" ht="12" customHeight="1">
      <c r="B132" s="1011"/>
      <c r="C132" s="1465"/>
      <c r="D132" s="859">
        <f>+D131+50</f>
        <v>650</v>
      </c>
      <c r="E132" s="858">
        <v>6.6075595478037874E-2</v>
      </c>
      <c r="F132" s="858">
        <v>6.9620277652449936E-2</v>
      </c>
      <c r="G132" s="858">
        <v>7.3075344729571778E-2</v>
      </c>
      <c r="H132" s="858">
        <v>7.6479135236123374E-2</v>
      </c>
      <c r="I132" s="858">
        <v>7.9847161608097794E-2</v>
      </c>
      <c r="L132" s="1015"/>
      <c r="M132" s="1014"/>
      <c r="R132" s="1012"/>
    </row>
    <row r="133" spans="2:18" s="1007" customFormat="1" thickBot="1">
      <c r="B133" s="1016"/>
      <c r="C133" s="1017"/>
      <c r="D133" s="1017"/>
      <c r="E133" s="1018"/>
      <c r="F133" s="1018"/>
      <c r="G133" s="1018"/>
      <c r="H133" s="1018"/>
      <c r="I133" s="1018"/>
      <c r="J133" s="1017"/>
      <c r="K133" s="1017"/>
      <c r="L133" s="1017"/>
      <c r="M133" s="1018"/>
      <c r="N133" s="1018"/>
      <c r="O133" s="1018"/>
      <c r="P133" s="1018"/>
      <c r="Q133" s="1018"/>
      <c r="R133" s="1019"/>
    </row>
  </sheetData>
  <mergeCells count="50">
    <mergeCell ref="C123:F123"/>
    <mergeCell ref="E124:I124"/>
    <mergeCell ref="M124:Q124"/>
    <mergeCell ref="C126:C132"/>
    <mergeCell ref="K126:K130"/>
    <mergeCell ref="C110:F110"/>
    <mergeCell ref="E111:I111"/>
    <mergeCell ref="M111:Q111"/>
    <mergeCell ref="C113:C119"/>
    <mergeCell ref="K113:K117"/>
    <mergeCell ref="C97:F97"/>
    <mergeCell ref="E98:I98"/>
    <mergeCell ref="M98:Q98"/>
    <mergeCell ref="C100:C106"/>
    <mergeCell ref="K100:K104"/>
    <mergeCell ref="C84:F84"/>
    <mergeCell ref="E85:I85"/>
    <mergeCell ref="M85:Q85"/>
    <mergeCell ref="C87:C93"/>
    <mergeCell ref="K87:K91"/>
    <mergeCell ref="C71:F71"/>
    <mergeCell ref="E72:I72"/>
    <mergeCell ref="M72:Q72"/>
    <mergeCell ref="C74:C80"/>
    <mergeCell ref="K74:K78"/>
    <mergeCell ref="C48:C54"/>
    <mergeCell ref="K48:K52"/>
    <mergeCell ref="E59:I59"/>
    <mergeCell ref="M59:Q59"/>
    <mergeCell ref="C61:C67"/>
    <mergeCell ref="K61:K65"/>
    <mergeCell ref="C58:F58"/>
    <mergeCell ref="M46:Q46"/>
    <mergeCell ref="E46:I46"/>
    <mergeCell ref="C45:F45"/>
    <mergeCell ref="E33:I33"/>
    <mergeCell ref="M33:Q33"/>
    <mergeCell ref="C35:C41"/>
    <mergeCell ref="K35:K39"/>
    <mergeCell ref="C32:F32"/>
    <mergeCell ref="E7:I7"/>
    <mergeCell ref="M7:Q7"/>
    <mergeCell ref="C9:C15"/>
    <mergeCell ref="K9:K13"/>
    <mergeCell ref="C6:F6"/>
    <mergeCell ref="C19:F19"/>
    <mergeCell ref="E20:I20"/>
    <mergeCell ref="M20:Q20"/>
    <mergeCell ref="C22:C28"/>
    <mergeCell ref="K22:K26"/>
  </mergeCells>
  <phoneticPr fontId="9"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EF291-F5B4-457C-8EF2-0B7B03894E56}">
  <dimension ref="B2:AY126"/>
  <sheetViews>
    <sheetView showGridLines="0" zoomScale="115" zoomScaleNormal="115" workbookViewId="0">
      <pane xSplit="11" ySplit="3" topLeftCell="Q62" activePane="bottomRight" state="frozen"/>
      <selection activeCell="V86" sqref="V86"/>
      <selection pane="topRight" activeCell="V86" sqref="V86"/>
      <selection pane="bottomLeft" activeCell="V86" sqref="V86"/>
      <selection pane="bottomRight" activeCell="V86" sqref="V86"/>
    </sheetView>
  </sheetViews>
  <sheetFormatPr defaultColWidth="9.140625" defaultRowHeight="12.75" outlineLevelCol="1"/>
  <cols>
    <col min="1" max="1" width="1.7109375" style="215" customWidth="1"/>
    <col min="2" max="2" width="9.140625" style="215"/>
    <col min="3" max="3" width="27.28515625" style="215" bestFit="1" customWidth="1"/>
    <col min="4" max="4" width="9.28515625" style="215" customWidth="1"/>
    <col min="5" max="5" width="10.5703125" style="517" bestFit="1" customWidth="1"/>
    <col min="6" max="6" width="14.5703125" style="517" hidden="1" customWidth="1" outlineLevel="1"/>
    <col min="7" max="9" width="10.5703125" style="517" hidden="1" customWidth="1" outlineLevel="1"/>
    <col min="10" max="10" width="15.140625" style="517" hidden="1" customWidth="1" outlineLevel="1"/>
    <col min="11" max="11" width="15.5703125" style="320" bestFit="1" customWidth="1" collapsed="1"/>
    <col min="12" max="12" width="17.28515625" style="320" customWidth="1"/>
    <col min="13" max="15" width="17.5703125" style="320" customWidth="1"/>
    <col min="16" max="17" width="12.7109375" style="320" customWidth="1"/>
    <col min="18" max="18" width="14.140625" style="320" customWidth="1"/>
    <col min="19" max="35" width="12.7109375" style="320" customWidth="1"/>
    <col min="36" max="50" width="9.140625" style="320"/>
    <col min="51" max="16384" width="9.140625" style="215"/>
  </cols>
  <sheetData>
    <row r="2" spans="2:50" ht="13.5">
      <c r="B2" s="1470" t="s">
        <v>165</v>
      </c>
      <c r="C2" s="1470" t="s">
        <v>715</v>
      </c>
      <c r="D2" s="1473" t="s">
        <v>270</v>
      </c>
      <c r="E2" s="1469" t="s">
        <v>794</v>
      </c>
      <c r="F2" s="1484" t="s">
        <v>606</v>
      </c>
      <c r="G2" s="1466" t="s">
        <v>795</v>
      </c>
      <c r="H2" s="1484" t="s">
        <v>796</v>
      </c>
      <c r="I2" s="1072" t="s">
        <v>797</v>
      </c>
      <c r="J2" s="1466" t="s">
        <v>798</v>
      </c>
      <c r="K2" s="1471" t="s">
        <v>17</v>
      </c>
      <c r="L2" s="1475" t="s">
        <v>716</v>
      </c>
      <c r="M2" s="1475" t="s">
        <v>717</v>
      </c>
      <c r="N2" s="1482" t="s">
        <v>1056</v>
      </c>
      <c r="O2" s="1482" t="s">
        <v>1057</v>
      </c>
      <c r="P2" s="1471" t="s">
        <v>718</v>
      </c>
      <c r="Q2" s="1471"/>
      <c r="R2" s="1471"/>
      <c r="S2" s="1471"/>
      <c r="T2" s="1471"/>
      <c r="U2" s="1471" t="s">
        <v>719</v>
      </c>
      <c r="V2" s="1471"/>
      <c r="W2" s="1471"/>
      <c r="X2" s="1471"/>
      <c r="Y2" s="1471"/>
      <c r="Z2" s="1471" t="s">
        <v>370</v>
      </c>
      <c r="AA2" s="1471"/>
      <c r="AB2" s="1471"/>
      <c r="AC2" s="1471"/>
      <c r="AD2" s="1471"/>
      <c r="AE2" s="1471" t="s">
        <v>371</v>
      </c>
      <c r="AF2" s="1471"/>
      <c r="AG2" s="1471"/>
      <c r="AH2" s="1471"/>
      <c r="AI2" s="1471"/>
    </row>
    <row r="3" spans="2:50" ht="13.5">
      <c r="B3" s="1470"/>
      <c r="C3" s="1470"/>
      <c r="D3" s="1473"/>
      <c r="E3" s="1469"/>
      <c r="F3" s="1485"/>
      <c r="G3" s="1467"/>
      <c r="H3" s="1485"/>
      <c r="I3" s="1073">
        <v>0.02</v>
      </c>
      <c r="J3" s="1467"/>
      <c r="K3" s="1471"/>
      <c r="L3" s="1476"/>
      <c r="M3" s="1476"/>
      <c r="N3" s="1483"/>
      <c r="O3" s="1483"/>
      <c r="P3" s="1061" t="s">
        <v>188</v>
      </c>
      <c r="Q3" s="1062">
        <v>0.3</v>
      </c>
      <c r="R3" s="1061" t="s">
        <v>188</v>
      </c>
      <c r="S3" s="1063" t="s">
        <v>720</v>
      </c>
      <c r="T3" s="1063" t="s">
        <v>721</v>
      </c>
      <c r="U3" s="1061" t="s">
        <v>188</v>
      </c>
      <c r="V3" s="1062">
        <v>0.1</v>
      </c>
      <c r="W3" s="1061" t="s">
        <v>188</v>
      </c>
      <c r="X3" s="1063" t="s">
        <v>720</v>
      </c>
      <c r="Y3" s="1063" t="s">
        <v>721</v>
      </c>
      <c r="Z3" s="1061" t="s">
        <v>188</v>
      </c>
      <c r="AA3" s="1062">
        <v>0.5</v>
      </c>
      <c r="AB3" s="1061" t="s">
        <v>188</v>
      </c>
      <c r="AC3" s="1063" t="s">
        <v>720</v>
      </c>
      <c r="AD3" s="1063" t="s">
        <v>721</v>
      </c>
      <c r="AE3" s="1061" t="s">
        <v>188</v>
      </c>
      <c r="AF3" s="1062">
        <v>0.1</v>
      </c>
      <c r="AG3" s="1061" t="s">
        <v>188</v>
      </c>
      <c r="AH3" s="1063" t="s">
        <v>720</v>
      </c>
      <c r="AI3" s="1063" t="s">
        <v>721</v>
      </c>
    </row>
    <row r="4" spans="2:50">
      <c r="B4" s="1472" t="s">
        <v>722</v>
      </c>
      <c r="C4" s="1057"/>
      <c r="D4" s="1058">
        <f>+SUM(D5:D18)</f>
        <v>4445.1400000000003</v>
      </c>
      <c r="E4" s="503"/>
      <c r="F4" s="503"/>
      <c r="G4" s="503"/>
      <c r="H4" s="503"/>
      <c r="I4" s="503"/>
      <c r="J4" s="503"/>
      <c r="K4" s="1059">
        <f>+SUM(K5:K18)</f>
        <v>2010688900</v>
      </c>
      <c r="L4" s="1059">
        <f>+SUM(L5:L18)</f>
        <v>1614243500</v>
      </c>
      <c r="M4" s="1059">
        <f>+SUM(M5:M18)</f>
        <v>136903140</v>
      </c>
      <c r="N4" s="1059"/>
      <c r="O4" s="1059">
        <f t="shared" ref="O4:O18" si="0">+M4-N4</f>
        <v>136903140</v>
      </c>
      <c r="P4" s="1060"/>
      <c r="Q4" s="1059">
        <f>+SUM(Q5:Q18)</f>
        <v>603206670</v>
      </c>
      <c r="R4" s="1060"/>
      <c r="S4" s="1059">
        <f>+SUM(S5:S18)</f>
        <v>606820500</v>
      </c>
      <c r="T4" s="1059">
        <f>+SUM(T5:T18)</f>
        <v>-3613830</v>
      </c>
      <c r="U4" s="1059"/>
      <c r="V4" s="1059">
        <f t="shared" ref="V4:AF4" si="1">+SUM(V5:V18)</f>
        <v>201068890</v>
      </c>
      <c r="W4" s="1059"/>
      <c r="X4" s="1059"/>
      <c r="Y4" s="1059">
        <f>+SUM(Y5:Y18)</f>
        <v>13645390</v>
      </c>
      <c r="Z4" s="1059"/>
      <c r="AA4" s="1059">
        <f t="shared" si="1"/>
        <v>1005344450</v>
      </c>
      <c r="AB4" s="1059"/>
      <c r="AC4" s="1059"/>
      <c r="AD4" s="1059">
        <f>+SUM(AD5:AD18)</f>
        <v>185344950</v>
      </c>
      <c r="AE4" s="1059"/>
      <c r="AF4" s="1059">
        <f t="shared" si="1"/>
        <v>201068890</v>
      </c>
      <c r="AG4" s="1059"/>
      <c r="AH4" s="1059"/>
      <c r="AI4" s="1059">
        <f>+SUM(AI5:AI18)</f>
        <v>201068890</v>
      </c>
      <c r="AK4" s="320" t="b">
        <f t="shared" ref="AK4:AK19" si="2">+K4=Q4+V4+AA4+AF4</f>
        <v>1</v>
      </c>
    </row>
    <row r="5" spans="2:50">
      <c r="B5" s="1472"/>
      <c r="C5" s="1128" t="s">
        <v>723</v>
      </c>
      <c r="D5" s="1128">
        <v>817.21</v>
      </c>
      <c r="E5" s="513">
        <v>350000</v>
      </c>
      <c r="F5" s="513"/>
      <c r="G5" s="513"/>
      <c r="H5" s="513"/>
      <c r="I5" s="513"/>
      <c r="J5" s="513"/>
      <c r="K5" s="352">
        <f>+E5*D5*1.1</f>
        <v>314625850</v>
      </c>
      <c r="L5" s="1059">
        <f t="shared" ref="L5:L18" si="3">+S5+X5+AC5+AH5</f>
        <v>273797360</v>
      </c>
      <c r="M5" s="1059"/>
      <c r="N5" s="1059"/>
      <c r="O5" s="1059">
        <f t="shared" si="0"/>
        <v>0</v>
      </c>
      <c r="P5" s="1060">
        <f>+'BT 2HO'!N12</f>
        <v>45714</v>
      </c>
      <c r="Q5" s="1059">
        <f>+ROUND($K5*Q$3,)</f>
        <v>94387755</v>
      </c>
      <c r="R5" s="1060">
        <f>+'BT 2HO'!O12</f>
        <v>45714</v>
      </c>
      <c r="S5" s="1059">
        <f>+'BT 2HO'!R12+'BT 2HO'!R13</f>
        <v>89401620</v>
      </c>
      <c r="T5" s="1059">
        <f>+Q5-S5</f>
        <v>4986135</v>
      </c>
      <c r="U5" s="1060">
        <f>+'BT 2HO'!U12</f>
        <v>45826</v>
      </c>
      <c r="V5" s="1059">
        <f t="shared" ref="V5:AF18" si="4">+ROUND($K5*V$3,)</f>
        <v>31462585</v>
      </c>
      <c r="W5" s="1060">
        <f>+'BT 2HO'!V12</f>
        <v>45826</v>
      </c>
      <c r="X5" s="1059">
        <f>+'BT 2HO'!Y12+'BT 2HO'!Y13</f>
        <v>29800540</v>
      </c>
      <c r="Y5" s="1059">
        <f>+V5-X5</f>
        <v>1662045</v>
      </c>
      <c r="Z5" s="1060">
        <f>+AB5</f>
        <v>45883</v>
      </c>
      <c r="AA5" s="1059">
        <f t="shared" si="4"/>
        <v>157312925</v>
      </c>
      <c r="AB5" s="1060">
        <f>+'BT 2HO'!AC12</f>
        <v>45883</v>
      </c>
      <c r="AC5" s="1059">
        <f>+'BT 2HO'!AF12+'BT 2HO'!AF13</f>
        <v>154595200</v>
      </c>
      <c r="AD5" s="1059">
        <f>+AA5-AC5</f>
        <v>2717725</v>
      </c>
      <c r="AE5" s="1060"/>
      <c r="AF5" s="1059">
        <f t="shared" si="4"/>
        <v>31462585</v>
      </c>
      <c r="AG5" s="1060"/>
      <c r="AH5" s="1059"/>
      <c r="AI5" s="1059">
        <f>+AF5-AH5</f>
        <v>31462585</v>
      </c>
      <c r="AK5" s="320" t="b">
        <f t="shared" si="2"/>
        <v>1</v>
      </c>
    </row>
    <row r="6" spans="2:50" s="1071" customFormat="1">
      <c r="B6" s="1472"/>
      <c r="C6" s="1127" t="s">
        <v>724</v>
      </c>
      <c r="D6" s="1127">
        <v>240.69</v>
      </c>
      <c r="E6" s="509">
        <v>350000</v>
      </c>
      <c r="F6" s="1068"/>
      <c r="G6" s="1068"/>
      <c r="H6" s="1068"/>
      <c r="I6" s="1068"/>
      <c r="J6" s="1068"/>
      <c r="K6" s="1129">
        <f t="shared" ref="K6:K18" si="5">+E6*D6*1.1</f>
        <v>92665650.000000015</v>
      </c>
      <c r="L6" s="1064">
        <f t="shared" si="3"/>
        <v>92501640</v>
      </c>
      <c r="M6" s="1064">
        <f>+S6+X6+AC6</f>
        <v>92501640</v>
      </c>
      <c r="N6" s="1064"/>
      <c r="O6" s="1064">
        <f t="shared" si="0"/>
        <v>92501640</v>
      </c>
      <c r="P6" s="1069">
        <f>+'BT 2HO'!O17</f>
        <v>45714</v>
      </c>
      <c r="Q6" s="1064">
        <f t="shared" ref="Q6:Q18" si="6">+ROUND($K6*Q$3,)</f>
        <v>27799695</v>
      </c>
      <c r="R6" s="1069">
        <f>+'BT 2HO'!O17</f>
        <v>45714</v>
      </c>
      <c r="S6" s="1064">
        <f>+'BT 2HO'!R17+'BT 2HO'!R18</f>
        <v>30833880</v>
      </c>
      <c r="T6" s="1064">
        <f t="shared" ref="T6:T18" si="7">+Q6-S6</f>
        <v>-3034185</v>
      </c>
      <c r="U6" s="1069">
        <f>+'BT 2HO'!U17</f>
        <v>45826</v>
      </c>
      <c r="V6" s="1064">
        <f t="shared" si="4"/>
        <v>9266565</v>
      </c>
      <c r="W6" s="1069">
        <f>+'BT 2HO'!V17</f>
        <v>45826</v>
      </c>
      <c r="X6" s="1064">
        <f>+'BT 2HO'!Y17+'BT 2HO'!Y18</f>
        <v>10277960</v>
      </c>
      <c r="Y6" s="1064">
        <f t="shared" ref="Y6:Y18" si="8">+V6-X6</f>
        <v>-1011395</v>
      </c>
      <c r="Z6" s="1069">
        <f>+AB6</f>
        <v>45883</v>
      </c>
      <c r="AA6" s="1064">
        <f t="shared" si="4"/>
        <v>46332825</v>
      </c>
      <c r="AB6" s="1069">
        <f>+'BT 2HO'!AC17</f>
        <v>45883</v>
      </c>
      <c r="AC6" s="1064">
        <f>+'BT 2HO'!AF17+'BT 2HO'!AF18</f>
        <v>51389800</v>
      </c>
      <c r="AD6" s="1064">
        <f t="shared" ref="AD6:AD18" si="9">+AA6-AC6</f>
        <v>-5056975</v>
      </c>
      <c r="AE6" s="1069"/>
      <c r="AF6" s="1064">
        <f t="shared" si="4"/>
        <v>9266565</v>
      </c>
      <c r="AG6" s="1069"/>
      <c r="AH6" s="1064"/>
      <c r="AI6" s="1064">
        <f t="shared" ref="AI6:AI18" si="10">+AF6-AH6</f>
        <v>9266565</v>
      </c>
      <c r="AJ6" s="1070"/>
      <c r="AK6" s="1070" t="b">
        <f t="shared" si="2"/>
        <v>1</v>
      </c>
      <c r="AL6" s="1070"/>
      <c r="AM6" s="1070"/>
      <c r="AN6" s="1070"/>
      <c r="AO6" s="1070"/>
      <c r="AP6" s="1070"/>
      <c r="AQ6" s="1070"/>
      <c r="AR6" s="1070"/>
      <c r="AS6" s="1070"/>
      <c r="AT6" s="1070"/>
      <c r="AU6" s="1070"/>
      <c r="AV6" s="1070"/>
      <c r="AW6" s="1070"/>
      <c r="AX6" s="1070"/>
    </row>
    <row r="7" spans="2:50">
      <c r="B7" s="1472"/>
      <c r="C7" s="1128" t="s">
        <v>652</v>
      </c>
      <c r="D7" s="1128">
        <v>386.24</v>
      </c>
      <c r="E7" s="513">
        <v>350000</v>
      </c>
      <c r="F7" s="503"/>
      <c r="G7" s="503"/>
      <c r="H7" s="503"/>
      <c r="I7" s="503"/>
      <c r="J7" s="503"/>
      <c r="K7" s="352">
        <f t="shared" si="5"/>
        <v>148702400</v>
      </c>
      <c r="L7" s="1059">
        <f t="shared" si="3"/>
        <v>133749000</v>
      </c>
      <c r="M7" s="1059"/>
      <c r="N7" s="1059"/>
      <c r="O7" s="1059">
        <f t="shared" si="0"/>
        <v>0</v>
      </c>
      <c r="P7" s="1060">
        <f>+'BT 2HO'!N22</f>
        <v>45730</v>
      </c>
      <c r="Q7" s="1059">
        <f t="shared" si="6"/>
        <v>44610720</v>
      </c>
      <c r="R7" s="1060">
        <f>+'BT 2HO'!O22</f>
        <v>45730</v>
      </c>
      <c r="S7" s="1059">
        <f>+'BT 2HO'!R22+'BT 2HO'!R23</f>
        <v>46893000</v>
      </c>
      <c r="T7" s="1059">
        <f t="shared" si="7"/>
        <v>-2282280</v>
      </c>
      <c r="U7" s="1060">
        <f>+'BT 2HO'!U22</f>
        <v>45826</v>
      </c>
      <c r="V7" s="1059">
        <f t="shared" si="4"/>
        <v>14870240</v>
      </c>
      <c r="W7" s="1060">
        <f>+'BT 2HO'!V22</f>
        <v>45826</v>
      </c>
      <c r="X7" s="1059">
        <f>+'BT 2HO'!Y22+'BT 2HO'!Y23</f>
        <v>15631000</v>
      </c>
      <c r="Y7" s="1059">
        <f t="shared" si="8"/>
        <v>-760760</v>
      </c>
      <c r="Z7" s="1060">
        <f>+'BT 2HO'!AB22</f>
        <v>45855</v>
      </c>
      <c r="AA7" s="1059">
        <f t="shared" si="4"/>
        <v>74351200</v>
      </c>
      <c r="AB7" s="1060">
        <f>+'BT 2HO'!AC22</f>
        <v>45867</v>
      </c>
      <c r="AC7" s="1059">
        <f>+'BT 2HO'!AF22+'BT 2HO'!AF23</f>
        <v>71225000</v>
      </c>
      <c r="AD7" s="1059">
        <f t="shared" si="9"/>
        <v>3126200</v>
      </c>
      <c r="AE7" s="1060"/>
      <c r="AF7" s="1059">
        <f t="shared" si="4"/>
        <v>14870240</v>
      </c>
      <c r="AG7" s="1060"/>
      <c r="AH7" s="1059"/>
      <c r="AI7" s="1059">
        <f t="shared" si="10"/>
        <v>14870240</v>
      </c>
      <c r="AK7" s="320" t="b">
        <f t="shared" si="2"/>
        <v>1</v>
      </c>
    </row>
    <row r="8" spans="2:50">
      <c r="B8" s="1472"/>
      <c r="C8" s="1128" t="s">
        <v>394</v>
      </c>
      <c r="D8" s="1128">
        <v>210</v>
      </c>
      <c r="E8" s="513">
        <v>450000</v>
      </c>
      <c r="F8" s="503"/>
      <c r="G8" s="503"/>
      <c r="H8" s="503"/>
      <c r="I8" s="503"/>
      <c r="J8" s="503"/>
      <c r="K8" s="352">
        <f t="shared" si="5"/>
        <v>103950000.00000001</v>
      </c>
      <c r="L8" s="1059">
        <f t="shared" si="3"/>
        <v>93555000</v>
      </c>
      <c r="M8" s="1059"/>
      <c r="N8" s="1059"/>
      <c r="O8" s="1059">
        <f t="shared" si="0"/>
        <v>0</v>
      </c>
      <c r="P8" s="1060">
        <f>+'BT 2HO'!N27</f>
        <v>45764</v>
      </c>
      <c r="Q8" s="1059">
        <f t="shared" si="6"/>
        <v>31185000</v>
      </c>
      <c r="R8" s="1060">
        <f>+'BT 2HO'!O27</f>
        <v>45764</v>
      </c>
      <c r="S8" s="1059">
        <f>+'BT 2HO'!R27+'BT 2HO'!R28</f>
        <v>31185000</v>
      </c>
      <c r="T8" s="1059">
        <f t="shared" si="7"/>
        <v>0</v>
      </c>
      <c r="U8" s="1060">
        <f>+'BT 2HO'!U27</f>
        <v>45855</v>
      </c>
      <c r="V8" s="1059">
        <f t="shared" si="4"/>
        <v>10395000</v>
      </c>
      <c r="W8" s="1060">
        <f>+'BT 2HO'!V27</f>
        <v>45867</v>
      </c>
      <c r="X8" s="1059">
        <f>+'BT 2HO'!Y27+'BT 2HO'!Y28</f>
        <v>10395000</v>
      </c>
      <c r="Y8" s="1059">
        <f t="shared" si="8"/>
        <v>0</v>
      </c>
      <c r="Z8" s="1060">
        <f>+AB8</f>
        <v>45975</v>
      </c>
      <c r="AA8" s="1059">
        <f t="shared" si="4"/>
        <v>51975000</v>
      </c>
      <c r="AB8" s="1060">
        <f>+'BT 2HO'!AC27</f>
        <v>45975</v>
      </c>
      <c r="AC8" s="1059">
        <f>+'BT 2HO'!AF27+'BT 2HO'!AF28</f>
        <v>51975000</v>
      </c>
      <c r="AD8" s="1059">
        <f t="shared" si="9"/>
        <v>0</v>
      </c>
      <c r="AE8" s="1060"/>
      <c r="AF8" s="1059">
        <f t="shared" si="4"/>
        <v>10395000</v>
      </c>
      <c r="AG8" s="1060"/>
      <c r="AH8" s="1059"/>
      <c r="AI8" s="1059">
        <f t="shared" si="10"/>
        <v>10395000</v>
      </c>
      <c r="AK8" s="320" t="b">
        <f t="shared" si="2"/>
        <v>1</v>
      </c>
    </row>
    <row r="9" spans="2:50">
      <c r="B9" s="1472"/>
      <c r="C9" s="1128" t="s">
        <v>654</v>
      </c>
      <c r="D9" s="1128">
        <v>122</v>
      </c>
      <c r="E9" s="513">
        <v>450000</v>
      </c>
      <c r="F9" s="513"/>
      <c r="G9" s="513"/>
      <c r="H9" s="513"/>
      <c r="I9" s="503"/>
      <c r="J9" s="503"/>
      <c r="K9" s="352">
        <f t="shared" si="5"/>
        <v>60390000.000000007</v>
      </c>
      <c r="L9" s="1059">
        <f t="shared" si="3"/>
        <v>54351000</v>
      </c>
      <c r="M9" s="1059"/>
      <c r="N9" s="1059"/>
      <c r="O9" s="1059">
        <f t="shared" si="0"/>
        <v>0</v>
      </c>
      <c r="P9" s="1060">
        <f>+'BT 2HO'!N32</f>
        <v>45764</v>
      </c>
      <c r="Q9" s="1059">
        <f t="shared" si="6"/>
        <v>18117000</v>
      </c>
      <c r="R9" s="1060">
        <f>+'BT 2HO'!O32</f>
        <v>45764</v>
      </c>
      <c r="S9" s="1059">
        <f>+'BT 2HO'!R32+'BT 2HO'!R33</f>
        <v>18117000.000000004</v>
      </c>
      <c r="T9" s="1059">
        <f t="shared" si="7"/>
        <v>0</v>
      </c>
      <c r="U9" s="1060">
        <f>+'BT 2HO'!U32</f>
        <v>45855</v>
      </c>
      <c r="V9" s="1059">
        <f t="shared" si="4"/>
        <v>6039000</v>
      </c>
      <c r="W9" s="1060">
        <f>+'BT 2HO'!V32</f>
        <v>45867</v>
      </c>
      <c r="X9" s="1059">
        <f>+'BT 2HO'!Y32+'BT 2HO'!Y33</f>
        <v>6039000</v>
      </c>
      <c r="Y9" s="1059">
        <f t="shared" si="8"/>
        <v>0</v>
      </c>
      <c r="Z9" s="1060">
        <f>+'BT 2HO'!AC32</f>
        <v>45922</v>
      </c>
      <c r="AA9" s="1059">
        <f t="shared" si="4"/>
        <v>30195000</v>
      </c>
      <c r="AB9" s="1060">
        <f>+'BT 2HO'!AC32</f>
        <v>45922</v>
      </c>
      <c r="AC9" s="1059">
        <f>+'BT 2HO'!AF32+'BT 2HO'!AF33</f>
        <v>30195000</v>
      </c>
      <c r="AD9" s="1059">
        <f t="shared" si="9"/>
        <v>0</v>
      </c>
      <c r="AE9" s="1060"/>
      <c r="AF9" s="1059">
        <f t="shared" si="4"/>
        <v>6039000</v>
      </c>
      <c r="AG9" s="1060"/>
      <c r="AH9" s="1059"/>
      <c r="AI9" s="1059">
        <f t="shared" si="10"/>
        <v>6039000</v>
      </c>
      <c r="AK9" s="320" t="b">
        <f t="shared" si="2"/>
        <v>1</v>
      </c>
    </row>
    <row r="10" spans="2:50" s="1071" customFormat="1">
      <c r="B10" s="1472"/>
      <c r="C10" s="1067" t="s">
        <v>725</v>
      </c>
      <c r="D10" s="1067">
        <v>172</v>
      </c>
      <c r="E10" s="1068">
        <v>450000</v>
      </c>
      <c r="F10" s="1068"/>
      <c r="G10" s="1068"/>
      <c r="H10" s="1068"/>
      <c r="I10" s="1068"/>
      <c r="J10" s="1068"/>
      <c r="K10" s="1064">
        <f t="shared" si="5"/>
        <v>85140000</v>
      </c>
      <c r="L10" s="1064">
        <f t="shared" si="3"/>
        <v>25542000</v>
      </c>
      <c r="M10" s="1064">
        <f>+S10</f>
        <v>25542000</v>
      </c>
      <c r="N10" s="1064">
        <f>+M10</f>
        <v>25542000</v>
      </c>
      <c r="O10" s="1064">
        <f t="shared" si="0"/>
        <v>0</v>
      </c>
      <c r="P10" s="1069">
        <f>+'BT 2HO'!N37</f>
        <v>45764</v>
      </c>
      <c r="Q10" s="1064">
        <f t="shared" si="6"/>
        <v>25542000</v>
      </c>
      <c r="R10" s="1069">
        <f>+'BT 2HO'!O37</f>
        <v>45764</v>
      </c>
      <c r="S10" s="1064">
        <f>+'BT 2HO'!R37+'BT 2HO'!R38</f>
        <v>25542000</v>
      </c>
      <c r="T10" s="1064">
        <f t="shared" si="7"/>
        <v>0</v>
      </c>
      <c r="U10" s="1069"/>
      <c r="V10" s="1064">
        <f t="shared" si="4"/>
        <v>8514000</v>
      </c>
      <c r="W10" s="1069"/>
      <c r="X10" s="1064"/>
      <c r="Y10" s="1064">
        <f t="shared" si="8"/>
        <v>8514000</v>
      </c>
      <c r="Z10" s="1069"/>
      <c r="AA10" s="1064">
        <f t="shared" si="4"/>
        <v>42570000</v>
      </c>
      <c r="AB10" s="1069"/>
      <c r="AC10" s="1064"/>
      <c r="AD10" s="1064">
        <f t="shared" si="9"/>
        <v>42570000</v>
      </c>
      <c r="AE10" s="1069"/>
      <c r="AF10" s="1064">
        <f t="shared" si="4"/>
        <v>8514000</v>
      </c>
      <c r="AG10" s="1069"/>
      <c r="AH10" s="1064"/>
      <c r="AI10" s="1064">
        <f t="shared" si="10"/>
        <v>8514000</v>
      </c>
      <c r="AJ10" s="1070"/>
      <c r="AK10" s="1070" t="b">
        <f t="shared" si="2"/>
        <v>1</v>
      </c>
      <c r="AL10" s="1070"/>
      <c r="AM10" s="1070"/>
      <c r="AN10" s="1070"/>
      <c r="AO10" s="1070"/>
      <c r="AP10" s="1070"/>
      <c r="AQ10" s="1070"/>
      <c r="AR10" s="1070"/>
      <c r="AS10" s="1070"/>
      <c r="AT10" s="1070"/>
      <c r="AU10" s="1070"/>
      <c r="AV10" s="1070"/>
      <c r="AW10" s="1070"/>
      <c r="AX10" s="1070"/>
    </row>
    <row r="11" spans="2:50">
      <c r="B11" s="1472"/>
      <c r="C11" s="1128" t="s">
        <v>659</v>
      </c>
      <c r="D11" s="1128">
        <v>438</v>
      </c>
      <c r="E11" s="513">
        <v>450000</v>
      </c>
      <c r="F11" s="513"/>
      <c r="G11" s="513"/>
      <c r="H11" s="513"/>
      <c r="I11" s="513"/>
      <c r="J11" s="513"/>
      <c r="K11" s="352">
        <f t="shared" si="5"/>
        <v>216810000.00000003</v>
      </c>
      <c r="L11" s="1059">
        <f t="shared" si="3"/>
        <v>86724000</v>
      </c>
      <c r="M11" s="1059"/>
      <c r="N11" s="1059"/>
      <c r="O11" s="1059">
        <f t="shared" si="0"/>
        <v>0</v>
      </c>
      <c r="P11" s="1060">
        <f>+'BT 2HO'!N42</f>
        <v>45810</v>
      </c>
      <c r="Q11" s="1059">
        <f t="shared" si="6"/>
        <v>65043000</v>
      </c>
      <c r="R11" s="1060">
        <f>+'BT 2HO'!O42</f>
        <v>45810</v>
      </c>
      <c r="S11" s="1059">
        <f>+'BT 2HO'!R42+'BT 2HO'!R43</f>
        <v>65043000</v>
      </c>
      <c r="T11" s="1059">
        <f t="shared" si="7"/>
        <v>0</v>
      </c>
      <c r="U11" s="1060">
        <f>+W11</f>
        <v>45898</v>
      </c>
      <c r="V11" s="1059">
        <f t="shared" si="4"/>
        <v>21681000</v>
      </c>
      <c r="W11" s="1060">
        <f>+'BT 2HO'!V47</f>
        <v>45898</v>
      </c>
      <c r="X11" s="1059">
        <f>+'BT 2HO'!Y42+'BT 2HO'!Y43</f>
        <v>21681000</v>
      </c>
      <c r="Y11" s="1059">
        <f t="shared" si="8"/>
        <v>0</v>
      </c>
      <c r="Z11" s="1060"/>
      <c r="AA11" s="1059">
        <f t="shared" si="4"/>
        <v>108405000</v>
      </c>
      <c r="AB11" s="1060"/>
      <c r="AC11" s="1059"/>
      <c r="AD11" s="1059">
        <f t="shared" si="9"/>
        <v>108405000</v>
      </c>
      <c r="AE11" s="1060"/>
      <c r="AF11" s="1059">
        <f t="shared" si="4"/>
        <v>21681000</v>
      </c>
      <c r="AG11" s="1060"/>
      <c r="AH11" s="1059"/>
      <c r="AI11" s="1059">
        <f t="shared" si="10"/>
        <v>21681000</v>
      </c>
      <c r="AK11" s="320" t="b">
        <f t="shared" si="2"/>
        <v>1</v>
      </c>
    </row>
    <row r="12" spans="2:50">
      <c r="B12" s="1472"/>
      <c r="C12" s="1128" t="s">
        <v>653</v>
      </c>
      <c r="D12" s="1128">
        <v>171</v>
      </c>
      <c r="E12" s="513">
        <v>200000</v>
      </c>
      <c r="F12" s="503"/>
      <c r="G12" s="503"/>
      <c r="H12" s="503"/>
      <c r="I12" s="503"/>
      <c r="J12" s="503"/>
      <c r="K12" s="352">
        <f t="shared" si="5"/>
        <v>37620000</v>
      </c>
      <c r="L12" s="1059">
        <f t="shared" si="3"/>
        <v>76180500</v>
      </c>
      <c r="M12" s="1059"/>
      <c r="N12" s="1059"/>
      <c r="O12" s="1059">
        <f t="shared" si="0"/>
        <v>0</v>
      </c>
      <c r="P12" s="1060">
        <f>+'BT 2HO'!N47</f>
        <v>45810</v>
      </c>
      <c r="Q12" s="1059">
        <f t="shared" si="6"/>
        <v>11286000</v>
      </c>
      <c r="R12" s="1060">
        <f>+'BT 2HO'!O47</f>
        <v>45810</v>
      </c>
      <c r="S12" s="1059">
        <f>+'BT 2HO'!R47+'BT 2HO'!R48</f>
        <v>25393500</v>
      </c>
      <c r="T12" s="1059">
        <f t="shared" si="7"/>
        <v>-14107500</v>
      </c>
      <c r="U12" s="1060">
        <f>+'BT 2HO'!U47</f>
        <v>45930</v>
      </c>
      <c r="V12" s="1059">
        <f t="shared" si="4"/>
        <v>3762000</v>
      </c>
      <c r="W12" s="1060">
        <f>+'BT 2HO'!V47</f>
        <v>45898</v>
      </c>
      <c r="X12" s="1059">
        <f>+'BT 2HO'!Y47+'BT 2HO'!Y48</f>
        <v>8464500</v>
      </c>
      <c r="Y12" s="1059">
        <f t="shared" si="8"/>
        <v>-4702500</v>
      </c>
      <c r="Z12" s="1060">
        <f>+'BT 2HO'!AC47</f>
        <v>45931</v>
      </c>
      <c r="AA12" s="1059">
        <f t="shared" si="4"/>
        <v>18810000</v>
      </c>
      <c r="AB12" s="1060">
        <f>+'BT 2HO'!AC47</f>
        <v>45931</v>
      </c>
      <c r="AC12" s="1059">
        <f>+'BT 2HO'!AF47+'BT 2HO'!AF48</f>
        <v>42322500</v>
      </c>
      <c r="AD12" s="1059">
        <f t="shared" si="9"/>
        <v>-23512500</v>
      </c>
      <c r="AE12" s="1060"/>
      <c r="AF12" s="1059">
        <f t="shared" si="4"/>
        <v>3762000</v>
      </c>
      <c r="AG12" s="1060"/>
      <c r="AH12" s="1059"/>
      <c r="AI12" s="1059">
        <f t="shared" si="10"/>
        <v>3762000</v>
      </c>
      <c r="AK12" s="320" t="b">
        <f t="shared" si="2"/>
        <v>1</v>
      </c>
    </row>
    <row r="13" spans="2:50">
      <c r="B13" s="1472"/>
      <c r="C13" s="1128" t="s">
        <v>726</v>
      </c>
      <c r="D13" s="1128">
        <v>571</v>
      </c>
      <c r="E13" s="513">
        <v>450000</v>
      </c>
      <c r="F13" s="513"/>
      <c r="G13" s="513"/>
      <c r="H13" s="513"/>
      <c r="I13" s="513"/>
      <c r="J13" s="513"/>
      <c r="K13" s="352">
        <f t="shared" si="5"/>
        <v>282645000</v>
      </c>
      <c r="L13" s="1059">
        <f t="shared" si="3"/>
        <v>254380500</v>
      </c>
      <c r="M13" s="1059"/>
      <c r="N13" s="1059"/>
      <c r="O13" s="1059">
        <f t="shared" si="0"/>
        <v>0</v>
      </c>
      <c r="P13" s="1060">
        <f>+'BT 2HO'!N52</f>
        <v>45826</v>
      </c>
      <c r="Q13" s="1059">
        <f t="shared" si="6"/>
        <v>84793500</v>
      </c>
      <c r="R13" s="1060">
        <f>+'BT 2HO'!O52</f>
        <v>45826</v>
      </c>
      <c r="S13" s="1059">
        <f>+'BT 2HO'!R52+'BT 2HO'!R53</f>
        <v>78259500</v>
      </c>
      <c r="T13" s="1059">
        <f t="shared" si="7"/>
        <v>6534000</v>
      </c>
      <c r="U13" s="1060">
        <v>45991</v>
      </c>
      <c r="V13" s="1059">
        <f t="shared" si="4"/>
        <v>28264500</v>
      </c>
      <c r="W13" s="1060">
        <f>+'BT 2HO'!V52</f>
        <v>45975</v>
      </c>
      <c r="X13" s="1059">
        <f>+'BT 2HO'!Y52+'BT 2HO'!Y53</f>
        <v>26086500</v>
      </c>
      <c r="Y13" s="1059">
        <f t="shared" si="8"/>
        <v>2178000</v>
      </c>
      <c r="Z13" s="1060">
        <v>46008</v>
      </c>
      <c r="AA13" s="1059">
        <f t="shared" si="4"/>
        <v>141322500</v>
      </c>
      <c r="AB13" s="1060">
        <v>46008</v>
      </c>
      <c r="AC13" s="1059">
        <v>150034500</v>
      </c>
      <c r="AD13" s="1059">
        <f t="shared" si="9"/>
        <v>-8712000</v>
      </c>
      <c r="AE13" s="1060"/>
      <c r="AF13" s="1059">
        <f t="shared" si="4"/>
        <v>28264500</v>
      </c>
      <c r="AG13" s="1060"/>
      <c r="AH13" s="1059"/>
      <c r="AI13" s="1059">
        <f t="shared" si="10"/>
        <v>28264500</v>
      </c>
      <c r="AK13" s="320" t="b">
        <f t="shared" si="2"/>
        <v>1</v>
      </c>
    </row>
    <row r="14" spans="2:50">
      <c r="B14" s="1472"/>
      <c r="C14" s="1128" t="s">
        <v>655</v>
      </c>
      <c r="D14" s="1128">
        <v>234</v>
      </c>
      <c r="E14" s="513">
        <v>450000</v>
      </c>
      <c r="F14" s="513"/>
      <c r="G14" s="513"/>
      <c r="H14" s="513"/>
      <c r="I14" s="513"/>
      <c r="J14" s="513"/>
      <c r="K14" s="352">
        <f t="shared" si="5"/>
        <v>115830000.00000001</v>
      </c>
      <c r="L14" s="1059">
        <f t="shared" si="3"/>
        <v>104247000</v>
      </c>
      <c r="M14" s="1059"/>
      <c r="N14" s="1059"/>
      <c r="O14" s="1059">
        <f t="shared" si="0"/>
        <v>0</v>
      </c>
      <c r="P14" s="1060">
        <f>+'BT 2HO'!N57</f>
        <v>45826</v>
      </c>
      <c r="Q14" s="1059">
        <f t="shared" si="6"/>
        <v>34749000</v>
      </c>
      <c r="R14" s="1060">
        <f>+'BT 2HO'!O57</f>
        <v>45826</v>
      </c>
      <c r="S14" s="1059">
        <f>+'BT 2HO'!R57+'BT 2HO'!R58</f>
        <v>34749000</v>
      </c>
      <c r="T14" s="1059">
        <f t="shared" si="7"/>
        <v>0</v>
      </c>
      <c r="U14" s="1060">
        <f>+'BT 2HO'!U57</f>
        <v>45930</v>
      </c>
      <c r="V14" s="1059">
        <f t="shared" si="4"/>
        <v>11583000</v>
      </c>
      <c r="W14" s="1060">
        <f>+'BT 2HO'!V57</f>
        <v>45898</v>
      </c>
      <c r="X14" s="1059">
        <f>+'BT 2HO'!Y57+'BT 2HO'!Y58</f>
        <v>11583000</v>
      </c>
      <c r="Y14" s="1059">
        <f t="shared" si="8"/>
        <v>0</v>
      </c>
      <c r="Z14" s="1060">
        <f>+'BT 2HO'!AC57</f>
        <v>45931</v>
      </c>
      <c r="AA14" s="1059">
        <f t="shared" si="4"/>
        <v>57915000</v>
      </c>
      <c r="AB14" s="1060">
        <f>+'BT 2HO'!AC57</f>
        <v>45931</v>
      </c>
      <c r="AC14" s="1059">
        <f>+'BT 2HO'!AF57+'BT 2HO'!AF58</f>
        <v>57915000</v>
      </c>
      <c r="AD14" s="1059">
        <f t="shared" si="9"/>
        <v>0</v>
      </c>
      <c r="AE14" s="1060"/>
      <c r="AF14" s="1059">
        <f t="shared" si="4"/>
        <v>11583000</v>
      </c>
      <c r="AG14" s="1060"/>
      <c r="AH14" s="1059"/>
      <c r="AI14" s="1059">
        <f t="shared" si="10"/>
        <v>11583000</v>
      </c>
      <c r="AK14" s="320" t="b">
        <f t="shared" si="2"/>
        <v>1</v>
      </c>
      <c r="AL14" s="1066"/>
    </row>
    <row r="15" spans="2:50">
      <c r="B15" s="1472"/>
      <c r="C15" s="1128" t="s">
        <v>727</v>
      </c>
      <c r="D15" s="1128">
        <v>500</v>
      </c>
      <c r="E15" s="513">
        <v>450000</v>
      </c>
      <c r="F15" s="513"/>
      <c r="G15" s="513"/>
      <c r="H15" s="513"/>
      <c r="I15" s="513"/>
      <c r="J15" s="513"/>
      <c r="K15" s="352">
        <f t="shared" si="5"/>
        <v>247500000.00000003</v>
      </c>
      <c r="L15" s="1059">
        <f t="shared" si="3"/>
        <v>222453000</v>
      </c>
      <c r="M15" s="1059"/>
      <c r="N15" s="1059"/>
      <c r="O15" s="1059">
        <f t="shared" si="0"/>
        <v>0</v>
      </c>
      <c r="P15" s="1060">
        <f>+'BT 2HO'!N62</f>
        <v>45855</v>
      </c>
      <c r="Q15" s="1059">
        <f t="shared" si="6"/>
        <v>74250000</v>
      </c>
      <c r="R15" s="1060">
        <f>+'BT 2HO'!O62</f>
        <v>45867</v>
      </c>
      <c r="S15" s="1059">
        <f>+'BT 2HO'!R62+'BT 2HO'!R63</f>
        <v>74250000</v>
      </c>
      <c r="T15" s="1059">
        <f t="shared" si="7"/>
        <v>0</v>
      </c>
      <c r="U15" s="1060">
        <f>+'BT 2HO'!U62</f>
        <v>45930</v>
      </c>
      <c r="V15" s="1059">
        <f t="shared" si="4"/>
        <v>24750000</v>
      </c>
      <c r="W15" s="1060">
        <f>+'BT 2HO'!V62</f>
        <v>45922</v>
      </c>
      <c r="X15" s="1059">
        <f>+'BT 2HO'!Y62+'BT 2HO'!Y63</f>
        <v>24700500</v>
      </c>
      <c r="Y15" s="1059">
        <f t="shared" si="8"/>
        <v>49500</v>
      </c>
      <c r="Z15" s="1060">
        <f>+'BT 2HO'!AC62</f>
        <v>45931</v>
      </c>
      <c r="AA15" s="1059">
        <f t="shared" si="4"/>
        <v>123750000</v>
      </c>
      <c r="AB15" s="1060">
        <f>+'BT 2HO'!AC62</f>
        <v>45931</v>
      </c>
      <c r="AC15" s="1059">
        <f>+'BT 2HO'!AF62+'BT 2HO'!AF63</f>
        <v>123502500</v>
      </c>
      <c r="AD15" s="1059">
        <f t="shared" si="9"/>
        <v>247500</v>
      </c>
      <c r="AE15" s="1060"/>
      <c r="AF15" s="1059">
        <f t="shared" si="4"/>
        <v>24750000</v>
      </c>
      <c r="AG15" s="1060"/>
      <c r="AH15" s="1059"/>
      <c r="AI15" s="1059">
        <f t="shared" si="10"/>
        <v>24750000</v>
      </c>
      <c r="AK15" s="320" t="b">
        <f t="shared" si="2"/>
        <v>1</v>
      </c>
    </row>
    <row r="16" spans="2:50" s="1071" customFormat="1">
      <c r="B16" s="1472"/>
      <c r="C16" s="1127" t="s">
        <v>767</v>
      </c>
      <c r="D16" s="1127">
        <v>127</v>
      </c>
      <c r="E16" s="509">
        <v>450000</v>
      </c>
      <c r="F16" s="1068"/>
      <c r="G16" s="1068"/>
      <c r="H16" s="1068"/>
      <c r="I16" s="1068"/>
      <c r="J16" s="1068"/>
      <c r="K16" s="1129">
        <f t="shared" si="5"/>
        <v>62865000.000000007</v>
      </c>
      <c r="L16" s="1064">
        <f t="shared" si="3"/>
        <v>18859500</v>
      </c>
      <c r="M16" s="1064">
        <f>+L16</f>
        <v>18859500</v>
      </c>
      <c r="N16" s="1064">
        <f>+M16</f>
        <v>18859500</v>
      </c>
      <c r="O16" s="1064">
        <f t="shared" si="0"/>
        <v>0</v>
      </c>
      <c r="P16" s="1069">
        <f>+'BT 2HO'!N67</f>
        <v>45930</v>
      </c>
      <c r="Q16" s="1064">
        <f t="shared" si="6"/>
        <v>18859500</v>
      </c>
      <c r="R16" s="1069">
        <f>+'BT 2HO'!O67</f>
        <v>45922</v>
      </c>
      <c r="S16" s="1064">
        <f>+'BT 2HO'!R67+'BT 2HO'!R68</f>
        <v>18859500</v>
      </c>
      <c r="T16" s="1064">
        <f t="shared" si="7"/>
        <v>0</v>
      </c>
      <c r="U16" s="1069"/>
      <c r="V16" s="1064">
        <f t="shared" si="4"/>
        <v>6286500</v>
      </c>
      <c r="W16" s="1069"/>
      <c r="X16" s="1064"/>
      <c r="Y16" s="1064">
        <f t="shared" si="8"/>
        <v>6286500</v>
      </c>
      <c r="Z16" s="1069"/>
      <c r="AA16" s="1064">
        <f t="shared" si="4"/>
        <v>31432500</v>
      </c>
      <c r="AB16" s="1069"/>
      <c r="AC16" s="1064"/>
      <c r="AD16" s="1064">
        <f t="shared" si="9"/>
        <v>31432500</v>
      </c>
      <c r="AE16" s="1069"/>
      <c r="AF16" s="1064">
        <f t="shared" si="4"/>
        <v>6286500</v>
      </c>
      <c r="AG16" s="1069"/>
      <c r="AH16" s="1064"/>
      <c r="AI16" s="1064">
        <f t="shared" si="10"/>
        <v>6286500</v>
      </c>
      <c r="AJ16" s="1070"/>
      <c r="AK16" s="1070" t="b">
        <f t="shared" si="2"/>
        <v>1</v>
      </c>
      <c r="AL16" s="1070"/>
      <c r="AM16" s="1070"/>
      <c r="AN16" s="1070"/>
      <c r="AO16" s="1070"/>
      <c r="AP16" s="1070"/>
      <c r="AQ16" s="1070"/>
      <c r="AR16" s="1070"/>
      <c r="AS16" s="1070"/>
      <c r="AT16" s="1070"/>
      <c r="AU16" s="1070"/>
      <c r="AV16" s="1070"/>
      <c r="AW16" s="1070"/>
      <c r="AX16" s="1070"/>
    </row>
    <row r="17" spans="2:37">
      <c r="B17" s="1472"/>
      <c r="C17" s="1128" t="s">
        <v>663</v>
      </c>
      <c r="D17" s="1128">
        <v>161</v>
      </c>
      <c r="E17" s="513">
        <v>450000</v>
      </c>
      <c r="F17" s="513"/>
      <c r="G17" s="513"/>
      <c r="H17" s="513"/>
      <c r="I17" s="513"/>
      <c r="J17" s="513"/>
      <c r="K17" s="352">
        <f t="shared" si="5"/>
        <v>79695000</v>
      </c>
      <c r="L17" s="1059">
        <f t="shared" si="3"/>
        <v>31878000</v>
      </c>
      <c r="M17" s="1059"/>
      <c r="N17" s="1059"/>
      <c r="O17" s="1059">
        <f t="shared" si="0"/>
        <v>0</v>
      </c>
      <c r="P17" s="1060">
        <f>+'BT 2HO'!N72</f>
        <v>45930</v>
      </c>
      <c r="Q17" s="1059">
        <f t="shared" si="6"/>
        <v>23908500</v>
      </c>
      <c r="R17" s="1060">
        <f>+'BT 2HO'!O72</f>
        <v>45922</v>
      </c>
      <c r="S17" s="1059">
        <f>+'BT 2HO'!R72+'BT 2HO'!R73</f>
        <v>23908500</v>
      </c>
      <c r="T17" s="1059">
        <f t="shared" si="7"/>
        <v>0</v>
      </c>
      <c r="U17" s="1060">
        <v>46008</v>
      </c>
      <c r="V17" s="1059">
        <f t="shared" si="4"/>
        <v>7969500</v>
      </c>
      <c r="W17" s="1060">
        <v>46008</v>
      </c>
      <c r="X17" s="1059">
        <v>7969500</v>
      </c>
      <c r="Y17" s="1059">
        <f t="shared" si="8"/>
        <v>0</v>
      </c>
      <c r="Z17" s="1060"/>
      <c r="AA17" s="1059">
        <f t="shared" si="4"/>
        <v>39847500</v>
      </c>
      <c r="AB17" s="1060"/>
      <c r="AC17" s="1059"/>
      <c r="AD17" s="1059">
        <f t="shared" si="9"/>
        <v>39847500</v>
      </c>
      <c r="AE17" s="1060"/>
      <c r="AF17" s="1059">
        <f t="shared" si="4"/>
        <v>7969500</v>
      </c>
      <c r="AG17" s="1060"/>
      <c r="AH17" s="1059"/>
      <c r="AI17" s="1059">
        <f t="shared" si="10"/>
        <v>7969500</v>
      </c>
      <c r="AK17" s="320" t="b">
        <f t="shared" si="2"/>
        <v>1</v>
      </c>
    </row>
    <row r="18" spans="2:37">
      <c r="B18" s="1472"/>
      <c r="C18" s="1128" t="s">
        <v>662</v>
      </c>
      <c r="D18" s="1128">
        <v>295</v>
      </c>
      <c r="E18" s="513">
        <v>500000</v>
      </c>
      <c r="F18" s="513"/>
      <c r="G18" s="513"/>
      <c r="H18" s="513"/>
      <c r="I18" s="513"/>
      <c r="J18" s="513"/>
      <c r="K18" s="352">
        <f t="shared" si="5"/>
        <v>162250000</v>
      </c>
      <c r="L18" s="1059">
        <f t="shared" si="3"/>
        <v>146025000</v>
      </c>
      <c r="M18" s="1059"/>
      <c r="N18" s="1059"/>
      <c r="O18" s="1059">
        <f t="shared" si="0"/>
        <v>0</v>
      </c>
      <c r="P18" s="1060">
        <f>+'BT 2HO'!N77</f>
        <v>45930</v>
      </c>
      <c r="Q18" s="1059">
        <f t="shared" si="6"/>
        <v>48675000</v>
      </c>
      <c r="R18" s="1060">
        <f>+'BT 2HO'!O77</f>
        <v>45922</v>
      </c>
      <c r="S18" s="1059">
        <f>+'BT 2HO'!R77+'BT 2HO'!R78</f>
        <v>44385000</v>
      </c>
      <c r="T18" s="1059">
        <f t="shared" si="7"/>
        <v>4290000</v>
      </c>
      <c r="U18" s="1060">
        <f>+'BT 2HO'!U77</f>
        <v>45991</v>
      </c>
      <c r="V18" s="1059">
        <f t="shared" si="4"/>
        <v>16225000</v>
      </c>
      <c r="W18" s="1060">
        <f>+'BT 2HO'!V77</f>
        <v>45975</v>
      </c>
      <c r="X18" s="1059">
        <f>+'BT 2HO'!Y77+'BT 2HO'!Y78</f>
        <v>14795000</v>
      </c>
      <c r="Y18" s="1059">
        <f t="shared" si="8"/>
        <v>1430000</v>
      </c>
      <c r="Z18" s="1060">
        <v>46014</v>
      </c>
      <c r="AA18" s="1059">
        <f t="shared" si="4"/>
        <v>81125000</v>
      </c>
      <c r="AB18" s="1060">
        <v>46014</v>
      </c>
      <c r="AC18" s="1059">
        <v>86845000</v>
      </c>
      <c r="AD18" s="1059">
        <f t="shared" si="9"/>
        <v>-5720000</v>
      </c>
      <c r="AE18" s="1060"/>
      <c r="AF18" s="1059">
        <f t="shared" si="4"/>
        <v>16225000</v>
      </c>
      <c r="AG18" s="1060"/>
      <c r="AH18" s="1059"/>
      <c r="AI18" s="1059">
        <f t="shared" si="10"/>
        <v>16225000</v>
      </c>
      <c r="AK18" s="320" t="b">
        <f t="shared" si="2"/>
        <v>1</v>
      </c>
    </row>
    <row r="19" spans="2:37">
      <c r="AK19" s="320" t="b">
        <f t="shared" si="2"/>
        <v>1</v>
      </c>
    </row>
    <row r="20" spans="2:37" ht="13.5">
      <c r="B20" s="1470" t="s">
        <v>165</v>
      </c>
      <c r="C20" s="1470" t="s">
        <v>715</v>
      </c>
      <c r="D20" s="1473" t="s">
        <v>270</v>
      </c>
      <c r="E20" s="1469" t="s">
        <v>794</v>
      </c>
      <c r="F20" s="1484" t="s">
        <v>606</v>
      </c>
      <c r="G20" s="1466" t="s">
        <v>795</v>
      </c>
      <c r="H20" s="1484" t="s">
        <v>796</v>
      </c>
      <c r="I20" s="1072" t="s">
        <v>797</v>
      </c>
      <c r="J20" s="1466" t="s">
        <v>798</v>
      </c>
      <c r="K20" s="1471" t="s">
        <v>17</v>
      </c>
      <c r="L20" s="1475" t="s">
        <v>716</v>
      </c>
      <c r="M20" s="1482" t="s">
        <v>717</v>
      </c>
      <c r="N20" s="1482" t="s">
        <v>1056</v>
      </c>
      <c r="O20" s="1482" t="s">
        <v>1057</v>
      </c>
      <c r="P20" s="1471" t="s">
        <v>718</v>
      </c>
      <c r="Q20" s="1471"/>
      <c r="R20" s="1471"/>
      <c r="S20" s="1471"/>
      <c r="T20" s="1471"/>
      <c r="U20" s="1471" t="s">
        <v>719</v>
      </c>
      <c r="V20" s="1471"/>
      <c r="W20" s="1471"/>
      <c r="X20" s="1471"/>
      <c r="Y20" s="1471"/>
      <c r="Z20" s="1471" t="s">
        <v>370</v>
      </c>
      <c r="AA20" s="1471"/>
      <c r="AB20" s="1471"/>
      <c r="AC20" s="1471"/>
      <c r="AD20" s="1471"/>
      <c r="AE20" s="1471" t="s">
        <v>371</v>
      </c>
      <c r="AF20" s="1471"/>
      <c r="AG20" s="1471"/>
      <c r="AH20" s="1471"/>
      <c r="AI20" s="1471"/>
    </row>
    <row r="21" spans="2:37" ht="13.5">
      <c r="B21" s="1470"/>
      <c r="C21" s="1470"/>
      <c r="D21" s="1473"/>
      <c r="E21" s="1469"/>
      <c r="F21" s="1485"/>
      <c r="G21" s="1467"/>
      <c r="H21" s="1485"/>
      <c r="I21" s="1073">
        <v>0.02</v>
      </c>
      <c r="J21" s="1467"/>
      <c r="K21" s="1471"/>
      <c r="L21" s="1476"/>
      <c r="M21" s="1483"/>
      <c r="N21" s="1483"/>
      <c r="O21" s="1483"/>
      <c r="P21" s="1061" t="s">
        <v>188</v>
      </c>
      <c r="Q21" s="1062">
        <v>0.2</v>
      </c>
      <c r="R21" s="1061" t="s">
        <v>188</v>
      </c>
      <c r="S21" s="1063" t="s">
        <v>720</v>
      </c>
      <c r="T21" s="1063" t="s">
        <v>721</v>
      </c>
      <c r="U21" s="1061" t="s">
        <v>188</v>
      </c>
      <c r="V21" s="1062">
        <v>0.2</v>
      </c>
      <c r="W21" s="1061" t="s">
        <v>188</v>
      </c>
      <c r="X21" s="1063" t="s">
        <v>720</v>
      </c>
      <c r="Y21" s="1063" t="s">
        <v>721</v>
      </c>
      <c r="Z21" s="1061" t="s">
        <v>188</v>
      </c>
      <c r="AA21" s="1062">
        <v>0.5</v>
      </c>
      <c r="AB21" s="1061" t="s">
        <v>188</v>
      </c>
      <c r="AC21" s="1063" t="s">
        <v>720</v>
      </c>
      <c r="AD21" s="1063" t="s">
        <v>721</v>
      </c>
      <c r="AE21" s="1061" t="s">
        <v>188</v>
      </c>
      <c r="AF21" s="1062">
        <v>0.1</v>
      </c>
      <c r="AG21" s="1061" t="s">
        <v>188</v>
      </c>
      <c r="AH21" s="1063" t="s">
        <v>720</v>
      </c>
      <c r="AI21" s="1063" t="s">
        <v>721</v>
      </c>
    </row>
    <row r="22" spans="2:37">
      <c r="B22" s="1472" t="s">
        <v>728</v>
      </c>
      <c r="C22" s="1057"/>
      <c r="D22" s="1058">
        <f>+SUM(D23:D36)</f>
        <v>4242.3249999999998</v>
      </c>
      <c r="E22" s="503"/>
      <c r="F22" s="503"/>
      <c r="G22" s="503"/>
      <c r="H22" s="503"/>
      <c r="I22" s="503"/>
      <c r="J22" s="503"/>
      <c r="K22" s="1059">
        <f>+SUM(K23:K36)</f>
        <v>2333278750</v>
      </c>
      <c r="L22" s="1059">
        <f>+SUM(L23:L36)</f>
        <v>2099950875</v>
      </c>
      <c r="M22" s="1059">
        <f>+SUM(M23:M36)</f>
        <v>0</v>
      </c>
      <c r="N22" s="1059"/>
      <c r="O22" s="1059"/>
      <c r="P22" s="1060"/>
      <c r="Q22" s="1059">
        <f>+SUM(Q23:Q36)</f>
        <v>466655750</v>
      </c>
      <c r="R22" s="1060"/>
      <c r="S22" s="1059">
        <f>+SUM(S23:S36)</f>
        <v>477849750</v>
      </c>
      <c r="T22" s="1059">
        <f>+SUM(T23:T36)</f>
        <v>-11194000</v>
      </c>
      <c r="U22" s="1060"/>
      <c r="V22" s="1059">
        <f t="shared" ref="V22" si="11">+SUM(V23:V36)</f>
        <v>466655750</v>
      </c>
      <c r="W22" s="1060"/>
      <c r="X22" s="1059"/>
      <c r="Y22" s="1059">
        <f>+SUM(Y23:Y36)</f>
        <v>-11176000</v>
      </c>
      <c r="Z22" s="1060"/>
      <c r="AA22" s="1059">
        <f t="shared" ref="AA22" si="12">+SUM(AA23:AA36)</f>
        <v>1166639375</v>
      </c>
      <c r="AB22" s="1060"/>
      <c r="AC22" s="1059"/>
      <c r="AD22" s="1059">
        <f>+SUM(AD23:AD36)</f>
        <v>22370000</v>
      </c>
      <c r="AE22" s="1059"/>
      <c r="AF22" s="1059">
        <f t="shared" ref="AF22" si="13">+SUM(AF23:AF36)</f>
        <v>233327875</v>
      </c>
      <c r="AG22" s="1059"/>
      <c r="AH22" s="1059"/>
      <c r="AI22" s="1059">
        <f>+SUM(AI23:AI36)</f>
        <v>233327875</v>
      </c>
      <c r="AK22" s="320" t="b">
        <f t="shared" ref="AK22:AK36" si="14">+K22=Q22+V22+AA22+AF22</f>
        <v>1</v>
      </c>
    </row>
    <row r="23" spans="2:37">
      <c r="B23" s="1472"/>
      <c r="C23" s="1128" t="s">
        <v>729</v>
      </c>
      <c r="D23" s="1128">
        <v>709.29499999999996</v>
      </c>
      <c r="E23" s="513">
        <v>500000</v>
      </c>
      <c r="F23" s="513"/>
      <c r="G23" s="513"/>
      <c r="H23" s="513"/>
      <c r="I23" s="513"/>
      <c r="J23" s="513"/>
      <c r="K23" s="352">
        <f>+E23*D23*1.1</f>
        <v>390112250.00000006</v>
      </c>
      <c r="L23" s="1059">
        <f t="shared" ref="L23:L30" si="15">+S23+X23+AC23+AH23</f>
        <v>351101025</v>
      </c>
      <c r="M23" s="1059"/>
      <c r="N23" s="1059"/>
      <c r="O23" s="1059"/>
      <c r="P23" s="1060">
        <f>+'BT 3HO'!N12</f>
        <v>45808</v>
      </c>
      <c r="Q23" s="1059">
        <f>+ROUND($K23*Q$21,)</f>
        <v>78022450</v>
      </c>
      <c r="R23" s="1060">
        <f>+'BT 3HO'!O12</f>
        <v>45791</v>
      </c>
      <c r="S23" s="1059">
        <f>+'BT 3HO'!R12+'BT 3HO'!R13</f>
        <v>78022450</v>
      </c>
      <c r="T23" s="1059">
        <f>+Q23-S23</f>
        <v>0</v>
      </c>
      <c r="U23" s="1060">
        <f>+'BT 3HO'!U12</f>
        <v>45930</v>
      </c>
      <c r="V23" s="1059">
        <f>+ROUND($K23*V$21,)</f>
        <v>78022450</v>
      </c>
      <c r="W23" s="1060">
        <f>+'BT 3HO'!V12</f>
        <v>45898</v>
      </c>
      <c r="X23" s="1059">
        <f>+'BT 3HO'!Y12+'BT 3HO'!Y13</f>
        <v>78022450</v>
      </c>
      <c r="Y23" s="1059">
        <f>+V23-X23</f>
        <v>0</v>
      </c>
      <c r="Z23" s="1060">
        <v>46021</v>
      </c>
      <c r="AA23" s="1059">
        <f>+ROUND($K23*AA$21,)</f>
        <v>195056125</v>
      </c>
      <c r="AB23" s="1060">
        <v>46021</v>
      </c>
      <c r="AC23" s="1059">
        <v>195056125</v>
      </c>
      <c r="AD23" s="1059">
        <f>+AA23-AC23</f>
        <v>0</v>
      </c>
      <c r="AE23" s="1059"/>
      <c r="AF23" s="1059">
        <f>+ROUND($K23*AF$21,)</f>
        <v>39011225</v>
      </c>
      <c r="AG23" s="1059"/>
      <c r="AH23" s="1059"/>
      <c r="AI23" s="1059">
        <f>+AF23-AH23</f>
        <v>39011225</v>
      </c>
      <c r="AK23" s="320" t="b">
        <f t="shared" si="14"/>
        <v>1</v>
      </c>
    </row>
    <row r="24" spans="2:37">
      <c r="B24" s="1472"/>
      <c r="C24" s="1128" t="s">
        <v>730</v>
      </c>
      <c r="D24" s="1128">
        <v>522.60500000000002</v>
      </c>
      <c r="E24" s="513">
        <v>500000</v>
      </c>
      <c r="F24" s="513"/>
      <c r="G24" s="513"/>
      <c r="H24" s="513"/>
      <c r="I24" s="513"/>
      <c r="J24" s="513"/>
      <c r="K24" s="352">
        <f t="shared" ref="K24:K36" si="16">+E24*D24*1.1</f>
        <v>287432750</v>
      </c>
      <c r="L24" s="1059">
        <f t="shared" si="15"/>
        <v>258689475</v>
      </c>
      <c r="M24" s="1059"/>
      <c r="N24" s="1059"/>
      <c r="O24" s="1059"/>
      <c r="P24" s="1060">
        <f>+'BT 3HO'!N17</f>
        <v>45754</v>
      </c>
      <c r="Q24" s="1059">
        <f t="shared" ref="Q24:Q36" si="17">+ROUND($K24*Q$21,)</f>
        <v>57486550</v>
      </c>
      <c r="R24" s="1060">
        <f>+'BT 3HO'!O17</f>
        <v>45754</v>
      </c>
      <c r="S24" s="1059">
        <f>+'BT 3HO'!R17+'BT 3HO'!R18</f>
        <v>57486550</v>
      </c>
      <c r="T24" s="1059">
        <f t="shared" ref="T24:T36" si="18">+Q24-S24</f>
        <v>0</v>
      </c>
      <c r="U24" s="1060">
        <f>+'BT 3HO'!U17</f>
        <v>45855</v>
      </c>
      <c r="V24" s="1059">
        <f t="shared" ref="V24:V36" si="19">+ROUND($K24*V$21,)</f>
        <v>57486550</v>
      </c>
      <c r="W24" s="1060">
        <f>+'BT 3HO'!V17</f>
        <v>45867</v>
      </c>
      <c r="X24" s="1059">
        <f>+'BT 3HO'!X17+'BT 3HO'!X18</f>
        <v>57486550</v>
      </c>
      <c r="Y24" s="1059">
        <f t="shared" ref="Y24:Y36" si="20">+V24-X24</f>
        <v>0</v>
      </c>
      <c r="Z24" s="1060">
        <f>+'BT 3HO'!AB17</f>
        <v>45930</v>
      </c>
      <c r="AA24" s="1059">
        <f t="shared" ref="AA24:AA36" si="21">+ROUND($K24*AA$21,)</f>
        <v>143716375</v>
      </c>
      <c r="AB24" s="1060">
        <f>+'BT 3HO'!AC17</f>
        <v>45898</v>
      </c>
      <c r="AC24" s="1059">
        <f>+'BT 3HO'!AF17+'BT 3HO'!AF18</f>
        <v>143716375</v>
      </c>
      <c r="AD24" s="1059">
        <f t="shared" ref="AD24:AD36" si="22">+AA24-AC24</f>
        <v>0</v>
      </c>
      <c r="AE24" s="1059"/>
      <c r="AF24" s="1059">
        <f t="shared" ref="AF24:AF36" si="23">+ROUND($K24*AF$21,)</f>
        <v>28743275</v>
      </c>
      <c r="AG24" s="1059"/>
      <c r="AH24" s="1059"/>
      <c r="AI24" s="1059">
        <f t="shared" ref="AI24:AI36" si="24">+AF24-AH24</f>
        <v>28743275</v>
      </c>
      <c r="AK24" s="320" t="b">
        <f t="shared" si="14"/>
        <v>1</v>
      </c>
    </row>
    <row r="25" spans="2:37">
      <c r="B25" s="1472"/>
      <c r="C25" s="1128" t="s">
        <v>731</v>
      </c>
      <c r="D25" s="1128">
        <v>499.11</v>
      </c>
      <c r="E25" s="513">
        <v>500000</v>
      </c>
      <c r="F25" s="513"/>
      <c r="G25" s="513"/>
      <c r="H25" s="513"/>
      <c r="I25" s="513"/>
      <c r="J25" s="513"/>
      <c r="K25" s="352">
        <f t="shared" si="16"/>
        <v>274510500</v>
      </c>
      <c r="L25" s="1059">
        <f t="shared" si="15"/>
        <v>247059450</v>
      </c>
      <c r="M25" s="1059"/>
      <c r="N25" s="1059"/>
      <c r="O25" s="1059"/>
      <c r="P25" s="1060">
        <f>+'BT 3HO'!N22</f>
        <v>45820</v>
      </c>
      <c r="Q25" s="1059">
        <f t="shared" si="17"/>
        <v>54902100</v>
      </c>
      <c r="R25" s="1060">
        <f>+'BT 3HO'!O22</f>
        <v>45820</v>
      </c>
      <c r="S25" s="1059">
        <f>+'BT 3HO'!R22+'BT 3HO'!R23</f>
        <v>54920100</v>
      </c>
      <c r="T25" s="1059">
        <f t="shared" si="18"/>
        <v>-18000</v>
      </c>
      <c r="U25" s="1060">
        <f>+'BT 3HO'!U22</f>
        <v>45831</v>
      </c>
      <c r="V25" s="1059">
        <f t="shared" si="19"/>
        <v>54902100</v>
      </c>
      <c r="W25" s="1060">
        <f>+'BT 3HO'!V22</f>
        <v>45831</v>
      </c>
      <c r="X25" s="1059">
        <f>+'BT 3HO'!Y22+'BT 3HO'!Y23</f>
        <v>54902100</v>
      </c>
      <c r="Y25" s="1059">
        <f t="shared" si="20"/>
        <v>0</v>
      </c>
      <c r="Z25" s="1060">
        <f>+'BT 3HO'!AB22</f>
        <v>45831</v>
      </c>
      <c r="AA25" s="1059">
        <f t="shared" si="21"/>
        <v>137255250</v>
      </c>
      <c r="AB25" s="1060">
        <f>+'BT 3HO'!AC22</f>
        <v>45831</v>
      </c>
      <c r="AC25" s="1059">
        <f>+'BT 3HO'!AF22+'BT 3HO'!AF23</f>
        <v>137237250</v>
      </c>
      <c r="AD25" s="1059">
        <f t="shared" si="22"/>
        <v>18000</v>
      </c>
      <c r="AE25" s="1059"/>
      <c r="AF25" s="1059">
        <f t="shared" si="23"/>
        <v>27451050</v>
      </c>
      <c r="AG25" s="1059"/>
      <c r="AH25" s="1059"/>
      <c r="AI25" s="1059">
        <f t="shared" si="24"/>
        <v>27451050</v>
      </c>
      <c r="AK25" s="320" t="b">
        <f t="shared" si="14"/>
        <v>1</v>
      </c>
    </row>
    <row r="26" spans="2:37">
      <c r="B26" s="1472"/>
      <c r="C26" s="1128" t="s">
        <v>732</v>
      </c>
      <c r="D26" s="1128">
        <v>142.875</v>
      </c>
      <c r="E26" s="513">
        <v>500000</v>
      </c>
      <c r="F26" s="513"/>
      <c r="G26" s="513"/>
      <c r="H26" s="513"/>
      <c r="I26" s="513"/>
      <c r="J26" s="513"/>
      <c r="K26" s="352">
        <f t="shared" si="16"/>
        <v>78581250</v>
      </c>
      <c r="L26" s="1059">
        <f t="shared" si="15"/>
        <v>70723125</v>
      </c>
      <c r="M26" s="1059"/>
      <c r="N26" s="1059"/>
      <c r="O26" s="1059"/>
      <c r="P26" s="1060">
        <f>+'BT 3HO'!N27</f>
        <v>45820</v>
      </c>
      <c r="Q26" s="1059">
        <f t="shared" si="17"/>
        <v>15716250</v>
      </c>
      <c r="R26" s="1060">
        <f>+'BT 3HO'!O27</f>
        <v>45820</v>
      </c>
      <c r="S26" s="1059">
        <f>+'BT 3HO'!R27+'BT 3HO'!R28</f>
        <v>15716250</v>
      </c>
      <c r="T26" s="1059">
        <f t="shared" si="18"/>
        <v>0</v>
      </c>
      <c r="U26" s="1060">
        <f>+'BT 3HO'!U27</f>
        <v>45831</v>
      </c>
      <c r="V26" s="1059">
        <f t="shared" si="19"/>
        <v>15716250</v>
      </c>
      <c r="W26" s="1060">
        <f>+'BT 3HO'!V27</f>
        <v>45831</v>
      </c>
      <c r="X26" s="1059">
        <f>+'BT 3HO'!Y27+'BT 3HO'!Y28</f>
        <v>15716250</v>
      </c>
      <c r="Y26" s="1059">
        <f t="shared" si="20"/>
        <v>0</v>
      </c>
      <c r="Z26" s="1060">
        <f>+'BT 3HO'!AB27</f>
        <v>45831</v>
      </c>
      <c r="AA26" s="1059">
        <f t="shared" si="21"/>
        <v>39290625</v>
      </c>
      <c r="AB26" s="1060">
        <f>+'BT 3HO'!AC27</f>
        <v>45831</v>
      </c>
      <c r="AC26" s="1059">
        <f>+'BT 3HO'!AF27+'BT 3HO'!AF28</f>
        <v>39290625</v>
      </c>
      <c r="AD26" s="1059">
        <f t="shared" si="22"/>
        <v>0</v>
      </c>
      <c r="AE26" s="1059"/>
      <c r="AF26" s="1059">
        <f t="shared" si="23"/>
        <v>7858125</v>
      </c>
      <c r="AG26" s="1059"/>
      <c r="AH26" s="1059"/>
      <c r="AI26" s="1059">
        <f t="shared" si="24"/>
        <v>7858125</v>
      </c>
      <c r="AK26" s="320" t="b">
        <f t="shared" si="14"/>
        <v>1</v>
      </c>
    </row>
    <row r="27" spans="2:37">
      <c r="B27" s="1472"/>
      <c r="C27" s="1128" t="s">
        <v>733</v>
      </c>
      <c r="D27" s="1128">
        <v>897.89</v>
      </c>
      <c r="E27" s="513">
        <v>500000</v>
      </c>
      <c r="F27" s="513"/>
      <c r="G27" s="513"/>
      <c r="H27" s="513"/>
      <c r="I27" s="513"/>
      <c r="J27" s="513"/>
      <c r="K27" s="352">
        <f t="shared" si="16"/>
        <v>493839500.00000006</v>
      </c>
      <c r="L27" s="1059">
        <f t="shared" si="15"/>
        <v>444455550</v>
      </c>
      <c r="M27" s="1059"/>
      <c r="N27" s="1059"/>
      <c r="O27" s="1059"/>
      <c r="P27" s="1060">
        <f>+'BT 3HO'!N32</f>
        <v>45820</v>
      </c>
      <c r="Q27" s="1059">
        <f t="shared" si="17"/>
        <v>98767900</v>
      </c>
      <c r="R27" s="1060">
        <f>+'BT 3HO'!O32</f>
        <v>45820</v>
      </c>
      <c r="S27" s="1059">
        <f>+'BT 3HO'!R32+'BT 3HO'!R33</f>
        <v>98767900</v>
      </c>
      <c r="T27" s="1059">
        <f t="shared" si="18"/>
        <v>0</v>
      </c>
      <c r="U27" s="1060">
        <f>+'BT 3HO'!U32</f>
        <v>45900</v>
      </c>
      <c r="V27" s="1059">
        <f t="shared" si="19"/>
        <v>98767900</v>
      </c>
      <c r="W27" s="1060">
        <f>+'BT 3HO'!V32</f>
        <v>45883</v>
      </c>
      <c r="X27" s="1059">
        <f>+'BT 3HO'!Y32+'BT 3HO'!Y33</f>
        <v>98767900</v>
      </c>
      <c r="Y27" s="1059">
        <f t="shared" si="20"/>
        <v>0</v>
      </c>
      <c r="Z27" s="1060">
        <f>+'BT 3HO'!AB32</f>
        <v>45930</v>
      </c>
      <c r="AA27" s="1059">
        <f t="shared" si="21"/>
        <v>246919750</v>
      </c>
      <c r="AB27" s="1060">
        <f>+'BT 3HO'!AC32</f>
        <v>45922</v>
      </c>
      <c r="AC27" s="1059">
        <f>+'BT 3HO'!AF32+'BT 3HO'!AF33</f>
        <v>246919750</v>
      </c>
      <c r="AD27" s="1059">
        <f t="shared" si="22"/>
        <v>0</v>
      </c>
      <c r="AE27" s="1059"/>
      <c r="AF27" s="1059">
        <f t="shared" si="23"/>
        <v>49383950</v>
      </c>
      <c r="AG27" s="1059"/>
      <c r="AH27" s="1059"/>
      <c r="AI27" s="1059">
        <f t="shared" si="24"/>
        <v>49383950</v>
      </c>
      <c r="AK27" s="320" t="b">
        <f t="shared" si="14"/>
        <v>1</v>
      </c>
    </row>
    <row r="28" spans="2:37">
      <c r="B28" s="1472"/>
      <c r="C28" s="1128" t="s">
        <v>734</v>
      </c>
      <c r="D28" s="1128">
        <v>166.37</v>
      </c>
      <c r="E28" s="513">
        <v>500000</v>
      </c>
      <c r="F28" s="513"/>
      <c r="G28" s="513"/>
      <c r="H28" s="513"/>
      <c r="I28" s="513"/>
      <c r="J28" s="513"/>
      <c r="K28" s="352">
        <f t="shared" si="16"/>
        <v>91503500</v>
      </c>
      <c r="L28" s="1059">
        <f t="shared" si="15"/>
        <v>82353150</v>
      </c>
      <c r="M28" s="1059"/>
      <c r="N28" s="1059"/>
      <c r="O28" s="1059"/>
      <c r="P28" s="1060">
        <f>+'BT 3HO'!N37</f>
        <v>45820</v>
      </c>
      <c r="Q28" s="1059">
        <f t="shared" si="17"/>
        <v>18300700</v>
      </c>
      <c r="R28" s="1060">
        <f>+'BT 3HO'!O37</f>
        <v>45820</v>
      </c>
      <c r="S28" s="1059">
        <f>+'BT 3HO'!R37+'BT 3HO'!R38</f>
        <v>18300700</v>
      </c>
      <c r="T28" s="1059">
        <f t="shared" si="18"/>
        <v>0</v>
      </c>
      <c r="U28" s="1060">
        <f>+'BT 3HO'!U37</f>
        <v>45855</v>
      </c>
      <c r="V28" s="1059">
        <f t="shared" si="19"/>
        <v>18300700</v>
      </c>
      <c r="W28" s="1060">
        <f>+'BT 3HO'!V37</f>
        <v>45867</v>
      </c>
      <c r="X28" s="1059">
        <f>+'BT 3HO'!Y37+'BT 3HO'!Y38</f>
        <v>18300700</v>
      </c>
      <c r="Y28" s="1059">
        <f t="shared" si="20"/>
        <v>0</v>
      </c>
      <c r="Z28" s="1060">
        <f>+'BT 3HO'!AB37</f>
        <v>45930</v>
      </c>
      <c r="AA28" s="1059">
        <f t="shared" si="21"/>
        <v>45751750</v>
      </c>
      <c r="AB28" s="1060">
        <f>+'BT 3HO'!AC37</f>
        <v>45922</v>
      </c>
      <c r="AC28" s="1059">
        <f>+'BT 3HO'!AF37+'BT 3HO'!AF38</f>
        <v>45751750</v>
      </c>
      <c r="AD28" s="1059">
        <f t="shared" si="22"/>
        <v>0</v>
      </c>
      <c r="AE28" s="1059"/>
      <c r="AF28" s="1059">
        <f t="shared" si="23"/>
        <v>9150350</v>
      </c>
      <c r="AG28" s="1059"/>
      <c r="AH28" s="1059"/>
      <c r="AI28" s="1059">
        <f t="shared" si="24"/>
        <v>9150350</v>
      </c>
      <c r="AK28" s="320" t="b">
        <f t="shared" si="14"/>
        <v>1</v>
      </c>
    </row>
    <row r="29" spans="2:37">
      <c r="B29" s="1472"/>
      <c r="C29" s="1128" t="s">
        <v>735</v>
      </c>
      <c r="D29" s="1128">
        <v>1155.7</v>
      </c>
      <c r="E29" s="513">
        <v>500000</v>
      </c>
      <c r="F29" s="513"/>
      <c r="G29" s="513"/>
      <c r="H29" s="513"/>
      <c r="I29" s="513"/>
      <c r="J29" s="513"/>
      <c r="K29" s="352">
        <f t="shared" si="16"/>
        <v>635635000</v>
      </c>
      <c r="L29" s="1059">
        <f t="shared" si="15"/>
        <v>572071500</v>
      </c>
      <c r="M29" s="1059"/>
      <c r="N29" s="1059"/>
      <c r="O29" s="1059"/>
      <c r="P29" s="1060">
        <f>+'BT 3HO'!N42</f>
        <v>45831</v>
      </c>
      <c r="Q29" s="1059">
        <f t="shared" si="17"/>
        <v>127127000</v>
      </c>
      <c r="R29" s="1060">
        <f>+'BT 3HO'!O42</f>
        <v>45831</v>
      </c>
      <c r="S29" s="1059">
        <f>+'BT 3HO'!R42+'BT 3HO'!R43</f>
        <v>138303000</v>
      </c>
      <c r="T29" s="1059">
        <f t="shared" si="18"/>
        <v>-11176000</v>
      </c>
      <c r="U29" s="1060">
        <f>+'BT 3HO'!U42</f>
        <v>45900</v>
      </c>
      <c r="V29" s="1059">
        <f t="shared" si="19"/>
        <v>127127000</v>
      </c>
      <c r="W29" s="1060">
        <f>+'BT 3HO'!V42</f>
        <v>45883</v>
      </c>
      <c r="X29" s="1059">
        <f>+'BT 3HO'!Y42+'BT 3HO'!Y43</f>
        <v>138303000</v>
      </c>
      <c r="Y29" s="1059">
        <f t="shared" si="20"/>
        <v>-11176000</v>
      </c>
      <c r="Z29" s="1060">
        <f>+'BT 3HO'!AB42</f>
        <v>45930</v>
      </c>
      <c r="AA29" s="1059">
        <f t="shared" si="21"/>
        <v>317817500</v>
      </c>
      <c r="AB29" s="1060">
        <f>+'BT 3HO'!AC42</f>
        <v>45922</v>
      </c>
      <c r="AC29" s="1059">
        <f>+'BT 3HO'!AF42+'BT 3HO'!AF43</f>
        <v>295465500</v>
      </c>
      <c r="AD29" s="1059">
        <f t="shared" si="22"/>
        <v>22352000</v>
      </c>
      <c r="AE29" s="1059"/>
      <c r="AF29" s="1059">
        <f t="shared" si="23"/>
        <v>63563500</v>
      </c>
      <c r="AG29" s="1059"/>
      <c r="AH29" s="1059"/>
      <c r="AI29" s="1059">
        <f t="shared" si="24"/>
        <v>63563500</v>
      </c>
      <c r="AK29" s="320" t="b">
        <f t="shared" si="14"/>
        <v>1</v>
      </c>
    </row>
    <row r="30" spans="2:37">
      <c r="B30" s="1472"/>
      <c r="C30" s="1128" t="s">
        <v>736</v>
      </c>
      <c r="D30" s="1128">
        <v>148.47999999999999</v>
      </c>
      <c r="E30" s="513">
        <v>500000</v>
      </c>
      <c r="F30" s="513"/>
      <c r="G30" s="513"/>
      <c r="H30" s="513"/>
      <c r="I30" s="513"/>
      <c r="J30" s="513"/>
      <c r="K30" s="352">
        <f t="shared" si="16"/>
        <v>81664000</v>
      </c>
      <c r="L30" s="1059">
        <f t="shared" si="15"/>
        <v>73497600</v>
      </c>
      <c r="M30" s="1059"/>
      <c r="N30" s="1059"/>
      <c r="O30" s="1059"/>
      <c r="P30" s="1060">
        <f>+'BT 3HO'!N47</f>
        <v>45855</v>
      </c>
      <c r="Q30" s="1059">
        <f t="shared" si="17"/>
        <v>16332800</v>
      </c>
      <c r="R30" s="1060">
        <f>+'BT 3HO'!O47</f>
        <v>45867</v>
      </c>
      <c r="S30" s="1059">
        <f>+'BT 3HO'!R47+'BT 3HO'!R48</f>
        <v>16332800</v>
      </c>
      <c r="T30" s="1059">
        <f t="shared" si="18"/>
        <v>0</v>
      </c>
      <c r="U30" s="1060">
        <v>46021</v>
      </c>
      <c r="V30" s="1059">
        <f t="shared" si="19"/>
        <v>16332800</v>
      </c>
      <c r="W30" s="1060">
        <v>46021</v>
      </c>
      <c r="X30" s="1059">
        <v>16332800</v>
      </c>
      <c r="Y30" s="1059">
        <f t="shared" si="20"/>
        <v>0</v>
      </c>
      <c r="Z30" s="1060">
        <v>46021</v>
      </c>
      <c r="AA30" s="1059">
        <f t="shared" si="21"/>
        <v>40832000</v>
      </c>
      <c r="AB30" s="1060">
        <v>46021</v>
      </c>
      <c r="AC30" s="1059">
        <v>40832000</v>
      </c>
      <c r="AD30" s="1059">
        <f t="shared" si="22"/>
        <v>0</v>
      </c>
      <c r="AE30" s="1059"/>
      <c r="AF30" s="1059">
        <f t="shared" si="23"/>
        <v>8166400</v>
      </c>
      <c r="AG30" s="1059"/>
      <c r="AH30" s="1059"/>
      <c r="AI30" s="1059">
        <f t="shared" si="24"/>
        <v>8166400</v>
      </c>
      <c r="AK30" s="320" t="b">
        <f t="shared" si="14"/>
        <v>1</v>
      </c>
    </row>
    <row r="31" spans="2:37">
      <c r="B31" s="1472"/>
      <c r="C31" s="1058">
        <v>0</v>
      </c>
      <c r="D31" s="1058">
        <f>+'BT 2HO'!D69</f>
        <v>0</v>
      </c>
      <c r="E31" s="503">
        <v>500000</v>
      </c>
      <c r="F31" s="503"/>
      <c r="G31" s="503"/>
      <c r="H31" s="503"/>
      <c r="I31" s="503"/>
      <c r="J31" s="503"/>
      <c r="K31" s="1059">
        <f t="shared" si="16"/>
        <v>0</v>
      </c>
      <c r="L31" s="1059"/>
      <c r="M31" s="1059"/>
      <c r="N31" s="1059"/>
      <c r="O31" s="1059"/>
      <c r="P31" s="1060"/>
      <c r="Q31" s="1059">
        <f t="shared" si="17"/>
        <v>0</v>
      </c>
      <c r="R31" s="1060"/>
      <c r="S31" s="1059"/>
      <c r="T31" s="1059">
        <f t="shared" si="18"/>
        <v>0</v>
      </c>
      <c r="U31" s="1060"/>
      <c r="V31" s="1059">
        <f t="shared" si="19"/>
        <v>0</v>
      </c>
      <c r="W31" s="1060"/>
      <c r="X31" s="1059"/>
      <c r="Y31" s="1059">
        <f t="shared" si="20"/>
        <v>0</v>
      </c>
      <c r="Z31" s="1060"/>
      <c r="AA31" s="1059">
        <f t="shared" si="21"/>
        <v>0</v>
      </c>
      <c r="AB31" s="1060"/>
      <c r="AC31" s="1059"/>
      <c r="AD31" s="1059">
        <f t="shared" si="22"/>
        <v>0</v>
      </c>
      <c r="AE31" s="1059"/>
      <c r="AF31" s="1059">
        <f t="shared" si="23"/>
        <v>0</v>
      </c>
      <c r="AG31" s="1059"/>
      <c r="AH31" s="1059"/>
      <c r="AI31" s="1059">
        <f t="shared" si="24"/>
        <v>0</v>
      </c>
      <c r="AK31" s="320" t="b">
        <f t="shared" si="14"/>
        <v>1</v>
      </c>
    </row>
    <row r="32" spans="2:37">
      <c r="B32" s="1472"/>
      <c r="C32" s="1058">
        <v>0</v>
      </c>
      <c r="D32" s="1058">
        <f>+'BT 2HO'!D74</f>
        <v>0</v>
      </c>
      <c r="E32" s="503">
        <v>500000</v>
      </c>
      <c r="F32" s="503"/>
      <c r="G32" s="503"/>
      <c r="H32" s="503"/>
      <c r="I32" s="503"/>
      <c r="J32" s="503"/>
      <c r="K32" s="1059">
        <f t="shared" si="16"/>
        <v>0</v>
      </c>
      <c r="L32" s="1059"/>
      <c r="M32" s="1059"/>
      <c r="N32" s="1059"/>
      <c r="O32" s="1059"/>
      <c r="P32" s="1060"/>
      <c r="Q32" s="1059">
        <f t="shared" si="17"/>
        <v>0</v>
      </c>
      <c r="R32" s="1060"/>
      <c r="S32" s="1059"/>
      <c r="T32" s="1059">
        <f t="shared" si="18"/>
        <v>0</v>
      </c>
      <c r="U32" s="1060"/>
      <c r="V32" s="1059">
        <f t="shared" si="19"/>
        <v>0</v>
      </c>
      <c r="W32" s="1060"/>
      <c r="X32" s="1059"/>
      <c r="Y32" s="1059">
        <f t="shared" si="20"/>
        <v>0</v>
      </c>
      <c r="Z32" s="1060"/>
      <c r="AA32" s="1059">
        <f t="shared" si="21"/>
        <v>0</v>
      </c>
      <c r="AB32" s="1060"/>
      <c r="AC32" s="1059"/>
      <c r="AD32" s="1059">
        <f t="shared" si="22"/>
        <v>0</v>
      </c>
      <c r="AE32" s="1059"/>
      <c r="AF32" s="1059">
        <f t="shared" si="23"/>
        <v>0</v>
      </c>
      <c r="AG32" s="1059"/>
      <c r="AH32" s="1059"/>
      <c r="AI32" s="1059">
        <f t="shared" si="24"/>
        <v>0</v>
      </c>
      <c r="AK32" s="320" t="b">
        <f t="shared" si="14"/>
        <v>1</v>
      </c>
    </row>
    <row r="33" spans="2:37">
      <c r="B33" s="1472"/>
      <c r="C33" s="1058">
        <v>0</v>
      </c>
      <c r="D33" s="1058">
        <f>+'BT 2HO'!D79</f>
        <v>0</v>
      </c>
      <c r="E33" s="503">
        <v>500000</v>
      </c>
      <c r="F33" s="503"/>
      <c r="G33" s="503"/>
      <c r="H33" s="503"/>
      <c r="I33" s="503"/>
      <c r="J33" s="503"/>
      <c r="K33" s="1059">
        <f t="shared" si="16"/>
        <v>0</v>
      </c>
      <c r="L33" s="1059"/>
      <c r="M33" s="1059"/>
      <c r="N33" s="1059"/>
      <c r="O33" s="1059"/>
      <c r="P33" s="1060"/>
      <c r="Q33" s="1059">
        <f t="shared" si="17"/>
        <v>0</v>
      </c>
      <c r="R33" s="1060"/>
      <c r="S33" s="1059"/>
      <c r="T33" s="1059">
        <f t="shared" si="18"/>
        <v>0</v>
      </c>
      <c r="U33" s="1060"/>
      <c r="V33" s="1059">
        <f t="shared" si="19"/>
        <v>0</v>
      </c>
      <c r="W33" s="1060"/>
      <c r="X33" s="1059"/>
      <c r="Y33" s="1059">
        <f t="shared" si="20"/>
        <v>0</v>
      </c>
      <c r="Z33" s="1060"/>
      <c r="AA33" s="1059">
        <f t="shared" si="21"/>
        <v>0</v>
      </c>
      <c r="AB33" s="1060"/>
      <c r="AC33" s="1059"/>
      <c r="AD33" s="1059">
        <f t="shared" si="22"/>
        <v>0</v>
      </c>
      <c r="AE33" s="1059"/>
      <c r="AF33" s="1059">
        <f t="shared" si="23"/>
        <v>0</v>
      </c>
      <c r="AG33" s="1059"/>
      <c r="AH33" s="1059"/>
      <c r="AI33" s="1059">
        <f t="shared" si="24"/>
        <v>0</v>
      </c>
      <c r="AK33" s="320" t="b">
        <f t="shared" si="14"/>
        <v>1</v>
      </c>
    </row>
    <row r="34" spans="2:37">
      <c r="B34" s="1472"/>
      <c r="C34" s="1058">
        <v>0</v>
      </c>
      <c r="D34" s="1058">
        <f>+'BT 2HO'!D84</f>
        <v>0</v>
      </c>
      <c r="E34" s="503">
        <v>500000</v>
      </c>
      <c r="F34" s="503"/>
      <c r="G34" s="503"/>
      <c r="H34" s="503"/>
      <c r="I34" s="503"/>
      <c r="J34" s="503"/>
      <c r="K34" s="1059">
        <f t="shared" si="16"/>
        <v>0</v>
      </c>
      <c r="L34" s="1059"/>
      <c r="M34" s="1059"/>
      <c r="N34" s="1059"/>
      <c r="O34" s="1059"/>
      <c r="P34" s="1060"/>
      <c r="Q34" s="1059">
        <f t="shared" si="17"/>
        <v>0</v>
      </c>
      <c r="R34" s="1060"/>
      <c r="S34" s="1059"/>
      <c r="T34" s="1059">
        <f t="shared" si="18"/>
        <v>0</v>
      </c>
      <c r="U34" s="1060"/>
      <c r="V34" s="1059">
        <f t="shared" si="19"/>
        <v>0</v>
      </c>
      <c r="W34" s="1060"/>
      <c r="X34" s="1059"/>
      <c r="Y34" s="1059">
        <f t="shared" si="20"/>
        <v>0</v>
      </c>
      <c r="Z34" s="1060"/>
      <c r="AA34" s="1059">
        <f t="shared" si="21"/>
        <v>0</v>
      </c>
      <c r="AB34" s="1060"/>
      <c r="AC34" s="1059"/>
      <c r="AD34" s="1059">
        <f t="shared" si="22"/>
        <v>0</v>
      </c>
      <c r="AE34" s="1059"/>
      <c r="AF34" s="1059">
        <f t="shared" si="23"/>
        <v>0</v>
      </c>
      <c r="AG34" s="1059"/>
      <c r="AH34" s="1059"/>
      <c r="AI34" s="1059">
        <f t="shared" si="24"/>
        <v>0</v>
      </c>
      <c r="AK34" s="320" t="b">
        <f t="shared" si="14"/>
        <v>1</v>
      </c>
    </row>
    <row r="35" spans="2:37">
      <c r="B35" s="1472"/>
      <c r="C35" s="1058">
        <v>0</v>
      </c>
      <c r="D35" s="1058">
        <f>+'BT 2HO'!D89</f>
        <v>0</v>
      </c>
      <c r="E35" s="503">
        <v>500000</v>
      </c>
      <c r="F35" s="503"/>
      <c r="G35" s="503"/>
      <c r="H35" s="503"/>
      <c r="I35" s="503"/>
      <c r="J35" s="503"/>
      <c r="K35" s="1059">
        <f t="shared" si="16"/>
        <v>0</v>
      </c>
      <c r="L35" s="1059"/>
      <c r="M35" s="1059"/>
      <c r="N35" s="1059"/>
      <c r="O35" s="1059"/>
      <c r="P35" s="1060"/>
      <c r="Q35" s="1059">
        <f t="shared" si="17"/>
        <v>0</v>
      </c>
      <c r="R35" s="1060"/>
      <c r="S35" s="1059"/>
      <c r="T35" s="1059">
        <f t="shared" si="18"/>
        <v>0</v>
      </c>
      <c r="U35" s="1060"/>
      <c r="V35" s="1059">
        <f t="shared" si="19"/>
        <v>0</v>
      </c>
      <c r="W35" s="1060"/>
      <c r="X35" s="1059"/>
      <c r="Y35" s="1059">
        <f t="shared" si="20"/>
        <v>0</v>
      </c>
      <c r="Z35" s="1060"/>
      <c r="AA35" s="1059">
        <f t="shared" si="21"/>
        <v>0</v>
      </c>
      <c r="AB35" s="1060"/>
      <c r="AC35" s="1059"/>
      <c r="AD35" s="1059">
        <f t="shared" si="22"/>
        <v>0</v>
      </c>
      <c r="AE35" s="1059"/>
      <c r="AF35" s="1059">
        <f t="shared" si="23"/>
        <v>0</v>
      </c>
      <c r="AG35" s="1059"/>
      <c r="AH35" s="1059"/>
      <c r="AI35" s="1059">
        <f t="shared" si="24"/>
        <v>0</v>
      </c>
      <c r="AK35" s="320" t="b">
        <f t="shared" si="14"/>
        <v>1</v>
      </c>
    </row>
    <row r="36" spans="2:37">
      <c r="B36" s="1472"/>
      <c r="C36" s="1058">
        <v>0</v>
      </c>
      <c r="D36" s="1058">
        <f>+'BT 2HO'!D94</f>
        <v>0</v>
      </c>
      <c r="E36" s="503">
        <v>500000</v>
      </c>
      <c r="F36" s="503"/>
      <c r="G36" s="503"/>
      <c r="H36" s="503"/>
      <c r="I36" s="503"/>
      <c r="J36" s="503"/>
      <c r="K36" s="1059">
        <f t="shared" si="16"/>
        <v>0</v>
      </c>
      <c r="L36" s="1059"/>
      <c r="M36" s="1059"/>
      <c r="N36" s="1059"/>
      <c r="O36" s="1059"/>
      <c r="P36" s="1060"/>
      <c r="Q36" s="1059">
        <f t="shared" si="17"/>
        <v>0</v>
      </c>
      <c r="R36" s="1060"/>
      <c r="S36" s="1059"/>
      <c r="T36" s="1059">
        <f t="shared" si="18"/>
        <v>0</v>
      </c>
      <c r="U36" s="1060"/>
      <c r="V36" s="1059">
        <f t="shared" si="19"/>
        <v>0</v>
      </c>
      <c r="W36" s="1060"/>
      <c r="X36" s="1059"/>
      <c r="Y36" s="1059">
        <f t="shared" si="20"/>
        <v>0</v>
      </c>
      <c r="Z36" s="1060"/>
      <c r="AA36" s="1059">
        <f t="shared" si="21"/>
        <v>0</v>
      </c>
      <c r="AB36" s="1060"/>
      <c r="AC36" s="1059"/>
      <c r="AD36" s="1059">
        <f t="shared" si="22"/>
        <v>0</v>
      </c>
      <c r="AE36" s="1059"/>
      <c r="AF36" s="1059">
        <f t="shared" si="23"/>
        <v>0</v>
      </c>
      <c r="AG36" s="1059"/>
      <c r="AH36" s="1059"/>
      <c r="AI36" s="1059">
        <f t="shared" si="24"/>
        <v>0</v>
      </c>
      <c r="AK36" s="320" t="b">
        <f t="shared" si="14"/>
        <v>1</v>
      </c>
    </row>
    <row r="38" spans="2:37" ht="13.5">
      <c r="B38" s="1470" t="s">
        <v>165</v>
      </c>
      <c r="C38" s="1470" t="s">
        <v>715</v>
      </c>
      <c r="D38" s="1473" t="s">
        <v>270</v>
      </c>
      <c r="E38" s="1469" t="s">
        <v>794</v>
      </c>
      <c r="F38" s="1484" t="s">
        <v>606</v>
      </c>
      <c r="G38" s="1466" t="s">
        <v>795</v>
      </c>
      <c r="H38" s="1484" t="s">
        <v>796</v>
      </c>
      <c r="I38" s="1072" t="s">
        <v>797</v>
      </c>
      <c r="J38" s="1466" t="s">
        <v>798</v>
      </c>
      <c r="K38" s="1471" t="s">
        <v>17</v>
      </c>
      <c r="L38" s="1475" t="s">
        <v>716</v>
      </c>
      <c r="M38" s="1482" t="s">
        <v>717</v>
      </c>
      <c r="N38" s="1482" t="s">
        <v>1056</v>
      </c>
      <c r="O38" s="1482" t="s">
        <v>1057</v>
      </c>
      <c r="P38" s="1471" t="s">
        <v>718</v>
      </c>
      <c r="Q38" s="1471"/>
      <c r="R38" s="1471"/>
      <c r="S38" s="1471"/>
      <c r="T38" s="1471"/>
      <c r="U38" s="1471" t="s">
        <v>719</v>
      </c>
      <c r="V38" s="1471"/>
      <c r="W38" s="1471"/>
      <c r="X38" s="1471"/>
      <c r="Y38" s="1471"/>
      <c r="Z38" s="1471" t="s">
        <v>370</v>
      </c>
      <c r="AA38" s="1471"/>
      <c r="AB38" s="1471"/>
      <c r="AC38" s="1471"/>
      <c r="AD38" s="1471"/>
      <c r="AE38" s="1471" t="s">
        <v>371</v>
      </c>
      <c r="AF38" s="1471"/>
      <c r="AG38" s="1471"/>
      <c r="AH38" s="1471"/>
      <c r="AI38" s="1471"/>
    </row>
    <row r="39" spans="2:37" ht="13.5">
      <c r="B39" s="1470"/>
      <c r="C39" s="1470"/>
      <c r="D39" s="1473"/>
      <c r="E39" s="1469"/>
      <c r="F39" s="1485"/>
      <c r="G39" s="1467"/>
      <c r="H39" s="1485"/>
      <c r="I39" s="1073">
        <v>0.02</v>
      </c>
      <c r="J39" s="1467"/>
      <c r="K39" s="1471"/>
      <c r="L39" s="1476"/>
      <c r="M39" s="1483"/>
      <c r="N39" s="1483"/>
      <c r="O39" s="1483"/>
      <c r="P39" s="1061" t="s">
        <v>188</v>
      </c>
      <c r="Q39" s="1062">
        <v>0.3</v>
      </c>
      <c r="R39" s="1061" t="s">
        <v>188</v>
      </c>
      <c r="S39" s="1063" t="s">
        <v>720</v>
      </c>
      <c r="T39" s="1063" t="s">
        <v>721</v>
      </c>
      <c r="U39" s="1061" t="s">
        <v>188</v>
      </c>
      <c r="V39" s="1062">
        <v>0.1</v>
      </c>
      <c r="W39" s="1061" t="s">
        <v>188</v>
      </c>
      <c r="X39" s="1063" t="s">
        <v>720</v>
      </c>
      <c r="Y39" s="1063" t="s">
        <v>721</v>
      </c>
      <c r="Z39" s="1061" t="s">
        <v>188</v>
      </c>
      <c r="AA39" s="1062">
        <v>0.5</v>
      </c>
      <c r="AB39" s="1061" t="s">
        <v>188</v>
      </c>
      <c r="AC39" s="1063" t="s">
        <v>720</v>
      </c>
      <c r="AD39" s="1063" t="s">
        <v>721</v>
      </c>
      <c r="AE39" s="1061" t="s">
        <v>188</v>
      </c>
      <c r="AF39" s="1062">
        <v>0.1</v>
      </c>
      <c r="AG39" s="1061" t="s">
        <v>188</v>
      </c>
      <c r="AH39" s="1063" t="s">
        <v>720</v>
      </c>
      <c r="AI39" s="1063" t="s">
        <v>721</v>
      </c>
    </row>
    <row r="40" spans="2:37">
      <c r="B40" s="1472" t="s">
        <v>737</v>
      </c>
      <c r="C40" s="1057"/>
      <c r="D40" s="1058">
        <f>+SUM(D41:D53)</f>
        <v>3497</v>
      </c>
      <c r="E40" s="503"/>
      <c r="F40" s="503"/>
      <c r="G40" s="503"/>
      <c r="H40" s="503"/>
      <c r="I40" s="503"/>
      <c r="J40" s="503"/>
      <c r="K40" s="1059">
        <f>+SUM(K41:K53)</f>
        <v>1923350000</v>
      </c>
      <c r="L40" s="1059">
        <f>+SUM(L41:L53)</f>
        <v>579920000</v>
      </c>
      <c r="M40" s="1059">
        <f>+SUM(M46:M53)</f>
        <v>0</v>
      </c>
      <c r="N40" s="1059"/>
      <c r="O40" s="1059"/>
      <c r="P40" s="1060"/>
      <c r="Q40" s="1059">
        <f>+SUM(Q46:Q53)</f>
        <v>142230000</v>
      </c>
      <c r="R40" s="1060"/>
      <c r="S40" s="1059">
        <f>+SUM(S46:S53)</f>
        <v>75900000</v>
      </c>
      <c r="T40" s="1059">
        <f>+SUM(T46:T53)</f>
        <v>66330000</v>
      </c>
      <c r="U40" s="1059"/>
      <c r="V40" s="1059">
        <f>+SUM(V46:V53)</f>
        <v>47410000</v>
      </c>
      <c r="W40" s="1059"/>
      <c r="X40" s="1059"/>
      <c r="Y40" s="1059">
        <f>+SUM(Y46:Y53)</f>
        <v>22110000</v>
      </c>
      <c r="Z40" s="1059"/>
      <c r="AA40" s="1059">
        <f>+SUM(AA46:AA53)</f>
        <v>237050000</v>
      </c>
      <c r="AB40" s="1059"/>
      <c r="AC40" s="1059"/>
      <c r="AD40" s="1059">
        <f>+SUM(AD46:AD53)</f>
        <v>237050000</v>
      </c>
      <c r="AE40" s="1059"/>
      <c r="AF40" s="1059">
        <f>+SUM(AF46:AF53)</f>
        <v>47410000</v>
      </c>
      <c r="AG40" s="1059"/>
      <c r="AH40" s="1059"/>
      <c r="AI40" s="1059">
        <f>+SUM(AI46:AI53)</f>
        <v>47410000</v>
      </c>
      <c r="AK40" s="320" t="b">
        <f t="shared" ref="AK40:AK53" si="25">+K40=Q40+V40+AA40+AF40</f>
        <v>0</v>
      </c>
    </row>
    <row r="41" spans="2:37">
      <c r="B41" s="1472"/>
      <c r="C41" s="1058" t="s">
        <v>739</v>
      </c>
      <c r="D41" s="1058">
        <v>315</v>
      </c>
      <c r="E41" s="503">
        <v>500000</v>
      </c>
      <c r="F41" s="503"/>
      <c r="G41" s="503"/>
      <c r="H41" s="503"/>
      <c r="I41" s="503"/>
      <c r="J41" s="503"/>
      <c r="K41" s="1059">
        <f t="shared" ref="K41:K49" si="26">+E41*D41*1.1</f>
        <v>173250000</v>
      </c>
      <c r="L41" s="1059">
        <f t="shared" ref="L41:L49" si="27">+S41+X41+AC41+AH41</f>
        <v>69300000</v>
      </c>
      <c r="M41" s="1059"/>
      <c r="N41" s="1059"/>
      <c r="O41" s="1059"/>
      <c r="P41" s="1060">
        <f>+'BT 2HO'!O82</f>
        <v>45922</v>
      </c>
      <c r="Q41" s="1059">
        <f t="shared" ref="Q41:Q49" si="28">+ROUND($K41*Q$39,)</f>
        <v>51975000</v>
      </c>
      <c r="R41" s="1060">
        <f>+'BT 2HO'!O82</f>
        <v>45922</v>
      </c>
      <c r="S41" s="1059">
        <f>+'BT 2HO'!R82+'BT 2HO'!R83</f>
        <v>51975000</v>
      </c>
      <c r="T41" s="1059">
        <f t="shared" ref="T41:T49" si="29">+Q41-S41</f>
        <v>0</v>
      </c>
      <c r="U41" s="1060">
        <v>46008</v>
      </c>
      <c r="V41" s="1059">
        <f t="shared" ref="V41:V49" si="30">+ROUND($K41*V$39,)</f>
        <v>17325000</v>
      </c>
      <c r="W41" s="1060">
        <v>46008</v>
      </c>
      <c r="X41" s="1059">
        <v>17325000</v>
      </c>
      <c r="Y41" s="1059">
        <f t="shared" ref="Y41:Y49" si="31">+V41-X41</f>
        <v>0</v>
      </c>
      <c r="Z41" s="1059"/>
      <c r="AA41" s="1059">
        <f t="shared" ref="AA41:AA49" si="32">+ROUND($K41*AA$39,)</f>
        <v>86625000</v>
      </c>
      <c r="AB41" s="1059"/>
      <c r="AC41" s="1059"/>
      <c r="AD41" s="1059">
        <f t="shared" ref="AD41:AD49" si="33">+AA41-AC41</f>
        <v>86625000</v>
      </c>
      <c r="AE41" s="1059"/>
      <c r="AF41" s="1059">
        <f t="shared" ref="AF41:AF49" si="34">+ROUND($K41*AF$39,)</f>
        <v>17325000</v>
      </c>
      <c r="AG41" s="1059"/>
      <c r="AH41" s="1059"/>
      <c r="AI41" s="1059">
        <f t="shared" ref="AI41:AI49" si="35">+AF41-AH41</f>
        <v>17325000</v>
      </c>
      <c r="AK41" s="320" t="b">
        <f t="shared" ref="AK41:AK49" si="36">+K41=Q41+V41+AA41+AF41</f>
        <v>1</v>
      </c>
    </row>
    <row r="42" spans="2:37">
      <c r="B42" s="1472"/>
      <c r="C42" s="1058" t="s">
        <v>738</v>
      </c>
      <c r="D42" s="1058">
        <v>991</v>
      </c>
      <c r="E42" s="503">
        <v>500000</v>
      </c>
      <c r="F42" s="503"/>
      <c r="G42" s="503"/>
      <c r="H42" s="503"/>
      <c r="I42" s="503"/>
      <c r="J42" s="503"/>
      <c r="K42" s="1059">
        <f t="shared" si="26"/>
        <v>545050000</v>
      </c>
      <c r="L42" s="1059">
        <f t="shared" si="27"/>
        <v>163515000</v>
      </c>
      <c r="M42" s="1059"/>
      <c r="N42" s="1059"/>
      <c r="O42" s="1059"/>
      <c r="P42" s="1060">
        <v>45982</v>
      </c>
      <c r="Q42" s="1059">
        <f t="shared" si="28"/>
        <v>163515000</v>
      </c>
      <c r="R42" s="1060">
        <v>45982</v>
      </c>
      <c r="S42" s="1059">
        <v>163515000</v>
      </c>
      <c r="T42" s="1059">
        <f t="shared" si="29"/>
        <v>0</v>
      </c>
      <c r="U42" s="1059"/>
      <c r="V42" s="1059">
        <f t="shared" si="30"/>
        <v>54505000</v>
      </c>
      <c r="W42" s="1059"/>
      <c r="X42" s="1059"/>
      <c r="Y42" s="1059">
        <f t="shared" si="31"/>
        <v>54505000</v>
      </c>
      <c r="Z42" s="1059"/>
      <c r="AA42" s="1059">
        <f t="shared" si="32"/>
        <v>272525000</v>
      </c>
      <c r="AB42" s="1059"/>
      <c r="AC42" s="1059"/>
      <c r="AD42" s="1059">
        <f t="shared" si="33"/>
        <v>272525000</v>
      </c>
      <c r="AE42" s="1059"/>
      <c r="AF42" s="1059">
        <f t="shared" si="34"/>
        <v>54505000</v>
      </c>
      <c r="AG42" s="1059"/>
      <c r="AH42" s="1059"/>
      <c r="AI42" s="1059">
        <f t="shared" si="35"/>
        <v>54505000</v>
      </c>
      <c r="AK42" s="320" t="b">
        <f t="shared" si="36"/>
        <v>1</v>
      </c>
    </row>
    <row r="43" spans="2:37">
      <c r="B43" s="1472"/>
      <c r="C43" s="1058" t="s">
        <v>741</v>
      </c>
      <c r="D43" s="1058">
        <v>1000</v>
      </c>
      <c r="E43" s="503">
        <v>500000</v>
      </c>
      <c r="F43" s="503"/>
      <c r="G43" s="503"/>
      <c r="H43" s="503"/>
      <c r="I43" s="503"/>
      <c r="J43" s="503"/>
      <c r="K43" s="1059">
        <f t="shared" si="26"/>
        <v>550000000</v>
      </c>
      <c r="L43" s="1059">
        <f t="shared" si="27"/>
        <v>220000000</v>
      </c>
      <c r="M43" s="1059"/>
      <c r="N43" s="1059"/>
      <c r="O43" s="1059"/>
      <c r="P43" s="1060">
        <v>46008</v>
      </c>
      <c r="Q43" s="1059">
        <f t="shared" si="28"/>
        <v>165000000</v>
      </c>
      <c r="R43" s="1060">
        <v>46008</v>
      </c>
      <c r="S43" s="1059">
        <v>165000000</v>
      </c>
      <c r="T43" s="1059">
        <f t="shared" si="29"/>
        <v>0</v>
      </c>
      <c r="U43" s="1060">
        <v>46008</v>
      </c>
      <c r="V43" s="1059">
        <f t="shared" si="30"/>
        <v>55000000</v>
      </c>
      <c r="W43" s="1060">
        <v>46008</v>
      </c>
      <c r="X43" s="1059">
        <v>55000000</v>
      </c>
      <c r="Y43" s="1059">
        <f t="shared" si="31"/>
        <v>0</v>
      </c>
      <c r="Z43" s="1059"/>
      <c r="AA43" s="1059">
        <f t="shared" si="32"/>
        <v>275000000</v>
      </c>
      <c r="AB43" s="1059"/>
      <c r="AC43" s="1059"/>
      <c r="AD43" s="1059">
        <f t="shared" si="33"/>
        <v>275000000</v>
      </c>
      <c r="AE43" s="1059"/>
      <c r="AF43" s="1059">
        <f t="shared" si="34"/>
        <v>55000000</v>
      </c>
      <c r="AG43" s="1059"/>
      <c r="AH43" s="1059"/>
      <c r="AI43" s="1059">
        <f t="shared" si="35"/>
        <v>55000000</v>
      </c>
      <c r="AK43" s="320" t="b">
        <f t="shared" si="36"/>
        <v>1</v>
      </c>
    </row>
    <row r="44" spans="2:37">
      <c r="B44" s="1472"/>
      <c r="C44" s="1058" t="s">
        <v>740</v>
      </c>
      <c r="D44" s="1058">
        <v>156</v>
      </c>
      <c r="E44" s="503">
        <v>500000</v>
      </c>
      <c r="F44" s="503"/>
      <c r="G44" s="503"/>
      <c r="H44" s="503"/>
      <c r="I44" s="503"/>
      <c r="J44" s="503"/>
      <c r="K44" s="1059">
        <f t="shared" si="26"/>
        <v>85800000</v>
      </c>
      <c r="L44" s="1059">
        <f t="shared" si="27"/>
        <v>25905000</v>
      </c>
      <c r="M44" s="1059"/>
      <c r="N44" s="1059"/>
      <c r="O44" s="1059"/>
      <c r="P44" s="1060">
        <v>46008</v>
      </c>
      <c r="Q44" s="1059">
        <f t="shared" si="28"/>
        <v>25740000</v>
      </c>
      <c r="R44" s="1060">
        <v>46008</v>
      </c>
      <c r="S44" s="1059">
        <v>25905000</v>
      </c>
      <c r="T44" s="1059">
        <f t="shared" si="29"/>
        <v>-165000</v>
      </c>
      <c r="U44" s="1059"/>
      <c r="V44" s="1059">
        <f t="shared" si="30"/>
        <v>8580000</v>
      </c>
      <c r="W44" s="1059"/>
      <c r="X44" s="1059"/>
      <c r="Y44" s="1059">
        <f t="shared" si="31"/>
        <v>8580000</v>
      </c>
      <c r="Z44" s="1059"/>
      <c r="AA44" s="1059">
        <f t="shared" si="32"/>
        <v>42900000</v>
      </c>
      <c r="AB44" s="1059"/>
      <c r="AC44" s="1059"/>
      <c r="AD44" s="1059">
        <f t="shared" si="33"/>
        <v>42900000</v>
      </c>
      <c r="AE44" s="1059"/>
      <c r="AF44" s="1059">
        <f t="shared" si="34"/>
        <v>8580000</v>
      </c>
      <c r="AG44" s="1059"/>
      <c r="AH44" s="1059"/>
      <c r="AI44" s="1059">
        <f t="shared" si="35"/>
        <v>8580000</v>
      </c>
      <c r="AK44" s="320" t="b">
        <f t="shared" si="36"/>
        <v>1</v>
      </c>
    </row>
    <row r="45" spans="2:37">
      <c r="B45" s="1472"/>
      <c r="C45" s="1058" t="s">
        <v>742</v>
      </c>
      <c r="D45" s="1058">
        <v>173</v>
      </c>
      <c r="E45" s="503">
        <v>500000</v>
      </c>
      <c r="F45" s="503"/>
      <c r="G45" s="503"/>
      <c r="H45" s="503"/>
      <c r="I45" s="503"/>
      <c r="J45" s="503"/>
      <c r="K45" s="1059">
        <f t="shared" si="26"/>
        <v>95150000.000000015</v>
      </c>
      <c r="L45" s="1059">
        <f t="shared" si="27"/>
        <v>0</v>
      </c>
      <c r="M45" s="1059"/>
      <c r="N45" s="1059"/>
      <c r="O45" s="1059"/>
      <c r="P45" s="1060"/>
      <c r="Q45" s="1059">
        <f t="shared" si="28"/>
        <v>28545000</v>
      </c>
      <c r="R45" s="1060"/>
      <c r="S45" s="1059"/>
      <c r="T45" s="1059">
        <f t="shared" si="29"/>
        <v>28545000</v>
      </c>
      <c r="U45" s="1059"/>
      <c r="V45" s="1059">
        <f t="shared" si="30"/>
        <v>9515000</v>
      </c>
      <c r="W45" s="1059"/>
      <c r="X45" s="1059"/>
      <c r="Y45" s="1059">
        <f t="shared" si="31"/>
        <v>9515000</v>
      </c>
      <c r="Z45" s="1059"/>
      <c r="AA45" s="1059">
        <f t="shared" si="32"/>
        <v>47575000</v>
      </c>
      <c r="AB45" s="1059"/>
      <c r="AC45" s="1059"/>
      <c r="AD45" s="1059">
        <f t="shared" si="33"/>
        <v>47575000</v>
      </c>
      <c r="AE45" s="1059"/>
      <c r="AF45" s="1059">
        <f t="shared" si="34"/>
        <v>9515000</v>
      </c>
      <c r="AG45" s="1059"/>
      <c r="AH45" s="1059"/>
      <c r="AI45" s="1059">
        <f t="shared" si="35"/>
        <v>9515000</v>
      </c>
      <c r="AK45" s="320" t="b">
        <f t="shared" si="36"/>
        <v>1</v>
      </c>
    </row>
    <row r="46" spans="2:37">
      <c r="B46" s="1472"/>
      <c r="C46" s="1058" t="s">
        <v>800</v>
      </c>
      <c r="D46" s="1058">
        <v>227</v>
      </c>
      <c r="E46" s="503">
        <v>500000</v>
      </c>
      <c r="F46" s="503"/>
      <c r="G46" s="503"/>
      <c r="H46" s="503"/>
      <c r="I46" s="503"/>
      <c r="J46" s="503"/>
      <c r="K46" s="1059">
        <f t="shared" si="26"/>
        <v>124850000.00000001</v>
      </c>
      <c r="L46" s="1059">
        <f t="shared" si="27"/>
        <v>49940000</v>
      </c>
      <c r="M46" s="1059"/>
      <c r="N46" s="1059"/>
      <c r="O46" s="1059"/>
      <c r="P46" s="1060">
        <v>46008</v>
      </c>
      <c r="Q46" s="1059">
        <f t="shared" si="28"/>
        <v>37455000</v>
      </c>
      <c r="R46" s="1060">
        <v>46008</v>
      </c>
      <c r="S46" s="1059">
        <v>37455000</v>
      </c>
      <c r="T46" s="1059">
        <f t="shared" si="29"/>
        <v>0</v>
      </c>
      <c r="U46" s="1060">
        <v>46008</v>
      </c>
      <c r="V46" s="1059">
        <f t="shared" si="30"/>
        <v>12485000</v>
      </c>
      <c r="W46" s="1060">
        <v>46008</v>
      </c>
      <c r="X46" s="1059">
        <v>12485000</v>
      </c>
      <c r="Y46" s="1059">
        <f t="shared" si="31"/>
        <v>0</v>
      </c>
      <c r="Z46" s="1059"/>
      <c r="AA46" s="1059">
        <f t="shared" si="32"/>
        <v>62425000</v>
      </c>
      <c r="AB46" s="1059"/>
      <c r="AC46" s="1059"/>
      <c r="AD46" s="1059">
        <f t="shared" si="33"/>
        <v>62425000</v>
      </c>
      <c r="AE46" s="1059"/>
      <c r="AF46" s="1059">
        <f t="shared" si="34"/>
        <v>12485000</v>
      </c>
      <c r="AG46" s="1059"/>
      <c r="AH46" s="1059"/>
      <c r="AI46" s="1059">
        <f t="shared" si="35"/>
        <v>12485000</v>
      </c>
      <c r="AK46" s="320" t="b">
        <f t="shared" si="36"/>
        <v>1</v>
      </c>
    </row>
    <row r="47" spans="2:37">
      <c r="B47" s="1472"/>
      <c r="C47" s="1058" t="s">
        <v>801</v>
      </c>
      <c r="D47" s="1058">
        <v>233</v>
      </c>
      <c r="E47" s="503">
        <v>500000</v>
      </c>
      <c r="F47" s="503"/>
      <c r="G47" s="503"/>
      <c r="H47" s="503"/>
      <c r="I47" s="503"/>
      <c r="J47" s="503"/>
      <c r="K47" s="1059">
        <f t="shared" si="26"/>
        <v>128150000.00000001</v>
      </c>
      <c r="L47" s="1059">
        <f t="shared" si="27"/>
        <v>51260000</v>
      </c>
      <c r="M47" s="1059"/>
      <c r="N47" s="1059"/>
      <c r="O47" s="1059"/>
      <c r="P47" s="1060">
        <v>46008</v>
      </c>
      <c r="Q47" s="1059">
        <f t="shared" si="28"/>
        <v>38445000</v>
      </c>
      <c r="R47" s="1060">
        <v>46008</v>
      </c>
      <c r="S47" s="1059">
        <v>38445000</v>
      </c>
      <c r="T47" s="1059">
        <f t="shared" si="29"/>
        <v>0</v>
      </c>
      <c r="U47" s="1060">
        <v>46008</v>
      </c>
      <c r="V47" s="1059">
        <f t="shared" si="30"/>
        <v>12815000</v>
      </c>
      <c r="W47" s="1060">
        <v>46008</v>
      </c>
      <c r="X47" s="1059">
        <v>12815000</v>
      </c>
      <c r="Y47" s="1059">
        <f t="shared" si="31"/>
        <v>0</v>
      </c>
      <c r="Z47" s="1059"/>
      <c r="AA47" s="1059">
        <f t="shared" si="32"/>
        <v>64075000</v>
      </c>
      <c r="AB47" s="1059"/>
      <c r="AC47" s="1059"/>
      <c r="AD47" s="1059">
        <f t="shared" si="33"/>
        <v>64075000</v>
      </c>
      <c r="AE47" s="1059"/>
      <c r="AF47" s="1059">
        <f t="shared" si="34"/>
        <v>12815000</v>
      </c>
      <c r="AG47" s="1059"/>
      <c r="AH47" s="1059"/>
      <c r="AI47" s="1059">
        <f t="shared" si="35"/>
        <v>12815000</v>
      </c>
      <c r="AK47" s="320" t="b">
        <f t="shared" si="36"/>
        <v>1</v>
      </c>
    </row>
    <row r="48" spans="2:37">
      <c r="B48" s="1472"/>
      <c r="C48" s="1058" t="s">
        <v>1086</v>
      </c>
      <c r="D48" s="1058">
        <v>237</v>
      </c>
      <c r="E48" s="503">
        <v>500000</v>
      </c>
      <c r="F48" s="503"/>
      <c r="G48" s="503"/>
      <c r="H48" s="503"/>
      <c r="I48" s="503"/>
      <c r="J48" s="503"/>
      <c r="K48" s="1059">
        <f t="shared" si="26"/>
        <v>130350000.00000001</v>
      </c>
      <c r="L48" s="1059">
        <f t="shared" si="27"/>
        <v>0</v>
      </c>
      <c r="M48" s="1059"/>
      <c r="N48" s="1059"/>
      <c r="O48" s="1059"/>
      <c r="P48" s="1060"/>
      <c r="Q48" s="1059">
        <f t="shared" si="28"/>
        <v>39105000</v>
      </c>
      <c r="R48" s="1060"/>
      <c r="S48" s="1059"/>
      <c r="T48" s="1059">
        <f t="shared" si="29"/>
        <v>39105000</v>
      </c>
      <c r="U48" s="1059"/>
      <c r="V48" s="1059">
        <f t="shared" si="30"/>
        <v>13035000</v>
      </c>
      <c r="W48" s="1059"/>
      <c r="X48" s="1059"/>
      <c r="Y48" s="1059">
        <f t="shared" si="31"/>
        <v>13035000</v>
      </c>
      <c r="Z48" s="1059"/>
      <c r="AA48" s="1059">
        <f t="shared" si="32"/>
        <v>65175000</v>
      </c>
      <c r="AB48" s="1059"/>
      <c r="AC48" s="1059"/>
      <c r="AD48" s="1059">
        <f t="shared" si="33"/>
        <v>65175000</v>
      </c>
      <c r="AE48" s="1059"/>
      <c r="AF48" s="1059">
        <f t="shared" si="34"/>
        <v>13035000</v>
      </c>
      <c r="AG48" s="1059"/>
      <c r="AH48" s="1059"/>
      <c r="AI48" s="1059">
        <f t="shared" si="35"/>
        <v>13035000</v>
      </c>
      <c r="AK48" s="320" t="b">
        <f t="shared" si="36"/>
        <v>1</v>
      </c>
    </row>
    <row r="49" spans="2:50">
      <c r="B49" s="1472"/>
      <c r="C49" s="1058" t="s">
        <v>1087</v>
      </c>
      <c r="D49" s="1058">
        <v>165</v>
      </c>
      <c r="E49" s="503">
        <v>500000</v>
      </c>
      <c r="F49" s="503"/>
      <c r="G49" s="503"/>
      <c r="H49" s="503"/>
      <c r="I49" s="503"/>
      <c r="J49" s="503"/>
      <c r="K49" s="1059">
        <f t="shared" si="26"/>
        <v>90750000</v>
      </c>
      <c r="L49" s="1059">
        <f t="shared" si="27"/>
        <v>0</v>
      </c>
      <c r="M49" s="1059"/>
      <c r="N49" s="1059"/>
      <c r="O49" s="1059"/>
      <c r="P49" s="1060"/>
      <c r="Q49" s="1059">
        <f t="shared" si="28"/>
        <v>27225000</v>
      </c>
      <c r="R49" s="1060"/>
      <c r="S49" s="1059"/>
      <c r="T49" s="1059">
        <f t="shared" si="29"/>
        <v>27225000</v>
      </c>
      <c r="U49" s="1059"/>
      <c r="V49" s="1059">
        <f t="shared" si="30"/>
        <v>9075000</v>
      </c>
      <c r="W49" s="1059"/>
      <c r="X49" s="1059"/>
      <c r="Y49" s="1059">
        <f t="shared" si="31"/>
        <v>9075000</v>
      </c>
      <c r="Z49" s="1059"/>
      <c r="AA49" s="1059">
        <f t="shared" si="32"/>
        <v>45375000</v>
      </c>
      <c r="AB49" s="1059"/>
      <c r="AC49" s="1059"/>
      <c r="AD49" s="1059">
        <f t="shared" si="33"/>
        <v>45375000</v>
      </c>
      <c r="AE49" s="1059"/>
      <c r="AF49" s="1059">
        <f t="shared" si="34"/>
        <v>9075000</v>
      </c>
      <c r="AG49" s="1059"/>
      <c r="AH49" s="1059"/>
      <c r="AI49" s="1059">
        <f t="shared" si="35"/>
        <v>9075000</v>
      </c>
      <c r="AK49" s="320" t="b">
        <f t="shared" si="36"/>
        <v>1</v>
      </c>
    </row>
    <row r="50" spans="2:50">
      <c r="B50" s="1472"/>
      <c r="C50" s="1058">
        <f>+'BT 2HO'!C97</f>
        <v>0</v>
      </c>
      <c r="D50" s="1058">
        <f>+'BT 2HO'!D97</f>
        <v>0</v>
      </c>
      <c r="E50" s="503">
        <v>500000</v>
      </c>
      <c r="F50" s="503"/>
      <c r="G50" s="503"/>
      <c r="H50" s="503"/>
      <c r="I50" s="503"/>
      <c r="J50" s="503"/>
      <c r="K50" s="1059">
        <f t="shared" ref="K50:K53" si="37">+E50*D50*1.1</f>
        <v>0</v>
      </c>
      <c r="L50" s="1059">
        <f t="shared" ref="L50" si="38">+S50+X50+AC50+AH50</f>
        <v>0</v>
      </c>
      <c r="M50" s="1059"/>
      <c r="N50" s="1059"/>
      <c r="O50" s="1059"/>
      <c r="P50" s="1060"/>
      <c r="Q50" s="1059">
        <f t="shared" ref="Q50:Q53" si="39">+ROUND($K50*Q$39,)</f>
        <v>0</v>
      </c>
      <c r="R50" s="1060"/>
      <c r="S50" s="1059"/>
      <c r="T50" s="1059">
        <f t="shared" ref="T50:T53" si="40">+Q50-S50</f>
        <v>0</v>
      </c>
      <c r="U50" s="1059"/>
      <c r="V50" s="1059">
        <f t="shared" ref="V50:V53" si="41">+ROUND($K50*V$39,)</f>
        <v>0</v>
      </c>
      <c r="W50" s="1059"/>
      <c r="X50" s="1059"/>
      <c r="Y50" s="1059">
        <f t="shared" ref="Y50:Y53" si="42">+V50-X50</f>
        <v>0</v>
      </c>
      <c r="Z50" s="1059"/>
      <c r="AA50" s="1059">
        <f t="shared" ref="AA50:AA53" si="43">+ROUND($K50*AA$39,)</f>
        <v>0</v>
      </c>
      <c r="AB50" s="1059"/>
      <c r="AC50" s="1059"/>
      <c r="AD50" s="1059">
        <f t="shared" ref="AD50:AD53" si="44">+AA50-AC50</f>
        <v>0</v>
      </c>
      <c r="AE50" s="1059"/>
      <c r="AF50" s="1059">
        <f t="shared" ref="AF50:AF53" si="45">+ROUND($K50*AF$39,)</f>
        <v>0</v>
      </c>
      <c r="AG50" s="1059"/>
      <c r="AH50" s="1059"/>
      <c r="AI50" s="1059">
        <f t="shared" ref="AI50:AI53" si="46">+AF50-AH50</f>
        <v>0</v>
      </c>
      <c r="AK50" s="320" t="b">
        <f t="shared" si="25"/>
        <v>1</v>
      </c>
    </row>
    <row r="51" spans="2:50">
      <c r="B51" s="1472"/>
      <c r="C51" s="1058">
        <f>+'BT 2HO'!C102</f>
        <v>0</v>
      </c>
      <c r="D51" s="1058">
        <f>+'BT 2HO'!D102</f>
        <v>0</v>
      </c>
      <c r="E51" s="503">
        <v>500000</v>
      </c>
      <c r="F51" s="503"/>
      <c r="G51" s="503"/>
      <c r="H51" s="503"/>
      <c r="I51" s="503"/>
      <c r="J51" s="503"/>
      <c r="K51" s="1059">
        <f t="shared" si="37"/>
        <v>0</v>
      </c>
      <c r="L51" s="1059"/>
      <c r="M51" s="1059"/>
      <c r="N51" s="1059"/>
      <c r="O51" s="1059"/>
      <c r="P51" s="1060"/>
      <c r="Q51" s="1059">
        <f t="shared" si="39"/>
        <v>0</v>
      </c>
      <c r="R51" s="1060"/>
      <c r="S51" s="1059"/>
      <c r="T51" s="1059">
        <f t="shared" si="40"/>
        <v>0</v>
      </c>
      <c r="U51" s="1059"/>
      <c r="V51" s="1059">
        <f t="shared" si="41"/>
        <v>0</v>
      </c>
      <c r="W51" s="1059"/>
      <c r="X51" s="1059"/>
      <c r="Y51" s="1059">
        <f t="shared" si="42"/>
        <v>0</v>
      </c>
      <c r="Z51" s="1059"/>
      <c r="AA51" s="1059">
        <f t="shared" si="43"/>
        <v>0</v>
      </c>
      <c r="AB51" s="1059"/>
      <c r="AC51" s="1059"/>
      <c r="AD51" s="1059">
        <f t="shared" si="44"/>
        <v>0</v>
      </c>
      <c r="AE51" s="1059"/>
      <c r="AF51" s="1059">
        <f t="shared" si="45"/>
        <v>0</v>
      </c>
      <c r="AG51" s="1059"/>
      <c r="AH51" s="1059"/>
      <c r="AI51" s="1059">
        <f t="shared" si="46"/>
        <v>0</v>
      </c>
      <c r="AK51" s="320" t="b">
        <f t="shared" si="25"/>
        <v>1</v>
      </c>
    </row>
    <row r="52" spans="2:50">
      <c r="B52" s="1472"/>
      <c r="C52" s="1058">
        <f>+'BT 2HO'!C107</f>
        <v>0</v>
      </c>
      <c r="D52" s="1058">
        <f>+'BT 2HO'!D107</f>
        <v>0</v>
      </c>
      <c r="E52" s="503">
        <v>500000</v>
      </c>
      <c r="F52" s="503"/>
      <c r="G52" s="503"/>
      <c r="H52" s="503"/>
      <c r="I52" s="503"/>
      <c r="J52" s="503"/>
      <c r="K52" s="1059">
        <f t="shared" si="37"/>
        <v>0</v>
      </c>
      <c r="L52" s="1059"/>
      <c r="M52" s="1059"/>
      <c r="N52" s="1059"/>
      <c r="O52" s="1059"/>
      <c r="P52" s="1060"/>
      <c r="Q52" s="1059">
        <f t="shared" si="39"/>
        <v>0</v>
      </c>
      <c r="R52" s="1060"/>
      <c r="S52" s="1059"/>
      <c r="T52" s="1059">
        <f t="shared" si="40"/>
        <v>0</v>
      </c>
      <c r="U52" s="1059"/>
      <c r="V52" s="1059">
        <f t="shared" si="41"/>
        <v>0</v>
      </c>
      <c r="W52" s="1059"/>
      <c r="X52" s="1059"/>
      <c r="Y52" s="1059">
        <f t="shared" si="42"/>
        <v>0</v>
      </c>
      <c r="Z52" s="1059"/>
      <c r="AA52" s="1059">
        <f t="shared" si="43"/>
        <v>0</v>
      </c>
      <c r="AB52" s="1059"/>
      <c r="AC52" s="1059"/>
      <c r="AD52" s="1059">
        <f t="shared" si="44"/>
        <v>0</v>
      </c>
      <c r="AE52" s="1059"/>
      <c r="AF52" s="1059">
        <f t="shared" si="45"/>
        <v>0</v>
      </c>
      <c r="AG52" s="1059"/>
      <c r="AH52" s="1059"/>
      <c r="AI52" s="1059">
        <f t="shared" si="46"/>
        <v>0</v>
      </c>
      <c r="AK52" s="320" t="b">
        <f t="shared" si="25"/>
        <v>1</v>
      </c>
    </row>
    <row r="53" spans="2:50">
      <c r="B53" s="1472"/>
      <c r="C53" s="1058">
        <f>+'BT 2HO'!C112</f>
        <v>0</v>
      </c>
      <c r="D53" s="1058">
        <f>+'BT 2HO'!D112</f>
        <v>0</v>
      </c>
      <c r="E53" s="503">
        <v>500000</v>
      </c>
      <c r="F53" s="503"/>
      <c r="G53" s="503"/>
      <c r="H53" s="503"/>
      <c r="I53" s="503"/>
      <c r="J53" s="503"/>
      <c r="K53" s="1059">
        <f t="shared" si="37"/>
        <v>0</v>
      </c>
      <c r="L53" s="1059"/>
      <c r="M53" s="1059"/>
      <c r="N53" s="1059"/>
      <c r="O53" s="1059"/>
      <c r="P53" s="1060"/>
      <c r="Q53" s="1059">
        <f t="shared" si="39"/>
        <v>0</v>
      </c>
      <c r="R53" s="1060"/>
      <c r="S53" s="1059"/>
      <c r="T53" s="1059">
        <f t="shared" si="40"/>
        <v>0</v>
      </c>
      <c r="U53" s="1059"/>
      <c r="V53" s="1059">
        <f t="shared" si="41"/>
        <v>0</v>
      </c>
      <c r="W53" s="1059"/>
      <c r="X53" s="1059"/>
      <c r="Y53" s="1059">
        <f t="shared" si="42"/>
        <v>0</v>
      </c>
      <c r="Z53" s="1059"/>
      <c r="AA53" s="1059">
        <f t="shared" si="43"/>
        <v>0</v>
      </c>
      <c r="AB53" s="1059"/>
      <c r="AC53" s="1059"/>
      <c r="AD53" s="1059">
        <f t="shared" si="44"/>
        <v>0</v>
      </c>
      <c r="AE53" s="1059"/>
      <c r="AF53" s="1059">
        <f t="shared" si="45"/>
        <v>0</v>
      </c>
      <c r="AG53" s="1059"/>
      <c r="AH53" s="1059"/>
      <c r="AI53" s="1059">
        <f t="shared" si="46"/>
        <v>0</v>
      </c>
      <c r="AK53" s="320" t="b">
        <f t="shared" si="25"/>
        <v>1</v>
      </c>
    </row>
    <row r="55" spans="2:50" ht="13.5">
      <c r="B55" s="1470" t="s">
        <v>165</v>
      </c>
      <c r="C55" s="1470" t="s">
        <v>715</v>
      </c>
      <c r="D55" s="1473" t="s">
        <v>270</v>
      </c>
      <c r="E55" s="1469" t="s">
        <v>794</v>
      </c>
      <c r="F55" s="1484" t="s">
        <v>606</v>
      </c>
      <c r="G55" s="1466" t="s">
        <v>795</v>
      </c>
      <c r="H55" s="1484" t="s">
        <v>796</v>
      </c>
      <c r="I55" s="1072" t="s">
        <v>797</v>
      </c>
      <c r="J55" s="1466" t="s">
        <v>798</v>
      </c>
      <c r="K55" s="1471" t="s">
        <v>17</v>
      </c>
      <c r="L55" s="1475" t="s">
        <v>716</v>
      </c>
      <c r="M55" s="1482" t="s">
        <v>717</v>
      </c>
      <c r="N55" s="1482" t="s">
        <v>1056</v>
      </c>
      <c r="O55" s="1482" t="s">
        <v>1057</v>
      </c>
      <c r="P55" s="1471" t="s">
        <v>718</v>
      </c>
      <c r="Q55" s="1471"/>
      <c r="R55" s="1471"/>
      <c r="S55" s="1471"/>
      <c r="T55" s="1471"/>
      <c r="U55" s="1471" t="s">
        <v>719</v>
      </c>
      <c r="V55" s="1471"/>
      <c r="W55" s="1471"/>
      <c r="X55" s="1471"/>
      <c r="Y55" s="1471"/>
      <c r="Z55" s="1471" t="s">
        <v>370</v>
      </c>
      <c r="AA55" s="1471"/>
      <c r="AB55" s="1471"/>
      <c r="AC55" s="1471"/>
      <c r="AD55" s="1471"/>
      <c r="AE55" s="1471" t="s">
        <v>371</v>
      </c>
      <c r="AF55" s="1471"/>
      <c r="AG55" s="1471"/>
      <c r="AH55" s="1471"/>
      <c r="AI55" s="1471"/>
    </row>
    <row r="56" spans="2:50" ht="13.5">
      <c r="B56" s="1470"/>
      <c r="C56" s="1470"/>
      <c r="D56" s="1473"/>
      <c r="E56" s="1469"/>
      <c r="F56" s="1485"/>
      <c r="G56" s="1467"/>
      <c r="H56" s="1485"/>
      <c r="I56" s="1073">
        <v>0.02</v>
      </c>
      <c r="J56" s="1467"/>
      <c r="K56" s="1471"/>
      <c r="L56" s="1476"/>
      <c r="M56" s="1483"/>
      <c r="N56" s="1483"/>
      <c r="O56" s="1483"/>
      <c r="P56" s="1061" t="s">
        <v>188</v>
      </c>
      <c r="Q56" s="1062">
        <v>0.2</v>
      </c>
      <c r="R56" s="1061" t="s">
        <v>188</v>
      </c>
      <c r="S56" s="1063" t="s">
        <v>720</v>
      </c>
      <c r="T56" s="1063" t="s">
        <v>721</v>
      </c>
      <c r="U56" s="1061" t="s">
        <v>188</v>
      </c>
      <c r="V56" s="1062">
        <v>0.2</v>
      </c>
      <c r="W56" s="1061" t="s">
        <v>188</v>
      </c>
      <c r="X56" s="1063" t="s">
        <v>720</v>
      </c>
      <c r="Y56" s="1063" t="s">
        <v>721</v>
      </c>
      <c r="Z56" s="1061" t="s">
        <v>188</v>
      </c>
      <c r="AA56" s="1062">
        <v>0.5</v>
      </c>
      <c r="AB56" s="1061" t="s">
        <v>188</v>
      </c>
      <c r="AC56" s="1063" t="s">
        <v>720</v>
      </c>
      <c r="AD56" s="1063" t="s">
        <v>721</v>
      </c>
      <c r="AE56" s="1061" t="s">
        <v>188</v>
      </c>
      <c r="AF56" s="1062">
        <v>0.1</v>
      </c>
      <c r="AG56" s="1061" t="s">
        <v>188</v>
      </c>
      <c r="AH56" s="1063" t="s">
        <v>720</v>
      </c>
      <c r="AI56" s="1063" t="s">
        <v>721</v>
      </c>
    </row>
    <row r="57" spans="2:50">
      <c r="B57" s="1472" t="s">
        <v>743</v>
      </c>
      <c r="C57" s="1057"/>
      <c r="D57" s="1058">
        <f>+SUM(D58:D71)</f>
        <v>2877.38</v>
      </c>
      <c r="E57" s="503"/>
      <c r="F57" s="503"/>
      <c r="G57" s="503"/>
      <c r="H57" s="503"/>
      <c r="I57" s="503"/>
      <c r="J57" s="503"/>
      <c r="K57" s="1059">
        <f>+SUM(K58:K71)</f>
        <v>1582559000</v>
      </c>
      <c r="L57" s="1059">
        <f>+SUM(L58:L71)</f>
        <v>47583800</v>
      </c>
      <c r="M57" s="1059">
        <f t="shared" ref="M57" si="47">+SUM(M58:M71)</f>
        <v>47583800</v>
      </c>
      <c r="N57" s="1059"/>
      <c r="O57" s="1059"/>
      <c r="P57" s="1060"/>
      <c r="Q57" s="1059">
        <f>+SUM(Q58:Q71)</f>
        <v>316511800</v>
      </c>
      <c r="R57" s="1060"/>
      <c r="S57" s="1059">
        <f>+SUM(S58:S71)</f>
        <v>47583800</v>
      </c>
      <c r="T57" s="1059">
        <f>+SUM(T58:T71)</f>
        <v>268928000</v>
      </c>
      <c r="U57" s="1059"/>
      <c r="V57" s="1059">
        <f t="shared" ref="V57" si="48">+SUM(V58:V71)</f>
        <v>316511800</v>
      </c>
      <c r="W57" s="1059"/>
      <c r="X57" s="1059"/>
      <c r="Y57" s="1059">
        <f>+SUM(Y58:Y71)</f>
        <v>316511800</v>
      </c>
      <c r="Z57" s="1059"/>
      <c r="AA57" s="1059">
        <f t="shared" ref="AA57" si="49">+SUM(AA58:AA71)</f>
        <v>791279500</v>
      </c>
      <c r="AB57" s="1059"/>
      <c r="AC57" s="1059"/>
      <c r="AD57" s="1059">
        <f>+SUM(AD58:AD71)</f>
        <v>791279500</v>
      </c>
      <c r="AE57" s="1059"/>
      <c r="AF57" s="1059">
        <f t="shared" ref="AF57" si="50">+SUM(AF58:AF71)</f>
        <v>158255900</v>
      </c>
      <c r="AG57" s="1059"/>
      <c r="AH57" s="1059"/>
      <c r="AI57" s="1059">
        <f>+SUM(AI58:AI71)</f>
        <v>158255900</v>
      </c>
      <c r="AK57" s="320" t="b">
        <f t="shared" ref="AK57:AK71" si="51">+K57=Q57+V57+AA57+AF57</f>
        <v>1</v>
      </c>
    </row>
    <row r="58" spans="2:50" s="1071" customFormat="1">
      <c r="B58" s="1472"/>
      <c r="C58" s="1067" t="s">
        <v>802</v>
      </c>
      <c r="D58" s="1067">
        <f>+'BT 6HO'!D11</f>
        <v>150</v>
      </c>
      <c r="E58" s="1068">
        <v>500000</v>
      </c>
      <c r="F58" s="1068"/>
      <c r="G58" s="1068"/>
      <c r="H58" s="1068"/>
      <c r="I58" s="1068"/>
      <c r="J58" s="1068"/>
      <c r="K58" s="1064">
        <f>+E58*D58*1.1</f>
        <v>82500000</v>
      </c>
      <c r="L58" s="1064">
        <f t="shared" ref="L58:L65" si="52">+S58+X58+AC58+AH58</f>
        <v>16500000</v>
      </c>
      <c r="M58" s="1064">
        <f>+L58</f>
        <v>16500000</v>
      </c>
      <c r="N58" s="1064"/>
      <c r="O58" s="1064"/>
      <c r="P58" s="1069">
        <f>+'BT 6HO'!N12</f>
        <v>45631</v>
      </c>
      <c r="Q58" s="1064">
        <f>+ROUND($K58*Q$56,)</f>
        <v>16500000</v>
      </c>
      <c r="R58" s="1069">
        <f>+'BT 6HO'!O12</f>
        <v>45631</v>
      </c>
      <c r="S58" s="1064">
        <f>+'BT 6HO'!R12+'BT 6HO'!R13</f>
        <v>16500000</v>
      </c>
      <c r="T58" s="1064">
        <f>+Q58-S58</f>
        <v>0</v>
      </c>
      <c r="U58" s="1064"/>
      <c r="V58" s="1064">
        <f>+ROUND($K58*V$56,)</f>
        <v>16500000</v>
      </c>
      <c r="W58" s="1064"/>
      <c r="X58" s="1064"/>
      <c r="Y58" s="1064">
        <f>+V58-X58</f>
        <v>16500000</v>
      </c>
      <c r="Z58" s="1064"/>
      <c r="AA58" s="1064">
        <f>+ROUND($K58*AA$56,)</f>
        <v>41250000</v>
      </c>
      <c r="AB58" s="1064"/>
      <c r="AC58" s="1064"/>
      <c r="AD58" s="1064">
        <f>+AA58-AC58</f>
        <v>41250000</v>
      </c>
      <c r="AE58" s="1064"/>
      <c r="AF58" s="1064">
        <f>+ROUND($K58*AF$56,)</f>
        <v>8250000</v>
      </c>
      <c r="AG58" s="1064"/>
      <c r="AH58" s="1064"/>
      <c r="AI58" s="1064">
        <f>+AF58-AH58</f>
        <v>8250000</v>
      </c>
      <c r="AJ58" s="1070"/>
      <c r="AK58" s="1070" t="b">
        <f t="shared" si="51"/>
        <v>1</v>
      </c>
      <c r="AL58" s="1070"/>
      <c r="AM58" s="1070"/>
      <c r="AN58" s="1070"/>
      <c r="AO58" s="1070"/>
      <c r="AP58" s="1070"/>
      <c r="AQ58" s="1070"/>
      <c r="AR58" s="1070"/>
      <c r="AS58" s="1070"/>
      <c r="AT58" s="1070"/>
      <c r="AU58" s="1070"/>
      <c r="AV58" s="1070"/>
      <c r="AW58" s="1070"/>
      <c r="AX58" s="1070"/>
    </row>
    <row r="59" spans="2:50" s="1071" customFormat="1">
      <c r="B59" s="1472"/>
      <c r="C59" s="1067" t="s">
        <v>745</v>
      </c>
      <c r="D59" s="1067">
        <f>+'BT 6HO'!D16</f>
        <v>144.15</v>
      </c>
      <c r="E59" s="1068">
        <v>500000</v>
      </c>
      <c r="F59" s="1068"/>
      <c r="G59" s="1068"/>
      <c r="H59" s="1068"/>
      <c r="I59" s="1068"/>
      <c r="J59" s="1068"/>
      <c r="K59" s="1064">
        <f t="shared" ref="K59:K71" si="53">+E59*D59*1.1</f>
        <v>79282500</v>
      </c>
      <c r="L59" s="1064">
        <f t="shared" si="52"/>
        <v>15856500</v>
      </c>
      <c r="M59" s="1064">
        <f>+L59</f>
        <v>15856500</v>
      </c>
      <c r="N59" s="1064"/>
      <c r="O59" s="1064"/>
      <c r="P59" s="1069">
        <f>+'BT 6HO'!N17</f>
        <v>45631</v>
      </c>
      <c r="Q59" s="1064">
        <f t="shared" ref="Q59:Q71" si="54">+ROUND($K59*Q$56,)</f>
        <v>15856500</v>
      </c>
      <c r="R59" s="1069">
        <f>+'BT 6HO'!O17</f>
        <v>45631</v>
      </c>
      <c r="S59" s="1064">
        <f>+'BT 6HO'!R17+'BT 6HO'!R18</f>
        <v>15856500</v>
      </c>
      <c r="T59" s="1064">
        <f t="shared" ref="T59:T71" si="55">+Q59-S59</f>
        <v>0</v>
      </c>
      <c r="U59" s="1064"/>
      <c r="V59" s="1064">
        <f t="shared" ref="V59:V71" si="56">+ROUND($K59*V$56,)</f>
        <v>15856500</v>
      </c>
      <c r="W59" s="1064"/>
      <c r="X59" s="1064"/>
      <c r="Y59" s="1064">
        <f t="shared" ref="Y59:Y71" si="57">+V59-X59</f>
        <v>15856500</v>
      </c>
      <c r="Z59" s="1064"/>
      <c r="AA59" s="1064">
        <f t="shared" ref="AA59:AA71" si="58">+ROUND($K59*AA$56,)</f>
        <v>39641250</v>
      </c>
      <c r="AB59" s="1064"/>
      <c r="AC59" s="1064"/>
      <c r="AD59" s="1064">
        <f t="shared" ref="AD59:AD71" si="59">+AA59-AC59</f>
        <v>39641250</v>
      </c>
      <c r="AE59" s="1064"/>
      <c r="AF59" s="1064">
        <f t="shared" ref="AF59:AF71" si="60">+ROUND($K59*AF$56,)</f>
        <v>7928250</v>
      </c>
      <c r="AG59" s="1064"/>
      <c r="AH59" s="1064"/>
      <c r="AI59" s="1064">
        <f t="shared" ref="AI59:AI71" si="61">+AF59-AH59</f>
        <v>7928250</v>
      </c>
      <c r="AJ59" s="1070"/>
      <c r="AK59" s="1070" t="b">
        <f t="shared" si="51"/>
        <v>1</v>
      </c>
      <c r="AL59" s="1070"/>
      <c r="AM59" s="1070"/>
      <c r="AN59" s="1070"/>
      <c r="AO59" s="1070"/>
      <c r="AP59" s="1070"/>
      <c r="AQ59" s="1070"/>
      <c r="AR59" s="1070"/>
      <c r="AS59" s="1070"/>
      <c r="AT59" s="1070"/>
      <c r="AU59" s="1070"/>
      <c r="AV59" s="1070"/>
      <c r="AW59" s="1070"/>
      <c r="AX59" s="1070"/>
    </row>
    <row r="60" spans="2:50" s="1071" customFormat="1">
      <c r="B60" s="1472"/>
      <c r="C60" s="1067" t="s">
        <v>746</v>
      </c>
      <c r="D60" s="1067">
        <f>+'BT 6HO'!D21</f>
        <v>138.43</v>
      </c>
      <c r="E60" s="1068">
        <v>500000</v>
      </c>
      <c r="F60" s="1068"/>
      <c r="G60" s="1068"/>
      <c r="H60" s="1068"/>
      <c r="I60" s="1068"/>
      <c r="J60" s="1068"/>
      <c r="K60" s="1064">
        <f t="shared" si="53"/>
        <v>76136500</v>
      </c>
      <c r="L60" s="1064">
        <f t="shared" si="52"/>
        <v>15227300</v>
      </c>
      <c r="M60" s="1064">
        <f>+L60</f>
        <v>15227300</v>
      </c>
      <c r="N60" s="1064"/>
      <c r="O60" s="1064"/>
      <c r="P60" s="1069">
        <f>+'BT 6HO'!N22</f>
        <v>45631</v>
      </c>
      <c r="Q60" s="1064">
        <f t="shared" si="54"/>
        <v>15227300</v>
      </c>
      <c r="R60" s="1069">
        <f>+'BT 6HO'!O22</f>
        <v>45631</v>
      </c>
      <c r="S60" s="1064">
        <f>+'BT 6HO'!R22+'BT 6HO'!R23</f>
        <v>15227300</v>
      </c>
      <c r="T60" s="1064">
        <f t="shared" si="55"/>
        <v>0</v>
      </c>
      <c r="U60" s="1064"/>
      <c r="V60" s="1064">
        <f t="shared" si="56"/>
        <v>15227300</v>
      </c>
      <c r="W60" s="1064"/>
      <c r="X60" s="1064"/>
      <c r="Y60" s="1064">
        <f t="shared" si="57"/>
        <v>15227300</v>
      </c>
      <c r="Z60" s="1064"/>
      <c r="AA60" s="1064">
        <f t="shared" si="58"/>
        <v>38068250</v>
      </c>
      <c r="AB60" s="1064"/>
      <c r="AC60" s="1064"/>
      <c r="AD60" s="1064">
        <f t="shared" si="59"/>
        <v>38068250</v>
      </c>
      <c r="AE60" s="1064"/>
      <c r="AF60" s="1064">
        <f t="shared" si="60"/>
        <v>7613650</v>
      </c>
      <c r="AG60" s="1064"/>
      <c r="AH60" s="1064"/>
      <c r="AI60" s="1064">
        <f t="shared" si="61"/>
        <v>7613650</v>
      </c>
      <c r="AJ60" s="1070"/>
      <c r="AK60" s="1070" t="b">
        <f t="shared" si="51"/>
        <v>1</v>
      </c>
      <c r="AL60" s="1070"/>
      <c r="AM60" s="1070"/>
      <c r="AN60" s="1070"/>
      <c r="AO60" s="1070"/>
      <c r="AP60" s="1070"/>
      <c r="AQ60" s="1070"/>
      <c r="AR60" s="1070"/>
      <c r="AS60" s="1070"/>
      <c r="AT60" s="1070"/>
      <c r="AU60" s="1070"/>
      <c r="AV60" s="1070"/>
      <c r="AW60" s="1070"/>
      <c r="AX60" s="1070"/>
    </row>
    <row r="61" spans="2:50">
      <c r="B61" s="1472"/>
      <c r="C61" s="1058" t="s">
        <v>747</v>
      </c>
      <c r="D61" s="1058">
        <f>+'BT 6HO'!D26</f>
        <v>2444.8000000000002</v>
      </c>
      <c r="E61" s="503">
        <v>500000</v>
      </c>
      <c r="F61" s="503"/>
      <c r="G61" s="503"/>
      <c r="H61" s="503"/>
      <c r="I61" s="503"/>
      <c r="J61" s="503"/>
      <c r="K61" s="1059">
        <f t="shared" si="53"/>
        <v>1344640000</v>
      </c>
      <c r="L61" s="1059">
        <f t="shared" si="52"/>
        <v>0</v>
      </c>
      <c r="M61" s="1059"/>
      <c r="N61" s="1059"/>
      <c r="O61" s="1059"/>
      <c r="P61" s="1060"/>
      <c r="Q61" s="1059">
        <f t="shared" si="54"/>
        <v>268928000</v>
      </c>
      <c r="R61" s="1060"/>
      <c r="S61" s="1059"/>
      <c r="T61" s="1059">
        <f t="shared" si="55"/>
        <v>268928000</v>
      </c>
      <c r="U61" s="1059"/>
      <c r="V61" s="1059">
        <f t="shared" si="56"/>
        <v>268928000</v>
      </c>
      <c r="W61" s="1059"/>
      <c r="X61" s="1059"/>
      <c r="Y61" s="1059">
        <f t="shared" si="57"/>
        <v>268928000</v>
      </c>
      <c r="Z61" s="1059"/>
      <c r="AA61" s="1059">
        <f t="shared" si="58"/>
        <v>672320000</v>
      </c>
      <c r="AB61" s="1059"/>
      <c r="AC61" s="1059"/>
      <c r="AD61" s="1059">
        <f t="shared" si="59"/>
        <v>672320000</v>
      </c>
      <c r="AE61" s="1059"/>
      <c r="AF61" s="1059">
        <f t="shared" si="60"/>
        <v>134464000</v>
      </c>
      <c r="AG61" s="1059"/>
      <c r="AH61" s="1059"/>
      <c r="AI61" s="1059">
        <f t="shared" si="61"/>
        <v>134464000</v>
      </c>
      <c r="AK61" s="320" t="b">
        <f t="shared" si="51"/>
        <v>1</v>
      </c>
    </row>
    <row r="62" spans="2:50">
      <c r="B62" s="1472"/>
      <c r="C62" s="1058">
        <f>+'BT 2HO'!C85</f>
        <v>0</v>
      </c>
      <c r="D62" s="1058">
        <f>+'BT 2HO'!D85</f>
        <v>0</v>
      </c>
      <c r="E62" s="503">
        <v>500000</v>
      </c>
      <c r="F62" s="503"/>
      <c r="G62" s="503"/>
      <c r="H62" s="503"/>
      <c r="I62" s="503"/>
      <c r="J62" s="503"/>
      <c r="K62" s="1059">
        <f t="shared" si="53"/>
        <v>0</v>
      </c>
      <c r="L62" s="1059">
        <f t="shared" si="52"/>
        <v>0</v>
      </c>
      <c r="M62" s="1059"/>
      <c r="N62" s="1059"/>
      <c r="O62" s="1059"/>
      <c r="P62" s="1060"/>
      <c r="Q62" s="1059">
        <f t="shared" si="54"/>
        <v>0</v>
      </c>
      <c r="R62" s="1060"/>
      <c r="S62" s="1059"/>
      <c r="T62" s="1059">
        <f t="shared" si="55"/>
        <v>0</v>
      </c>
      <c r="U62" s="1059"/>
      <c r="V62" s="1059">
        <f t="shared" si="56"/>
        <v>0</v>
      </c>
      <c r="W62" s="1059"/>
      <c r="X62" s="1059"/>
      <c r="Y62" s="1059">
        <f t="shared" si="57"/>
        <v>0</v>
      </c>
      <c r="Z62" s="1059"/>
      <c r="AA62" s="1059">
        <f t="shared" si="58"/>
        <v>0</v>
      </c>
      <c r="AB62" s="1059"/>
      <c r="AC62" s="1059"/>
      <c r="AD62" s="1059">
        <f t="shared" si="59"/>
        <v>0</v>
      </c>
      <c r="AE62" s="1059"/>
      <c r="AF62" s="1059">
        <f t="shared" si="60"/>
        <v>0</v>
      </c>
      <c r="AG62" s="1059"/>
      <c r="AH62" s="1059"/>
      <c r="AI62" s="1059">
        <f t="shared" si="61"/>
        <v>0</v>
      </c>
      <c r="AK62" s="320" t="b">
        <f t="shared" si="51"/>
        <v>1</v>
      </c>
    </row>
    <row r="63" spans="2:50">
      <c r="B63" s="1472"/>
      <c r="C63" s="1058">
        <f>+'BT 2HO'!C90</f>
        <v>0</v>
      </c>
      <c r="D63" s="1058">
        <f>+'BT 2HO'!D90</f>
        <v>0</v>
      </c>
      <c r="E63" s="503">
        <v>500000</v>
      </c>
      <c r="F63" s="503"/>
      <c r="G63" s="503"/>
      <c r="H63" s="503"/>
      <c r="I63" s="503"/>
      <c r="J63" s="503"/>
      <c r="K63" s="1059">
        <f t="shared" si="53"/>
        <v>0</v>
      </c>
      <c r="L63" s="1059">
        <f t="shared" si="52"/>
        <v>0</v>
      </c>
      <c r="M63" s="1059"/>
      <c r="N63" s="1059"/>
      <c r="O63" s="1059"/>
      <c r="P63" s="1060"/>
      <c r="Q63" s="1059">
        <f t="shared" si="54"/>
        <v>0</v>
      </c>
      <c r="R63" s="1060"/>
      <c r="S63" s="1059"/>
      <c r="T63" s="1059">
        <f t="shared" si="55"/>
        <v>0</v>
      </c>
      <c r="U63" s="1059"/>
      <c r="V63" s="1059">
        <f t="shared" si="56"/>
        <v>0</v>
      </c>
      <c r="W63" s="1059"/>
      <c r="X63" s="1059"/>
      <c r="Y63" s="1059">
        <f t="shared" si="57"/>
        <v>0</v>
      </c>
      <c r="Z63" s="1059"/>
      <c r="AA63" s="1059">
        <f t="shared" si="58"/>
        <v>0</v>
      </c>
      <c r="AB63" s="1059"/>
      <c r="AC63" s="1059"/>
      <c r="AD63" s="1059">
        <f t="shared" si="59"/>
        <v>0</v>
      </c>
      <c r="AE63" s="1059"/>
      <c r="AF63" s="1059">
        <f t="shared" si="60"/>
        <v>0</v>
      </c>
      <c r="AG63" s="1059"/>
      <c r="AH63" s="1059"/>
      <c r="AI63" s="1059">
        <f t="shared" si="61"/>
        <v>0</v>
      </c>
      <c r="AK63" s="320" t="b">
        <f t="shared" si="51"/>
        <v>1</v>
      </c>
    </row>
    <row r="64" spans="2:50">
      <c r="B64" s="1472"/>
      <c r="C64" s="1058">
        <f>+'BT 2HO'!C95</f>
        <v>0</v>
      </c>
      <c r="D64" s="1058">
        <f>+'BT 2HO'!D95</f>
        <v>0</v>
      </c>
      <c r="E64" s="503">
        <v>500000</v>
      </c>
      <c r="F64" s="503"/>
      <c r="G64" s="503"/>
      <c r="H64" s="503"/>
      <c r="I64" s="503"/>
      <c r="J64" s="503"/>
      <c r="K64" s="1059">
        <f t="shared" si="53"/>
        <v>0</v>
      </c>
      <c r="L64" s="1059">
        <f t="shared" si="52"/>
        <v>0</v>
      </c>
      <c r="M64" s="1059"/>
      <c r="N64" s="1059"/>
      <c r="O64" s="1059"/>
      <c r="P64" s="1060"/>
      <c r="Q64" s="1059">
        <f t="shared" si="54"/>
        <v>0</v>
      </c>
      <c r="R64" s="1060"/>
      <c r="S64" s="1059"/>
      <c r="T64" s="1059">
        <f t="shared" si="55"/>
        <v>0</v>
      </c>
      <c r="U64" s="1059"/>
      <c r="V64" s="1059">
        <f t="shared" si="56"/>
        <v>0</v>
      </c>
      <c r="W64" s="1059"/>
      <c r="X64" s="1059"/>
      <c r="Y64" s="1059">
        <f t="shared" si="57"/>
        <v>0</v>
      </c>
      <c r="Z64" s="1059"/>
      <c r="AA64" s="1059">
        <f t="shared" si="58"/>
        <v>0</v>
      </c>
      <c r="AB64" s="1059"/>
      <c r="AC64" s="1059"/>
      <c r="AD64" s="1059">
        <f t="shared" si="59"/>
        <v>0</v>
      </c>
      <c r="AE64" s="1059"/>
      <c r="AF64" s="1059">
        <f t="shared" si="60"/>
        <v>0</v>
      </c>
      <c r="AG64" s="1059"/>
      <c r="AH64" s="1059"/>
      <c r="AI64" s="1059">
        <f t="shared" si="61"/>
        <v>0</v>
      </c>
      <c r="AK64" s="320" t="b">
        <f t="shared" si="51"/>
        <v>1</v>
      </c>
    </row>
    <row r="65" spans="2:50">
      <c r="B65" s="1472"/>
      <c r="C65" s="1058">
        <f>+'BT 2HO'!C100</f>
        <v>0</v>
      </c>
      <c r="D65" s="1058">
        <f>+'BT 2HO'!D100</f>
        <v>0</v>
      </c>
      <c r="E65" s="503">
        <v>500000</v>
      </c>
      <c r="F65" s="503"/>
      <c r="G65" s="503"/>
      <c r="H65" s="503"/>
      <c r="I65" s="503"/>
      <c r="J65" s="503"/>
      <c r="K65" s="1059">
        <f t="shared" si="53"/>
        <v>0</v>
      </c>
      <c r="L65" s="1059">
        <f t="shared" si="52"/>
        <v>0</v>
      </c>
      <c r="M65" s="1059"/>
      <c r="N65" s="1059"/>
      <c r="O65" s="1059"/>
      <c r="P65" s="1060"/>
      <c r="Q65" s="1059">
        <f t="shared" si="54"/>
        <v>0</v>
      </c>
      <c r="R65" s="1060"/>
      <c r="S65" s="1059"/>
      <c r="T65" s="1059">
        <f t="shared" si="55"/>
        <v>0</v>
      </c>
      <c r="U65" s="1059"/>
      <c r="V65" s="1059">
        <f t="shared" si="56"/>
        <v>0</v>
      </c>
      <c r="W65" s="1059"/>
      <c r="X65" s="1059"/>
      <c r="Y65" s="1059">
        <f t="shared" si="57"/>
        <v>0</v>
      </c>
      <c r="Z65" s="1059"/>
      <c r="AA65" s="1059">
        <f t="shared" si="58"/>
        <v>0</v>
      </c>
      <c r="AB65" s="1059"/>
      <c r="AC65" s="1059"/>
      <c r="AD65" s="1059">
        <f t="shared" si="59"/>
        <v>0</v>
      </c>
      <c r="AE65" s="1059"/>
      <c r="AF65" s="1059">
        <f t="shared" si="60"/>
        <v>0</v>
      </c>
      <c r="AG65" s="1059"/>
      <c r="AH65" s="1059"/>
      <c r="AI65" s="1059">
        <f t="shared" si="61"/>
        <v>0</v>
      </c>
      <c r="AK65" s="320" t="b">
        <f t="shared" si="51"/>
        <v>1</v>
      </c>
    </row>
    <row r="66" spans="2:50">
      <c r="B66" s="1472"/>
      <c r="C66" s="1058">
        <f>+'BT 2HO'!C105</f>
        <v>0</v>
      </c>
      <c r="D66" s="1058">
        <f>+'BT 2HO'!D105</f>
        <v>0</v>
      </c>
      <c r="E66" s="503">
        <v>500000</v>
      </c>
      <c r="F66" s="503"/>
      <c r="G66" s="503"/>
      <c r="H66" s="503"/>
      <c r="I66" s="503"/>
      <c r="J66" s="503"/>
      <c r="K66" s="1059">
        <f t="shared" si="53"/>
        <v>0</v>
      </c>
      <c r="L66" s="1059"/>
      <c r="M66" s="1059"/>
      <c r="N66" s="1059"/>
      <c r="O66" s="1059"/>
      <c r="P66" s="1060"/>
      <c r="Q66" s="1059">
        <f t="shared" si="54"/>
        <v>0</v>
      </c>
      <c r="R66" s="1060"/>
      <c r="S66" s="1059"/>
      <c r="T66" s="1059">
        <f t="shared" si="55"/>
        <v>0</v>
      </c>
      <c r="U66" s="1059"/>
      <c r="V66" s="1059">
        <f t="shared" si="56"/>
        <v>0</v>
      </c>
      <c r="W66" s="1059"/>
      <c r="X66" s="1059"/>
      <c r="Y66" s="1059">
        <f t="shared" si="57"/>
        <v>0</v>
      </c>
      <c r="Z66" s="1059"/>
      <c r="AA66" s="1059">
        <f t="shared" si="58"/>
        <v>0</v>
      </c>
      <c r="AB66" s="1059"/>
      <c r="AC66" s="1059"/>
      <c r="AD66" s="1059">
        <f t="shared" si="59"/>
        <v>0</v>
      </c>
      <c r="AE66" s="1059"/>
      <c r="AF66" s="1059">
        <f t="shared" si="60"/>
        <v>0</v>
      </c>
      <c r="AG66" s="1059"/>
      <c r="AH66" s="1059"/>
      <c r="AI66" s="1059">
        <f t="shared" si="61"/>
        <v>0</v>
      </c>
      <c r="AK66" s="320" t="b">
        <f t="shared" si="51"/>
        <v>1</v>
      </c>
    </row>
    <row r="67" spans="2:50">
      <c r="B67" s="1472"/>
      <c r="C67" s="1058">
        <f>+'BT 2HO'!C110</f>
        <v>0</v>
      </c>
      <c r="D67" s="1058">
        <f>+'BT 2HO'!D110</f>
        <v>0</v>
      </c>
      <c r="E67" s="503">
        <v>500000</v>
      </c>
      <c r="F67" s="503"/>
      <c r="G67" s="503"/>
      <c r="H67" s="503"/>
      <c r="I67" s="503"/>
      <c r="J67" s="503"/>
      <c r="K67" s="1059">
        <f t="shared" si="53"/>
        <v>0</v>
      </c>
      <c r="L67" s="1059"/>
      <c r="M67" s="1059"/>
      <c r="N67" s="1059"/>
      <c r="O67" s="1059"/>
      <c r="P67" s="1060"/>
      <c r="Q67" s="1059">
        <f t="shared" si="54"/>
        <v>0</v>
      </c>
      <c r="R67" s="1060"/>
      <c r="S67" s="1059"/>
      <c r="T67" s="1059">
        <f t="shared" si="55"/>
        <v>0</v>
      </c>
      <c r="U67" s="1059"/>
      <c r="V67" s="1059">
        <f t="shared" si="56"/>
        <v>0</v>
      </c>
      <c r="W67" s="1059"/>
      <c r="X67" s="1059"/>
      <c r="Y67" s="1059">
        <f t="shared" si="57"/>
        <v>0</v>
      </c>
      <c r="Z67" s="1059"/>
      <c r="AA67" s="1059">
        <f t="shared" si="58"/>
        <v>0</v>
      </c>
      <c r="AB67" s="1059"/>
      <c r="AC67" s="1059"/>
      <c r="AD67" s="1059">
        <f t="shared" si="59"/>
        <v>0</v>
      </c>
      <c r="AE67" s="1059"/>
      <c r="AF67" s="1059">
        <f t="shared" si="60"/>
        <v>0</v>
      </c>
      <c r="AG67" s="1059"/>
      <c r="AH67" s="1059"/>
      <c r="AI67" s="1059">
        <f t="shared" si="61"/>
        <v>0</v>
      </c>
      <c r="AK67" s="320" t="b">
        <f t="shared" si="51"/>
        <v>1</v>
      </c>
    </row>
    <row r="68" spans="2:50">
      <c r="B68" s="1472"/>
      <c r="C68" s="1058">
        <f>+'BT 2HO'!C115</f>
        <v>0</v>
      </c>
      <c r="D68" s="1058">
        <f>+'BT 2HO'!D115</f>
        <v>0</v>
      </c>
      <c r="E68" s="503">
        <v>500000</v>
      </c>
      <c r="F68" s="503"/>
      <c r="G68" s="503"/>
      <c r="H68" s="503"/>
      <c r="I68" s="503"/>
      <c r="J68" s="503"/>
      <c r="K68" s="1059">
        <f t="shared" si="53"/>
        <v>0</v>
      </c>
      <c r="L68" s="1059"/>
      <c r="M68" s="1059"/>
      <c r="N68" s="1059"/>
      <c r="O68" s="1059"/>
      <c r="P68" s="1060"/>
      <c r="Q68" s="1059">
        <f t="shared" si="54"/>
        <v>0</v>
      </c>
      <c r="R68" s="1060"/>
      <c r="S68" s="1059"/>
      <c r="T68" s="1059">
        <f t="shared" si="55"/>
        <v>0</v>
      </c>
      <c r="U68" s="1059"/>
      <c r="V68" s="1059">
        <f t="shared" si="56"/>
        <v>0</v>
      </c>
      <c r="W68" s="1059"/>
      <c r="X68" s="1059"/>
      <c r="Y68" s="1059">
        <f t="shared" si="57"/>
        <v>0</v>
      </c>
      <c r="Z68" s="1059"/>
      <c r="AA68" s="1059">
        <f t="shared" si="58"/>
        <v>0</v>
      </c>
      <c r="AB68" s="1059"/>
      <c r="AC68" s="1059"/>
      <c r="AD68" s="1059">
        <f t="shared" si="59"/>
        <v>0</v>
      </c>
      <c r="AE68" s="1059"/>
      <c r="AF68" s="1059">
        <f t="shared" si="60"/>
        <v>0</v>
      </c>
      <c r="AG68" s="1059"/>
      <c r="AH68" s="1059"/>
      <c r="AI68" s="1059">
        <f t="shared" si="61"/>
        <v>0</v>
      </c>
      <c r="AK68" s="320" t="b">
        <f t="shared" si="51"/>
        <v>1</v>
      </c>
    </row>
    <row r="69" spans="2:50">
      <c r="B69" s="1472"/>
      <c r="C69" s="1058">
        <f>+'BT 2HO'!C120</f>
        <v>0</v>
      </c>
      <c r="D69" s="1058">
        <f>+'BT 2HO'!D120</f>
        <v>0</v>
      </c>
      <c r="E69" s="503">
        <v>500000</v>
      </c>
      <c r="F69" s="503"/>
      <c r="G69" s="503"/>
      <c r="H69" s="503"/>
      <c r="I69" s="503"/>
      <c r="J69" s="503"/>
      <c r="K69" s="1059">
        <f t="shared" si="53"/>
        <v>0</v>
      </c>
      <c r="L69" s="1059"/>
      <c r="M69" s="1059"/>
      <c r="N69" s="1059"/>
      <c r="O69" s="1059"/>
      <c r="P69" s="1060"/>
      <c r="Q69" s="1059">
        <f t="shared" si="54"/>
        <v>0</v>
      </c>
      <c r="R69" s="1060"/>
      <c r="S69" s="1059"/>
      <c r="T69" s="1059">
        <f t="shared" si="55"/>
        <v>0</v>
      </c>
      <c r="U69" s="1059"/>
      <c r="V69" s="1059">
        <f t="shared" si="56"/>
        <v>0</v>
      </c>
      <c r="W69" s="1059"/>
      <c r="X69" s="1059"/>
      <c r="Y69" s="1059">
        <f t="shared" si="57"/>
        <v>0</v>
      </c>
      <c r="Z69" s="1059"/>
      <c r="AA69" s="1059">
        <f t="shared" si="58"/>
        <v>0</v>
      </c>
      <c r="AB69" s="1059"/>
      <c r="AC69" s="1059"/>
      <c r="AD69" s="1059">
        <f t="shared" si="59"/>
        <v>0</v>
      </c>
      <c r="AE69" s="1059"/>
      <c r="AF69" s="1059">
        <f t="shared" si="60"/>
        <v>0</v>
      </c>
      <c r="AG69" s="1059"/>
      <c r="AH69" s="1059"/>
      <c r="AI69" s="1059">
        <f t="shared" si="61"/>
        <v>0</v>
      </c>
      <c r="AK69" s="320" t="b">
        <f t="shared" si="51"/>
        <v>1</v>
      </c>
    </row>
    <row r="70" spans="2:50">
      <c r="B70" s="1472"/>
      <c r="C70" s="1058">
        <f>+'BT 2HO'!C125</f>
        <v>0</v>
      </c>
      <c r="D70" s="1058">
        <f>+'BT 2HO'!D125</f>
        <v>0</v>
      </c>
      <c r="E70" s="503">
        <v>500000</v>
      </c>
      <c r="F70" s="503"/>
      <c r="G70" s="503"/>
      <c r="H70" s="503"/>
      <c r="I70" s="503"/>
      <c r="J70" s="503"/>
      <c r="K70" s="1059">
        <f t="shared" si="53"/>
        <v>0</v>
      </c>
      <c r="L70" s="1059"/>
      <c r="M70" s="1059"/>
      <c r="N70" s="1059"/>
      <c r="O70" s="1059"/>
      <c r="P70" s="1060"/>
      <c r="Q70" s="1059">
        <f t="shared" si="54"/>
        <v>0</v>
      </c>
      <c r="R70" s="1060"/>
      <c r="S70" s="1059"/>
      <c r="T70" s="1059">
        <f t="shared" si="55"/>
        <v>0</v>
      </c>
      <c r="U70" s="1059"/>
      <c r="V70" s="1059">
        <f t="shared" si="56"/>
        <v>0</v>
      </c>
      <c r="W70" s="1059"/>
      <c r="X70" s="1059"/>
      <c r="Y70" s="1059">
        <f t="shared" si="57"/>
        <v>0</v>
      </c>
      <c r="Z70" s="1059"/>
      <c r="AA70" s="1059">
        <f t="shared" si="58"/>
        <v>0</v>
      </c>
      <c r="AB70" s="1059"/>
      <c r="AC70" s="1059"/>
      <c r="AD70" s="1059">
        <f t="shared" si="59"/>
        <v>0</v>
      </c>
      <c r="AE70" s="1059"/>
      <c r="AF70" s="1059">
        <f t="shared" si="60"/>
        <v>0</v>
      </c>
      <c r="AG70" s="1059"/>
      <c r="AH70" s="1059"/>
      <c r="AI70" s="1059">
        <f t="shared" si="61"/>
        <v>0</v>
      </c>
      <c r="AK70" s="320" t="b">
        <f t="shared" si="51"/>
        <v>1</v>
      </c>
    </row>
    <row r="71" spans="2:50">
      <c r="B71" s="1472"/>
      <c r="C71" s="1058">
        <f>+'BT 2HO'!C130</f>
        <v>0</v>
      </c>
      <c r="D71" s="1058">
        <f>+'BT 2HO'!D130</f>
        <v>0</v>
      </c>
      <c r="E71" s="503">
        <v>500000</v>
      </c>
      <c r="F71" s="503"/>
      <c r="G71" s="503"/>
      <c r="H71" s="503"/>
      <c r="I71" s="503"/>
      <c r="J71" s="503"/>
      <c r="K71" s="1059">
        <f t="shared" si="53"/>
        <v>0</v>
      </c>
      <c r="L71" s="1059"/>
      <c r="M71" s="1059"/>
      <c r="N71" s="1059"/>
      <c r="O71" s="1059"/>
      <c r="P71" s="1060"/>
      <c r="Q71" s="1059">
        <f t="shared" si="54"/>
        <v>0</v>
      </c>
      <c r="R71" s="1060"/>
      <c r="S71" s="1059"/>
      <c r="T71" s="1059">
        <f t="shared" si="55"/>
        <v>0</v>
      </c>
      <c r="U71" s="1059"/>
      <c r="V71" s="1059">
        <f t="shared" si="56"/>
        <v>0</v>
      </c>
      <c r="W71" s="1059"/>
      <c r="X71" s="1059"/>
      <c r="Y71" s="1059">
        <f t="shared" si="57"/>
        <v>0</v>
      </c>
      <c r="Z71" s="1059"/>
      <c r="AA71" s="1059">
        <f t="shared" si="58"/>
        <v>0</v>
      </c>
      <c r="AB71" s="1059"/>
      <c r="AC71" s="1059"/>
      <c r="AD71" s="1059">
        <f t="shared" si="59"/>
        <v>0</v>
      </c>
      <c r="AE71" s="1059"/>
      <c r="AF71" s="1059">
        <f t="shared" si="60"/>
        <v>0</v>
      </c>
      <c r="AG71" s="1059"/>
      <c r="AH71" s="1059"/>
      <c r="AI71" s="1059">
        <f t="shared" si="61"/>
        <v>0</v>
      </c>
      <c r="AK71" s="320" t="b">
        <f t="shared" si="51"/>
        <v>1</v>
      </c>
    </row>
    <row r="73" spans="2:50" ht="13.5" customHeight="1">
      <c r="B73" s="1470" t="s">
        <v>165</v>
      </c>
      <c r="C73" s="1470" t="s">
        <v>715</v>
      </c>
      <c r="D73" s="1473" t="s">
        <v>270</v>
      </c>
      <c r="E73" s="1469" t="s">
        <v>794</v>
      </c>
      <c r="F73" s="1484" t="s">
        <v>606</v>
      </c>
      <c r="G73" s="1466" t="s">
        <v>795</v>
      </c>
      <c r="H73" s="1484" t="s">
        <v>796</v>
      </c>
      <c r="I73" s="1072" t="s">
        <v>797</v>
      </c>
      <c r="J73" s="1466" t="s">
        <v>798</v>
      </c>
      <c r="K73" s="1471" t="s">
        <v>17</v>
      </c>
      <c r="L73" s="1475" t="s">
        <v>716</v>
      </c>
      <c r="M73" s="1482" t="s">
        <v>717</v>
      </c>
      <c r="N73" s="1482" t="s">
        <v>1056</v>
      </c>
      <c r="O73" s="1482" t="s">
        <v>1057</v>
      </c>
      <c r="P73" s="1471" t="s">
        <v>718</v>
      </c>
      <c r="Q73" s="1471"/>
      <c r="R73" s="1471"/>
      <c r="S73" s="1471"/>
      <c r="T73" s="1471"/>
      <c r="U73" s="1471" t="s">
        <v>719</v>
      </c>
      <c r="V73" s="1471"/>
      <c r="W73" s="1471"/>
      <c r="X73" s="1471"/>
      <c r="Y73" s="1471"/>
      <c r="Z73" s="1471" t="s">
        <v>370</v>
      </c>
      <c r="AA73" s="1471"/>
      <c r="AB73" s="1471"/>
      <c r="AC73" s="1471"/>
      <c r="AD73" s="1471"/>
      <c r="AE73" s="1471" t="s">
        <v>371</v>
      </c>
      <c r="AF73" s="1471"/>
      <c r="AG73" s="1471"/>
      <c r="AH73" s="1471"/>
      <c r="AI73" s="1471"/>
    </row>
    <row r="74" spans="2:50" ht="13.5">
      <c r="B74" s="1470"/>
      <c r="C74" s="1470"/>
      <c r="D74" s="1473"/>
      <c r="E74" s="1469"/>
      <c r="F74" s="1485"/>
      <c r="G74" s="1467"/>
      <c r="H74" s="1485"/>
      <c r="I74" s="1073">
        <v>0.02</v>
      </c>
      <c r="J74" s="1467"/>
      <c r="K74" s="1471"/>
      <c r="L74" s="1476"/>
      <c r="M74" s="1483"/>
      <c r="N74" s="1483"/>
      <c r="O74" s="1483"/>
      <c r="P74" s="1061" t="s">
        <v>188</v>
      </c>
      <c r="Q74" s="1062">
        <v>0.2</v>
      </c>
      <c r="R74" s="1061" t="s">
        <v>188</v>
      </c>
      <c r="S74" s="1063" t="s">
        <v>720</v>
      </c>
      <c r="T74" s="1063" t="s">
        <v>721</v>
      </c>
      <c r="U74" s="1061" t="s">
        <v>188</v>
      </c>
      <c r="V74" s="1062">
        <v>0.2</v>
      </c>
      <c r="W74" s="1061" t="s">
        <v>188</v>
      </c>
      <c r="X74" s="1063" t="s">
        <v>720</v>
      </c>
      <c r="Y74" s="1063" t="s">
        <v>721</v>
      </c>
      <c r="Z74" s="1061" t="s">
        <v>188</v>
      </c>
      <c r="AA74" s="1062">
        <v>0.5</v>
      </c>
      <c r="AB74" s="1061" t="s">
        <v>188</v>
      </c>
      <c r="AC74" s="1063" t="s">
        <v>720</v>
      </c>
      <c r="AD74" s="1063" t="s">
        <v>721</v>
      </c>
      <c r="AE74" s="1061" t="s">
        <v>188</v>
      </c>
      <c r="AF74" s="1062">
        <v>0.1</v>
      </c>
      <c r="AG74" s="1061" t="s">
        <v>188</v>
      </c>
      <c r="AH74" s="1063" t="s">
        <v>720</v>
      </c>
      <c r="AI74" s="1063" t="s">
        <v>721</v>
      </c>
    </row>
    <row r="75" spans="2:50">
      <c r="B75" s="1472" t="s">
        <v>748</v>
      </c>
      <c r="C75" s="1057"/>
      <c r="D75" s="1058">
        <f>+SUM(D76:D89)</f>
        <v>1609.3800000000003</v>
      </c>
      <c r="E75" s="503"/>
      <c r="F75" s="503"/>
      <c r="G75" s="503"/>
      <c r="H75" s="503"/>
      <c r="I75" s="503"/>
      <c r="J75" s="1059">
        <f>+SUM(J76:J89)</f>
        <v>124200691.24539998</v>
      </c>
      <c r="K75" s="1059">
        <f>+SUM(K76:K89)</f>
        <v>885159000</v>
      </c>
      <c r="L75" s="1059">
        <f t="shared" ref="L75:M75" si="62">+SUM(L76:L89)</f>
        <v>662691700</v>
      </c>
      <c r="M75" s="1059">
        <f t="shared" si="62"/>
        <v>260647200</v>
      </c>
      <c r="N75" s="1059"/>
      <c r="O75" s="1059"/>
      <c r="P75" s="1060"/>
      <c r="Q75" s="1059">
        <f>+SUM(Q76:Q89)</f>
        <v>177031800</v>
      </c>
      <c r="R75" s="1060"/>
      <c r="S75" s="1059">
        <f>+SUM(S76:S89)</f>
        <v>191320800</v>
      </c>
      <c r="T75" s="1059">
        <f>+SUM(T76:T89)</f>
        <v>-14289000</v>
      </c>
      <c r="U75" s="1060"/>
      <c r="V75" s="1059">
        <f t="shared" ref="V75" si="63">+SUM(V76:V89)</f>
        <v>177031800</v>
      </c>
      <c r="W75" s="1060"/>
      <c r="X75" s="1059"/>
      <c r="Y75" s="1059">
        <f>+SUM(Y76:Y89)</f>
        <v>-14368200</v>
      </c>
      <c r="Z75" s="1060"/>
      <c r="AA75" s="1059">
        <f t="shared" ref="AA75" si="64">+SUM(AA76:AA89)</f>
        <v>442579500</v>
      </c>
      <c r="AB75" s="1060"/>
      <c r="AC75" s="1059"/>
      <c r="AD75" s="1059">
        <f>+SUM(AD76:AD89)</f>
        <v>162608600</v>
      </c>
      <c r="AE75" s="1060"/>
      <c r="AF75" s="1059">
        <f t="shared" ref="AF75" si="65">+SUM(AF76:AF89)</f>
        <v>88515900</v>
      </c>
      <c r="AG75" s="1060"/>
      <c r="AH75" s="1059"/>
      <c r="AI75" s="1059">
        <f>+SUM(AI76:AI89)</f>
        <v>88515900</v>
      </c>
      <c r="AK75" s="320" t="b">
        <f t="shared" ref="AK75:AK89" si="66">+K75=Q75+V75+AA75+AF75</f>
        <v>1</v>
      </c>
    </row>
    <row r="76" spans="2:50" s="1071" customFormat="1">
      <c r="B76" s="1472"/>
      <c r="C76" s="1067" t="s">
        <v>803</v>
      </c>
      <c r="D76" s="1067">
        <v>225.78</v>
      </c>
      <c r="E76" s="1068">
        <v>500000</v>
      </c>
      <c r="F76" s="1068"/>
      <c r="G76" s="1068"/>
      <c r="H76" s="1068"/>
      <c r="I76" s="1068"/>
      <c r="J76" s="1068"/>
      <c r="K76" s="1064">
        <f>+E76*D76*1.1</f>
        <v>124179000.00000001</v>
      </c>
      <c r="L76" s="1064">
        <f>+S76+X76+AC76+AH76</f>
        <v>158004000</v>
      </c>
      <c r="M76" s="1064">
        <f>+L76</f>
        <v>158004000</v>
      </c>
      <c r="N76" s="1064"/>
      <c r="O76" s="1064"/>
      <c r="P76" s="1069">
        <f>+'BT 7HO'!N12</f>
        <v>45650</v>
      </c>
      <c r="Q76" s="1064">
        <f>+ROUND($K76*Q$74,)</f>
        <v>24835800</v>
      </c>
      <c r="R76" s="1069">
        <f>+'BT 7HO'!O12</f>
        <v>45650</v>
      </c>
      <c r="S76" s="1064">
        <f>+'BT 7HO'!R12+'BT 7HO'!R13</f>
        <v>35112000</v>
      </c>
      <c r="T76" s="1064">
        <f>+Q76-S76</f>
        <v>-10276200</v>
      </c>
      <c r="U76" s="1069">
        <f>+'BT 7HO'!U12</f>
        <v>45737</v>
      </c>
      <c r="V76" s="1064">
        <f>+ROUND($K76*V$74,)</f>
        <v>24835800</v>
      </c>
      <c r="W76" s="1069">
        <f>+'BT 7HO'!V12</f>
        <v>45737</v>
      </c>
      <c r="X76" s="1064">
        <f>+'BT 7HO'!Y12+'BT 7HO'!Y13</f>
        <v>35112000</v>
      </c>
      <c r="Y76" s="1064">
        <f>+V76-X76</f>
        <v>-10276200</v>
      </c>
      <c r="Z76" s="1069">
        <f>+'BT 7HO'!AB12</f>
        <v>45791</v>
      </c>
      <c r="AA76" s="1064">
        <f>+ROUND($K76*AA$74,)</f>
        <v>62089500</v>
      </c>
      <c r="AB76" s="1069">
        <f>+'BT 7HO'!AC12</f>
        <v>45791</v>
      </c>
      <c r="AC76" s="1064">
        <f>+'BT 7HO'!AF12+'BT 7HO'!AF13</f>
        <v>87780000</v>
      </c>
      <c r="AD76" s="1064">
        <f>+AA76-AC76</f>
        <v>-25690500</v>
      </c>
      <c r="AE76" s="1069"/>
      <c r="AF76" s="1064">
        <f>+ROUND($K76*AF$74,)</f>
        <v>12417900</v>
      </c>
      <c r="AG76" s="1069"/>
      <c r="AH76" s="1064"/>
      <c r="AI76" s="1064">
        <f>+AF76-AH76</f>
        <v>12417900</v>
      </c>
      <c r="AJ76" s="1070"/>
      <c r="AK76" s="1070" t="b">
        <f t="shared" si="66"/>
        <v>1</v>
      </c>
      <c r="AL76" s="1070"/>
      <c r="AM76" s="1070"/>
      <c r="AN76" s="1070"/>
      <c r="AO76" s="1070"/>
      <c r="AP76" s="1070"/>
      <c r="AQ76" s="1070"/>
      <c r="AR76" s="1070"/>
      <c r="AS76" s="1070"/>
      <c r="AT76" s="1070"/>
      <c r="AU76" s="1070"/>
      <c r="AV76" s="1070"/>
      <c r="AW76" s="1070"/>
      <c r="AX76" s="1070"/>
    </row>
    <row r="77" spans="2:50">
      <c r="B77" s="1472"/>
      <c r="C77" s="1058" t="s">
        <v>804</v>
      </c>
      <c r="D77" s="1058">
        <v>545.46</v>
      </c>
      <c r="E77" s="503">
        <v>500000</v>
      </c>
      <c r="F77" s="503"/>
      <c r="G77" s="503"/>
      <c r="H77" s="503"/>
      <c r="I77" s="503"/>
      <c r="J77" s="503"/>
      <c r="K77" s="1059">
        <f t="shared" ref="K77:K89" si="67">+E77*D77*1.1</f>
        <v>300003000</v>
      </c>
      <c r="L77" s="1059">
        <f t="shared" ref="L77:L83" si="68">+S77+X77+AC77+AH77</f>
        <v>120001200</v>
      </c>
      <c r="M77" s="1059"/>
      <c r="N77" s="1059"/>
      <c r="O77" s="1059"/>
      <c r="P77" s="1060">
        <f>+'BT 7HO'!N17</f>
        <v>45679</v>
      </c>
      <c r="Q77" s="1059">
        <f t="shared" ref="Q77:Q89" si="69">+ROUND($K77*Q$74,)</f>
        <v>60000600</v>
      </c>
      <c r="R77" s="1060">
        <f>+'BT 7HO'!O17</f>
        <v>45679</v>
      </c>
      <c r="S77" s="1059">
        <f>+'BT 7HO'!R17+'BT 7HO'!R18</f>
        <v>60000600</v>
      </c>
      <c r="T77" s="1059">
        <f t="shared" ref="T77:T89" si="70">+Q77-S77</f>
        <v>0</v>
      </c>
      <c r="U77" s="1060">
        <f>+'BT 7HO'!U17</f>
        <v>45791</v>
      </c>
      <c r="V77" s="1059">
        <f t="shared" ref="V77:V89" si="71">+ROUND($K77*V$74,)</f>
        <v>60000600</v>
      </c>
      <c r="W77" s="1060">
        <f>+'BT 7HO'!V17</f>
        <v>45791</v>
      </c>
      <c r="X77" s="1059">
        <f>+'BT 7HO'!Y17+'BT 7HO'!Y18</f>
        <v>60000600</v>
      </c>
      <c r="Y77" s="1059">
        <f t="shared" ref="Y77:Y89" si="72">+V77-X77</f>
        <v>0</v>
      </c>
      <c r="Z77" s="1060">
        <f>+'BT 7HO'!AB17</f>
        <v>45991</v>
      </c>
      <c r="AA77" s="1059">
        <f t="shared" ref="AA77:AA89" si="73">+ROUND($K77*AA$74,)</f>
        <v>150001500</v>
      </c>
      <c r="AB77" s="1060"/>
      <c r="AC77" s="1059"/>
      <c r="AD77" s="1059">
        <f t="shared" ref="AD77:AD89" si="74">+AA77-AC77</f>
        <v>150001500</v>
      </c>
      <c r="AE77" s="1060"/>
      <c r="AF77" s="1059">
        <f t="shared" ref="AF77:AF89" si="75">+ROUND($K77*AF$74,)</f>
        <v>30000300</v>
      </c>
      <c r="AG77" s="1060"/>
      <c r="AH77" s="1059"/>
      <c r="AI77" s="1059">
        <f t="shared" ref="AI77:AI89" si="76">+AF77-AH77</f>
        <v>30000300</v>
      </c>
      <c r="AK77" s="320" t="b">
        <f t="shared" si="66"/>
        <v>1</v>
      </c>
    </row>
    <row r="78" spans="2:50" s="1071" customFormat="1">
      <c r="B78" s="1472"/>
      <c r="C78" s="1067" t="s">
        <v>805</v>
      </c>
      <c r="D78" s="1067">
        <v>207.36</v>
      </c>
      <c r="E78" s="1068">
        <v>500000</v>
      </c>
      <c r="F78" s="1068"/>
      <c r="G78" s="1068"/>
      <c r="H78" s="1068"/>
      <c r="I78" s="1068"/>
      <c r="J78" s="1068"/>
      <c r="K78" s="1064">
        <f t="shared" si="67"/>
        <v>114048000.00000001</v>
      </c>
      <c r="L78" s="1064">
        <f t="shared" si="68"/>
        <v>102643200</v>
      </c>
      <c r="M78" s="1064">
        <f>+L78</f>
        <v>102643200</v>
      </c>
      <c r="N78" s="1064"/>
      <c r="O78" s="1064"/>
      <c r="P78" s="1069">
        <f>+'BT 7HO'!N22</f>
        <v>45808</v>
      </c>
      <c r="Q78" s="1064">
        <f t="shared" si="69"/>
        <v>22809600</v>
      </c>
      <c r="R78" s="1069">
        <f>+'BT 7HO'!O22</f>
        <v>45791</v>
      </c>
      <c r="S78" s="1064">
        <f>+'BT 7HO'!R22+'BT 7HO'!R23</f>
        <v>26822400</v>
      </c>
      <c r="T78" s="1064">
        <f t="shared" si="70"/>
        <v>-4012800</v>
      </c>
      <c r="U78" s="1069">
        <f>+'BT 7HO'!U22</f>
        <v>45855</v>
      </c>
      <c r="V78" s="1064">
        <f t="shared" si="71"/>
        <v>22809600</v>
      </c>
      <c r="W78" s="1069">
        <f>+'BT 7HO'!V22</f>
        <v>45867</v>
      </c>
      <c r="X78" s="1064">
        <f>+'BT 7HO'!Y22+'BT 7HO'!Y23</f>
        <v>26822400</v>
      </c>
      <c r="Y78" s="1064">
        <f t="shared" si="72"/>
        <v>-4012800</v>
      </c>
      <c r="Z78" s="1069">
        <f>+'BT 7HO'!AB22</f>
        <v>45930</v>
      </c>
      <c r="AA78" s="1064">
        <f t="shared" si="73"/>
        <v>57024000</v>
      </c>
      <c r="AB78" s="1069">
        <f>+'BT 7HO'!AC22</f>
        <v>45922</v>
      </c>
      <c r="AC78" s="1064">
        <f>+'BT 7HO'!AF22+'BT 7HO'!AF23</f>
        <v>48998400</v>
      </c>
      <c r="AD78" s="1064">
        <f t="shared" si="74"/>
        <v>8025600</v>
      </c>
      <c r="AE78" s="1069"/>
      <c r="AF78" s="1064">
        <f t="shared" si="75"/>
        <v>11404800</v>
      </c>
      <c r="AG78" s="1069"/>
      <c r="AH78" s="1064"/>
      <c r="AI78" s="1064">
        <f t="shared" si="76"/>
        <v>11404800</v>
      </c>
      <c r="AJ78" s="1070"/>
      <c r="AK78" s="1070" t="b">
        <f t="shared" si="66"/>
        <v>1</v>
      </c>
      <c r="AL78" s="1070"/>
      <c r="AM78" s="1070"/>
      <c r="AN78" s="1070"/>
      <c r="AO78" s="1070"/>
      <c r="AP78" s="1070"/>
      <c r="AQ78" s="1070"/>
      <c r="AR78" s="1070"/>
      <c r="AS78" s="1070"/>
      <c r="AT78" s="1070"/>
      <c r="AU78" s="1070"/>
      <c r="AV78" s="1070"/>
      <c r="AW78" s="1070"/>
      <c r="AX78" s="1070"/>
    </row>
    <row r="79" spans="2:50">
      <c r="B79" s="1472"/>
      <c r="C79" s="1058" t="s">
        <v>806</v>
      </c>
      <c r="D79" s="1058">
        <v>210.82</v>
      </c>
      <c r="E79" s="503">
        <v>500000</v>
      </c>
      <c r="F79" s="503"/>
      <c r="G79" s="503"/>
      <c r="H79" s="503"/>
      <c r="I79" s="503"/>
      <c r="J79" s="503"/>
      <c r="K79" s="1059">
        <f t="shared" si="67"/>
        <v>115951000.00000001</v>
      </c>
      <c r="L79" s="1059">
        <f t="shared" si="68"/>
        <v>104355900</v>
      </c>
      <c r="M79" s="1059"/>
      <c r="N79" s="1059"/>
      <c r="O79" s="1059"/>
      <c r="P79" s="1060">
        <f>+'BT 7HO'!N27</f>
        <v>45737</v>
      </c>
      <c r="Q79" s="1059">
        <f t="shared" si="69"/>
        <v>23190200</v>
      </c>
      <c r="R79" s="1060">
        <f>+'BT 7HO'!O27</f>
        <v>45737</v>
      </c>
      <c r="S79" s="1059">
        <f>+'BT 7HO'!R27+'BT 7HO'!R28</f>
        <v>23190200</v>
      </c>
      <c r="T79" s="1059">
        <f t="shared" si="70"/>
        <v>0</v>
      </c>
      <c r="U79" s="1060">
        <f>+'BT 7HO'!U27</f>
        <v>45820</v>
      </c>
      <c r="V79" s="1059">
        <f t="shared" si="71"/>
        <v>23190200</v>
      </c>
      <c r="W79" s="1060">
        <f>+'BT 7HO'!V27</f>
        <v>45820</v>
      </c>
      <c r="X79" s="1059">
        <f>+'BT 7HO'!Y27+'BT 7HO'!Y28</f>
        <v>23190200</v>
      </c>
      <c r="Y79" s="1059">
        <f t="shared" si="72"/>
        <v>0</v>
      </c>
      <c r="Z79" s="1060">
        <f>+'BT 7HO'!AB27</f>
        <v>45900</v>
      </c>
      <c r="AA79" s="1059">
        <f t="shared" si="73"/>
        <v>57975500</v>
      </c>
      <c r="AB79" s="1060">
        <f>+'BT 7HO'!AC27</f>
        <v>45883</v>
      </c>
      <c r="AC79" s="1059">
        <f>+'BT 7HO'!AF27+'BT 7HO'!AF28</f>
        <v>57975500</v>
      </c>
      <c r="AD79" s="1059">
        <f t="shared" si="74"/>
        <v>0</v>
      </c>
      <c r="AE79" s="1060"/>
      <c r="AF79" s="1059">
        <f t="shared" si="75"/>
        <v>11595100</v>
      </c>
      <c r="AG79" s="1060"/>
      <c r="AH79" s="1059"/>
      <c r="AI79" s="1059">
        <f t="shared" si="76"/>
        <v>11595100</v>
      </c>
      <c r="AK79" s="320" t="b">
        <f t="shared" si="66"/>
        <v>1</v>
      </c>
    </row>
    <row r="80" spans="2:50" s="1083" customFormat="1" ht="13.5">
      <c r="B80" s="1472"/>
      <c r="C80" s="1076" t="s">
        <v>807</v>
      </c>
      <c r="D80" s="1076">
        <v>151.13</v>
      </c>
      <c r="E80" s="1077">
        <v>500000</v>
      </c>
      <c r="F80" s="1077">
        <v>1448</v>
      </c>
      <c r="G80" s="1077">
        <f>+F80*D80</f>
        <v>218836.24</v>
      </c>
      <c r="H80" s="1077">
        <v>209</v>
      </c>
      <c r="I80" s="1078">
        <v>0.02</v>
      </c>
      <c r="J80" s="1077">
        <f>+G80*H80*(1-I80)</f>
        <v>44822038.676799998</v>
      </c>
      <c r="K80" s="1079">
        <f t="shared" si="67"/>
        <v>83121500</v>
      </c>
      <c r="L80" s="1079">
        <f t="shared" si="68"/>
        <v>74809350</v>
      </c>
      <c r="M80" s="1080" t="s">
        <v>808</v>
      </c>
      <c r="N80" s="1080"/>
      <c r="O80" s="1080"/>
      <c r="P80" s="1081">
        <f>+'BT 7HO'!N32</f>
        <v>45679</v>
      </c>
      <c r="Q80" s="1079">
        <f t="shared" si="69"/>
        <v>16624300</v>
      </c>
      <c r="R80" s="1081">
        <f>+'BT 7HO'!O32</f>
        <v>45679</v>
      </c>
      <c r="S80" s="1079">
        <f>+'BT 7HO'!R32+'BT 7HO'!R33</f>
        <v>16624300</v>
      </c>
      <c r="T80" s="1079">
        <f t="shared" si="70"/>
        <v>0</v>
      </c>
      <c r="U80" s="1081">
        <f>+'BT 7HO'!U32</f>
        <v>45791</v>
      </c>
      <c r="V80" s="1079">
        <f t="shared" si="71"/>
        <v>16624300</v>
      </c>
      <c r="W80" s="1081">
        <f>+'BT 7HO'!V32</f>
        <v>45791</v>
      </c>
      <c r="X80" s="1079">
        <f>+'BT 7HO'!Y32+'BT 7HO'!Y33</f>
        <v>16624300</v>
      </c>
      <c r="Y80" s="1079">
        <f t="shared" si="72"/>
        <v>0</v>
      </c>
      <c r="Z80" s="1081">
        <f>+'BT 7HO'!AB32</f>
        <v>45820</v>
      </c>
      <c r="AA80" s="1079">
        <f t="shared" si="73"/>
        <v>41560750</v>
      </c>
      <c r="AB80" s="1081">
        <f>+'BT 7HO'!AC32</f>
        <v>45820</v>
      </c>
      <c r="AC80" s="1079">
        <f>+'BT 7HO'!AF32+'BT 7HO'!AF33</f>
        <v>41560750</v>
      </c>
      <c r="AD80" s="1079">
        <f t="shared" si="74"/>
        <v>0</v>
      </c>
      <c r="AE80" s="1081"/>
      <c r="AF80" s="1079">
        <f t="shared" si="75"/>
        <v>8312150</v>
      </c>
      <c r="AG80" s="1081"/>
      <c r="AH80" s="1079"/>
      <c r="AI80" s="1079">
        <f t="shared" si="76"/>
        <v>8312150</v>
      </c>
      <c r="AJ80" s="1082"/>
      <c r="AK80" s="1082" t="b">
        <f t="shared" si="66"/>
        <v>1</v>
      </c>
      <c r="AL80" s="1082"/>
      <c r="AM80" s="1082"/>
      <c r="AN80" s="1082"/>
      <c r="AO80" s="1082"/>
      <c r="AP80" s="1082"/>
      <c r="AQ80" s="1082"/>
      <c r="AR80" s="1082"/>
      <c r="AS80" s="1082"/>
      <c r="AT80" s="1082"/>
      <c r="AU80" s="1082"/>
      <c r="AV80" s="1082"/>
      <c r="AW80" s="1082"/>
      <c r="AX80" s="1082"/>
    </row>
    <row r="81" spans="2:51" s="1083" customFormat="1" ht="13.5">
      <c r="B81" s="1472"/>
      <c r="C81" s="1076" t="s">
        <v>809</v>
      </c>
      <c r="D81" s="1076">
        <v>71.680000000000007</v>
      </c>
      <c r="E81" s="1077">
        <v>500000</v>
      </c>
      <c r="F81" s="1077">
        <v>1431</v>
      </c>
      <c r="G81" s="1077">
        <f t="shared" ref="G81:G83" si="77">+F81*D81</f>
        <v>102574.08000000002</v>
      </c>
      <c r="H81" s="1077">
        <v>209</v>
      </c>
      <c r="I81" s="1078">
        <v>0.02</v>
      </c>
      <c r="J81" s="1077">
        <f t="shared" ref="J81:J83" si="78">+G81*H81*(1-I81)</f>
        <v>21009223.0656</v>
      </c>
      <c r="K81" s="1079">
        <f t="shared" si="67"/>
        <v>39424000</v>
      </c>
      <c r="L81" s="1079">
        <f t="shared" si="68"/>
        <v>15848800.000000002</v>
      </c>
      <c r="M81" s="1080" t="s">
        <v>808</v>
      </c>
      <c r="N81" s="1080"/>
      <c r="O81" s="1080"/>
      <c r="P81" s="1081">
        <f>+'BT 7HO'!N37</f>
        <v>45705</v>
      </c>
      <c r="Q81" s="1079">
        <f t="shared" si="69"/>
        <v>7884800</v>
      </c>
      <c r="R81" s="1081">
        <f>+'BT 7HO'!O37</f>
        <v>45705</v>
      </c>
      <c r="S81" s="1079">
        <f>+'BT 7HO'!R37+'BT 7HO'!R38</f>
        <v>7884800.0000000019</v>
      </c>
      <c r="T81" s="1079">
        <f t="shared" si="70"/>
        <v>0</v>
      </c>
      <c r="U81" s="1081">
        <f>+'BT 7HO'!U37</f>
        <v>45820</v>
      </c>
      <c r="V81" s="1079">
        <f t="shared" si="71"/>
        <v>7884800</v>
      </c>
      <c r="W81" s="1081">
        <f>+'BT 7HO'!V37</f>
        <v>45820</v>
      </c>
      <c r="X81" s="1079">
        <f>+'BT 7HO'!Y37+'BT 7HO'!Y38</f>
        <v>7964000</v>
      </c>
      <c r="Y81" s="1079">
        <f t="shared" si="72"/>
        <v>-79200</v>
      </c>
      <c r="Z81" s="1081">
        <f>+'BT 7HO'!AB37</f>
        <v>46022</v>
      </c>
      <c r="AA81" s="1079">
        <f t="shared" si="73"/>
        <v>19712000</v>
      </c>
      <c r="AB81" s="1081"/>
      <c r="AC81" s="1079"/>
      <c r="AD81" s="1079">
        <f t="shared" si="74"/>
        <v>19712000</v>
      </c>
      <c r="AE81" s="1081"/>
      <c r="AF81" s="1079">
        <f t="shared" si="75"/>
        <v>3942400</v>
      </c>
      <c r="AG81" s="1081"/>
      <c r="AH81" s="1079"/>
      <c r="AI81" s="1079">
        <f t="shared" si="76"/>
        <v>3942400</v>
      </c>
      <c r="AJ81" s="1082"/>
      <c r="AK81" s="1082" t="b">
        <f t="shared" si="66"/>
        <v>1</v>
      </c>
      <c r="AL81" s="1082"/>
      <c r="AM81" s="1082"/>
      <c r="AN81" s="1082"/>
      <c r="AO81" s="1082"/>
      <c r="AP81" s="1082"/>
      <c r="AQ81" s="1082"/>
      <c r="AR81" s="1082"/>
      <c r="AS81" s="1082"/>
      <c r="AT81" s="1082"/>
      <c r="AU81" s="1082"/>
      <c r="AV81" s="1082"/>
      <c r="AW81" s="1082"/>
      <c r="AX81" s="1082"/>
    </row>
    <row r="82" spans="2:51" s="1083" customFormat="1" ht="13.5">
      <c r="B82" s="1472"/>
      <c r="C82" s="1076" t="s">
        <v>810</v>
      </c>
      <c r="D82" s="1076">
        <v>38.4</v>
      </c>
      <c r="E82" s="1077">
        <v>500000</v>
      </c>
      <c r="F82" s="1077">
        <v>1431</v>
      </c>
      <c r="G82" s="1077">
        <f t="shared" si="77"/>
        <v>54950.400000000001</v>
      </c>
      <c r="H82" s="1077">
        <v>209</v>
      </c>
      <c r="I82" s="1078">
        <v>0.02</v>
      </c>
      <c r="J82" s="1077">
        <f t="shared" si="78"/>
        <v>11254940.927999999</v>
      </c>
      <c r="K82" s="1079">
        <f t="shared" si="67"/>
        <v>21120000</v>
      </c>
      <c r="L82" s="1079">
        <f t="shared" si="68"/>
        <v>8448000</v>
      </c>
      <c r="M82" s="1080" t="s">
        <v>808</v>
      </c>
      <c r="N82" s="1080"/>
      <c r="O82" s="1080"/>
      <c r="P82" s="1081">
        <f>+'BT 7HO'!N42</f>
        <v>45705</v>
      </c>
      <c r="Q82" s="1079">
        <f t="shared" si="69"/>
        <v>4224000</v>
      </c>
      <c r="R82" s="1081">
        <f>+'BT 7HO'!O42</f>
        <v>45705</v>
      </c>
      <c r="S82" s="1079">
        <f>+'BT 7HO'!R42+'BT 7HO'!R43</f>
        <v>4224000</v>
      </c>
      <c r="T82" s="1079">
        <f t="shared" si="70"/>
        <v>0</v>
      </c>
      <c r="U82" s="1081">
        <f>+'BT 7HO'!U42</f>
        <v>45820</v>
      </c>
      <c r="V82" s="1079">
        <f t="shared" si="71"/>
        <v>4224000</v>
      </c>
      <c r="W82" s="1081">
        <f>+'BT 7HO'!V42</f>
        <v>45820</v>
      </c>
      <c r="X82" s="1079">
        <f>+'BT 7HO'!Y42+'BT 7HO'!Y43</f>
        <v>4224000</v>
      </c>
      <c r="Y82" s="1079">
        <f t="shared" si="72"/>
        <v>0</v>
      </c>
      <c r="Z82" s="1081">
        <f>+'BT 7HO'!AB42</f>
        <v>46022</v>
      </c>
      <c r="AA82" s="1079">
        <f t="shared" si="73"/>
        <v>10560000</v>
      </c>
      <c r="AB82" s="1081"/>
      <c r="AC82" s="1079"/>
      <c r="AD82" s="1079">
        <f t="shared" si="74"/>
        <v>10560000</v>
      </c>
      <c r="AE82" s="1081"/>
      <c r="AF82" s="1079">
        <f t="shared" si="75"/>
        <v>2112000</v>
      </c>
      <c r="AG82" s="1081"/>
      <c r="AH82" s="1079"/>
      <c r="AI82" s="1079">
        <f t="shared" si="76"/>
        <v>2112000</v>
      </c>
      <c r="AJ82" s="1082"/>
      <c r="AK82" s="1082" t="b">
        <f t="shared" si="66"/>
        <v>1</v>
      </c>
      <c r="AL82" s="1082"/>
      <c r="AM82" s="1082"/>
      <c r="AN82" s="1082"/>
      <c r="AO82" s="1082"/>
      <c r="AP82" s="1082"/>
      <c r="AQ82" s="1082"/>
      <c r="AR82" s="1082"/>
      <c r="AS82" s="1082"/>
      <c r="AT82" s="1082"/>
      <c r="AU82" s="1082"/>
      <c r="AV82" s="1082"/>
      <c r="AW82" s="1082"/>
      <c r="AX82" s="1082"/>
    </row>
    <row r="83" spans="2:51" s="1083" customFormat="1" ht="13.5">
      <c r="B83" s="1472"/>
      <c r="C83" s="1076" t="s">
        <v>811</v>
      </c>
      <c r="D83" s="1076">
        <v>158.75</v>
      </c>
      <c r="E83" s="1077">
        <v>500000</v>
      </c>
      <c r="F83" s="1077">
        <v>1449</v>
      </c>
      <c r="G83" s="1077">
        <f t="shared" si="77"/>
        <v>230028.75</v>
      </c>
      <c r="H83" s="1077">
        <v>209</v>
      </c>
      <c r="I83" s="1078">
        <v>0.02</v>
      </c>
      <c r="J83" s="1077">
        <f t="shared" si="78"/>
        <v>47114488.574999996</v>
      </c>
      <c r="K83" s="1079">
        <f t="shared" si="67"/>
        <v>87312500</v>
      </c>
      <c r="L83" s="1079">
        <f t="shared" si="68"/>
        <v>78581250</v>
      </c>
      <c r="M83" s="1080" t="s">
        <v>808</v>
      </c>
      <c r="N83" s="1080"/>
      <c r="O83" s="1080"/>
      <c r="P83" s="1081">
        <f>+'BT 7HO'!N47</f>
        <v>45705</v>
      </c>
      <c r="Q83" s="1079">
        <f t="shared" si="69"/>
        <v>17462500</v>
      </c>
      <c r="R83" s="1081">
        <f>+'BT 7HO'!O47</f>
        <v>45705</v>
      </c>
      <c r="S83" s="1079">
        <f>+'BT 7HO'!R47+'BT 7HO'!R48</f>
        <v>17462500</v>
      </c>
      <c r="T83" s="1079">
        <f t="shared" si="70"/>
        <v>0</v>
      </c>
      <c r="U83" s="1081">
        <f>+'BT 7HO'!U47</f>
        <v>45820</v>
      </c>
      <c r="V83" s="1079">
        <f t="shared" si="71"/>
        <v>17462500</v>
      </c>
      <c r="W83" s="1081">
        <f>+'BT 7HO'!V47</f>
        <v>45820</v>
      </c>
      <c r="X83" s="1079">
        <f>+'BT 7HO'!Y47+'BT 7HO'!Y48</f>
        <v>17462500</v>
      </c>
      <c r="Y83" s="1079">
        <f t="shared" si="72"/>
        <v>0</v>
      </c>
      <c r="Z83" s="1081">
        <f>+'BT 7HO'!AB47</f>
        <v>45930</v>
      </c>
      <c r="AA83" s="1079">
        <f t="shared" si="73"/>
        <v>43656250</v>
      </c>
      <c r="AB83" s="1081">
        <v>45922</v>
      </c>
      <c r="AC83" s="1079">
        <f>+'BT 7HO'!AF47+'BT 7HO'!AF48</f>
        <v>43656250</v>
      </c>
      <c r="AD83" s="1079">
        <f t="shared" si="74"/>
        <v>0</v>
      </c>
      <c r="AE83" s="1081"/>
      <c r="AF83" s="1079">
        <f t="shared" si="75"/>
        <v>8731250</v>
      </c>
      <c r="AG83" s="1081"/>
      <c r="AH83" s="1079"/>
      <c r="AI83" s="1079">
        <f t="shared" si="76"/>
        <v>8731250</v>
      </c>
      <c r="AJ83" s="1082"/>
      <c r="AK83" s="1082" t="b">
        <f t="shared" si="66"/>
        <v>1</v>
      </c>
      <c r="AL83" s="1082"/>
      <c r="AM83" s="1082"/>
      <c r="AN83" s="1082"/>
      <c r="AO83" s="1082"/>
      <c r="AP83" s="1082"/>
      <c r="AQ83" s="1082"/>
      <c r="AR83" s="1082"/>
      <c r="AS83" s="1082"/>
      <c r="AT83" s="1082"/>
      <c r="AU83" s="1082"/>
      <c r="AV83" s="1082"/>
      <c r="AW83" s="1082"/>
      <c r="AX83" s="1082"/>
    </row>
    <row r="84" spans="2:51">
      <c r="B84" s="1472"/>
      <c r="C84" s="1058">
        <f>+'BT 2HO'!C123</f>
        <v>0</v>
      </c>
      <c r="D84" s="1058">
        <v>0</v>
      </c>
      <c r="E84" s="503">
        <v>500000</v>
      </c>
      <c r="F84" s="503"/>
      <c r="G84" s="503"/>
      <c r="H84" s="503"/>
      <c r="I84" s="503"/>
      <c r="J84" s="503"/>
      <c r="K84" s="1059">
        <f t="shared" si="67"/>
        <v>0</v>
      </c>
      <c r="L84" s="1059"/>
      <c r="M84" s="1059"/>
      <c r="N84" s="1059"/>
      <c r="O84" s="1059"/>
      <c r="P84" s="1060"/>
      <c r="Q84" s="1059">
        <f t="shared" si="69"/>
        <v>0</v>
      </c>
      <c r="R84" s="1060"/>
      <c r="S84" s="1059"/>
      <c r="T84" s="1059">
        <f t="shared" si="70"/>
        <v>0</v>
      </c>
      <c r="U84" s="1060"/>
      <c r="V84" s="1059">
        <f t="shared" si="71"/>
        <v>0</v>
      </c>
      <c r="W84" s="1060"/>
      <c r="X84" s="1059"/>
      <c r="Y84" s="1059">
        <f t="shared" si="72"/>
        <v>0</v>
      </c>
      <c r="Z84" s="1060"/>
      <c r="AA84" s="1059">
        <f t="shared" si="73"/>
        <v>0</v>
      </c>
      <c r="AB84" s="1060"/>
      <c r="AC84" s="1059"/>
      <c r="AD84" s="1059">
        <f t="shared" si="74"/>
        <v>0</v>
      </c>
      <c r="AE84" s="1060"/>
      <c r="AF84" s="1059">
        <f t="shared" si="75"/>
        <v>0</v>
      </c>
      <c r="AG84" s="1060"/>
      <c r="AH84" s="1059"/>
      <c r="AI84" s="1059">
        <f t="shared" si="76"/>
        <v>0</v>
      </c>
      <c r="AK84" s="320" t="b">
        <f t="shared" si="66"/>
        <v>1</v>
      </c>
    </row>
    <row r="85" spans="2:51">
      <c r="B85" s="1472"/>
      <c r="C85" s="1058">
        <f>+'BT 2HO'!C128</f>
        <v>0</v>
      </c>
      <c r="D85" s="1058">
        <v>0</v>
      </c>
      <c r="E85" s="503">
        <v>500000</v>
      </c>
      <c r="F85" s="503"/>
      <c r="G85" s="503"/>
      <c r="H85" s="503"/>
      <c r="I85" s="503"/>
      <c r="J85" s="503"/>
      <c r="K85" s="1059">
        <f t="shared" si="67"/>
        <v>0</v>
      </c>
      <c r="L85" s="1059"/>
      <c r="M85" s="1059"/>
      <c r="N85" s="1059"/>
      <c r="O85" s="1059"/>
      <c r="P85" s="1060"/>
      <c r="Q85" s="1059">
        <f t="shared" si="69"/>
        <v>0</v>
      </c>
      <c r="R85" s="1060"/>
      <c r="S85" s="1059"/>
      <c r="T85" s="1059">
        <f t="shared" si="70"/>
        <v>0</v>
      </c>
      <c r="U85" s="1060"/>
      <c r="V85" s="1059">
        <f t="shared" si="71"/>
        <v>0</v>
      </c>
      <c r="W85" s="1060"/>
      <c r="X85" s="1059"/>
      <c r="Y85" s="1059">
        <f t="shared" si="72"/>
        <v>0</v>
      </c>
      <c r="Z85" s="1060"/>
      <c r="AA85" s="1059">
        <f t="shared" si="73"/>
        <v>0</v>
      </c>
      <c r="AB85" s="1060"/>
      <c r="AC85" s="1059"/>
      <c r="AD85" s="1059">
        <f t="shared" si="74"/>
        <v>0</v>
      </c>
      <c r="AE85" s="1060"/>
      <c r="AF85" s="1059">
        <f t="shared" si="75"/>
        <v>0</v>
      </c>
      <c r="AG85" s="1060"/>
      <c r="AH85" s="1059"/>
      <c r="AI85" s="1059">
        <f t="shared" si="76"/>
        <v>0</v>
      </c>
      <c r="AK85" s="320" t="b">
        <f t="shared" si="66"/>
        <v>1</v>
      </c>
    </row>
    <row r="86" spans="2:51">
      <c r="B86" s="1472"/>
      <c r="C86" s="1058">
        <f>+'BT 2HO'!C133</f>
        <v>0</v>
      </c>
      <c r="D86" s="1058">
        <v>0</v>
      </c>
      <c r="E86" s="503">
        <v>500000</v>
      </c>
      <c r="F86" s="503"/>
      <c r="G86" s="503"/>
      <c r="H86" s="503"/>
      <c r="I86" s="503"/>
      <c r="J86" s="503"/>
      <c r="K86" s="1059">
        <f t="shared" si="67"/>
        <v>0</v>
      </c>
      <c r="L86" s="1059"/>
      <c r="M86" s="1059"/>
      <c r="N86" s="1059"/>
      <c r="O86" s="1059"/>
      <c r="P86" s="1060"/>
      <c r="Q86" s="1059">
        <f t="shared" si="69"/>
        <v>0</v>
      </c>
      <c r="R86" s="1060"/>
      <c r="S86" s="1059"/>
      <c r="T86" s="1059">
        <f t="shared" si="70"/>
        <v>0</v>
      </c>
      <c r="U86" s="1060"/>
      <c r="V86" s="1059">
        <f t="shared" si="71"/>
        <v>0</v>
      </c>
      <c r="W86" s="1060"/>
      <c r="X86" s="1059"/>
      <c r="Y86" s="1059">
        <f t="shared" si="72"/>
        <v>0</v>
      </c>
      <c r="Z86" s="1060"/>
      <c r="AA86" s="1059">
        <f t="shared" si="73"/>
        <v>0</v>
      </c>
      <c r="AB86" s="1060"/>
      <c r="AC86" s="1059"/>
      <c r="AD86" s="1059">
        <f t="shared" si="74"/>
        <v>0</v>
      </c>
      <c r="AE86" s="1060"/>
      <c r="AF86" s="1059">
        <f t="shared" si="75"/>
        <v>0</v>
      </c>
      <c r="AG86" s="1060"/>
      <c r="AH86" s="1059"/>
      <c r="AI86" s="1059">
        <f t="shared" si="76"/>
        <v>0</v>
      </c>
      <c r="AK86" s="320" t="b">
        <f t="shared" si="66"/>
        <v>1</v>
      </c>
    </row>
    <row r="87" spans="2:51">
      <c r="B87" s="1472"/>
      <c r="C87" s="1058">
        <f>+'BT 2HO'!C138</f>
        <v>0</v>
      </c>
      <c r="D87" s="1058">
        <v>0</v>
      </c>
      <c r="E87" s="503">
        <v>500000</v>
      </c>
      <c r="F87" s="503"/>
      <c r="G87" s="503"/>
      <c r="H87" s="503"/>
      <c r="I87" s="503"/>
      <c r="J87" s="503"/>
      <c r="K87" s="1059">
        <f t="shared" si="67"/>
        <v>0</v>
      </c>
      <c r="L87" s="1059"/>
      <c r="M87" s="1059"/>
      <c r="N87" s="1059"/>
      <c r="O87" s="1059"/>
      <c r="P87" s="1060"/>
      <c r="Q87" s="1059">
        <f t="shared" si="69"/>
        <v>0</v>
      </c>
      <c r="R87" s="1060"/>
      <c r="S87" s="1059"/>
      <c r="T87" s="1059">
        <f t="shared" si="70"/>
        <v>0</v>
      </c>
      <c r="U87" s="1060"/>
      <c r="V87" s="1059">
        <f t="shared" si="71"/>
        <v>0</v>
      </c>
      <c r="W87" s="1060"/>
      <c r="X87" s="1059"/>
      <c r="Y87" s="1059">
        <f t="shared" si="72"/>
        <v>0</v>
      </c>
      <c r="Z87" s="1060"/>
      <c r="AA87" s="1059">
        <f t="shared" si="73"/>
        <v>0</v>
      </c>
      <c r="AB87" s="1060"/>
      <c r="AC87" s="1059"/>
      <c r="AD87" s="1059">
        <f t="shared" si="74"/>
        <v>0</v>
      </c>
      <c r="AE87" s="1060"/>
      <c r="AF87" s="1059">
        <f t="shared" si="75"/>
        <v>0</v>
      </c>
      <c r="AG87" s="1060"/>
      <c r="AH87" s="1059"/>
      <c r="AI87" s="1059">
        <f t="shared" si="76"/>
        <v>0</v>
      </c>
      <c r="AK87" s="320" t="b">
        <f t="shared" si="66"/>
        <v>1</v>
      </c>
    </row>
    <row r="88" spans="2:51">
      <c r="B88" s="1472"/>
      <c r="C88" s="1058">
        <f>+'BT 2HO'!C143</f>
        <v>0</v>
      </c>
      <c r="D88" s="1058">
        <v>0</v>
      </c>
      <c r="E88" s="503">
        <v>500000</v>
      </c>
      <c r="F88" s="503"/>
      <c r="G88" s="503"/>
      <c r="H88" s="503"/>
      <c r="I88" s="503"/>
      <c r="J88" s="503"/>
      <c r="K88" s="1059">
        <f t="shared" si="67"/>
        <v>0</v>
      </c>
      <c r="L88" s="1059"/>
      <c r="M88" s="1059"/>
      <c r="N88" s="1059"/>
      <c r="O88" s="1059"/>
      <c r="P88" s="1060"/>
      <c r="Q88" s="1059">
        <f t="shared" si="69"/>
        <v>0</v>
      </c>
      <c r="R88" s="1060"/>
      <c r="S88" s="1059"/>
      <c r="T88" s="1059">
        <f t="shared" si="70"/>
        <v>0</v>
      </c>
      <c r="U88" s="1060"/>
      <c r="V88" s="1059">
        <f t="shared" si="71"/>
        <v>0</v>
      </c>
      <c r="W88" s="1060"/>
      <c r="X88" s="1059"/>
      <c r="Y88" s="1059">
        <f t="shared" si="72"/>
        <v>0</v>
      </c>
      <c r="Z88" s="1060"/>
      <c r="AA88" s="1059">
        <f t="shared" si="73"/>
        <v>0</v>
      </c>
      <c r="AB88" s="1060"/>
      <c r="AC88" s="1059"/>
      <c r="AD88" s="1059">
        <f t="shared" si="74"/>
        <v>0</v>
      </c>
      <c r="AE88" s="1060"/>
      <c r="AF88" s="1059">
        <f t="shared" si="75"/>
        <v>0</v>
      </c>
      <c r="AG88" s="1060"/>
      <c r="AH88" s="1059"/>
      <c r="AI88" s="1059">
        <f t="shared" si="76"/>
        <v>0</v>
      </c>
      <c r="AK88" s="320" t="b">
        <f t="shared" si="66"/>
        <v>1</v>
      </c>
    </row>
    <row r="89" spans="2:51">
      <c r="B89" s="1472"/>
      <c r="C89" s="1058">
        <f>+'BT 2HO'!C148</f>
        <v>0</v>
      </c>
      <c r="D89" s="1058">
        <v>0</v>
      </c>
      <c r="E89" s="503">
        <v>500000</v>
      </c>
      <c r="F89" s="503"/>
      <c r="G89" s="503"/>
      <c r="H89" s="503"/>
      <c r="I89" s="503"/>
      <c r="J89" s="503"/>
      <c r="K89" s="1059">
        <f t="shared" si="67"/>
        <v>0</v>
      </c>
      <c r="L89" s="1059"/>
      <c r="M89" s="1059"/>
      <c r="N89" s="1059"/>
      <c r="O89" s="1059"/>
      <c r="P89" s="1060"/>
      <c r="Q89" s="1059">
        <f t="shared" si="69"/>
        <v>0</v>
      </c>
      <c r="R89" s="1060"/>
      <c r="S89" s="1059"/>
      <c r="T89" s="1059">
        <f t="shared" si="70"/>
        <v>0</v>
      </c>
      <c r="U89" s="1060"/>
      <c r="V89" s="1059">
        <f t="shared" si="71"/>
        <v>0</v>
      </c>
      <c r="W89" s="1060"/>
      <c r="X89" s="1059"/>
      <c r="Y89" s="1059">
        <f t="shared" si="72"/>
        <v>0</v>
      </c>
      <c r="Z89" s="1060"/>
      <c r="AA89" s="1059">
        <f t="shared" si="73"/>
        <v>0</v>
      </c>
      <c r="AB89" s="1060"/>
      <c r="AC89" s="1059"/>
      <c r="AD89" s="1059">
        <f t="shared" si="74"/>
        <v>0</v>
      </c>
      <c r="AE89" s="1060"/>
      <c r="AF89" s="1059">
        <f t="shared" si="75"/>
        <v>0</v>
      </c>
      <c r="AG89" s="1060"/>
      <c r="AH89" s="1059"/>
      <c r="AI89" s="1059">
        <f t="shared" si="76"/>
        <v>0</v>
      </c>
      <c r="AK89" s="320" t="b">
        <f t="shared" si="66"/>
        <v>1</v>
      </c>
    </row>
    <row r="91" spans="2:51">
      <c r="D91" s="1074">
        <f>+D75+D57+D40+D22+D4</f>
        <v>16671.224999999999</v>
      </c>
    </row>
    <row r="92" spans="2:51" ht="13.5">
      <c r="L92" s="1085" t="s">
        <v>812</v>
      </c>
      <c r="M92" s="1061" t="s">
        <v>165</v>
      </c>
      <c r="N92" s="1061"/>
      <c r="O92" s="1061"/>
      <c r="P92" s="1061" t="s">
        <v>270</v>
      </c>
      <c r="Q92" s="1061" t="s">
        <v>813</v>
      </c>
      <c r="R92" s="1085" t="s">
        <v>814</v>
      </c>
      <c r="S92" s="1471" t="s">
        <v>815</v>
      </c>
      <c r="T92" s="1471"/>
      <c r="U92" s="1471"/>
      <c r="V92" s="1471"/>
      <c r="W92" s="1471"/>
      <c r="X92" s="1471"/>
      <c r="Y92" s="1471"/>
    </row>
    <row r="93" spans="2:51" ht="13.5">
      <c r="D93" s="1074"/>
      <c r="L93" s="1084" t="s">
        <v>816</v>
      </c>
      <c r="M93" s="1059" t="s">
        <v>722</v>
      </c>
      <c r="N93" s="1059"/>
      <c r="O93" s="1059"/>
      <c r="P93" s="1058">
        <f>+D6+D10+D16</f>
        <v>539.69000000000005</v>
      </c>
      <c r="Q93" s="1059">
        <f>+M4</f>
        <v>136903140</v>
      </c>
      <c r="R93" s="1086">
        <v>1</v>
      </c>
      <c r="S93" s="1488" t="s">
        <v>817</v>
      </c>
      <c r="T93" s="1488"/>
      <c r="U93" s="1488"/>
      <c r="V93" s="1488"/>
      <c r="W93" s="1488"/>
      <c r="X93" s="1488"/>
      <c r="Y93" s="1488"/>
      <c r="AY93" s="320"/>
    </row>
    <row r="94" spans="2:51" ht="13.5" customHeight="1">
      <c r="L94" s="1489" t="s">
        <v>818</v>
      </c>
      <c r="M94" s="1059" t="s">
        <v>743</v>
      </c>
      <c r="N94" s="1059"/>
      <c r="O94" s="1059"/>
      <c r="P94" s="1058">
        <f>+D58+D59+D60</f>
        <v>432.58</v>
      </c>
      <c r="Q94" s="1059">
        <f>+M57</f>
        <v>47583800</v>
      </c>
      <c r="R94" s="1086">
        <v>1</v>
      </c>
      <c r="S94" s="1488" t="s">
        <v>819</v>
      </c>
      <c r="T94" s="1488"/>
      <c r="U94" s="1488"/>
      <c r="V94" s="1488"/>
      <c r="W94" s="1488"/>
      <c r="X94" s="1488"/>
      <c r="Y94" s="1488"/>
      <c r="AY94" s="320"/>
    </row>
    <row r="95" spans="2:51">
      <c r="L95" s="1489"/>
      <c r="M95" s="1059" t="s">
        <v>748</v>
      </c>
      <c r="N95" s="1059"/>
      <c r="O95" s="1059"/>
      <c r="P95" s="1058">
        <f>+D76+D78</f>
        <v>433.14</v>
      </c>
      <c r="Q95" s="1059">
        <f>+M75</f>
        <v>260647200</v>
      </c>
      <c r="R95" s="1086">
        <v>1</v>
      </c>
      <c r="S95" s="1488" t="s">
        <v>820</v>
      </c>
      <c r="T95" s="1488"/>
      <c r="U95" s="1488"/>
      <c r="V95" s="1488"/>
      <c r="W95" s="1488"/>
      <c r="X95" s="1488"/>
      <c r="Y95" s="1488"/>
      <c r="AY95" s="320"/>
    </row>
    <row r="96" spans="2:51">
      <c r="L96" s="1489"/>
      <c r="M96" s="1059" t="s">
        <v>17</v>
      </c>
      <c r="N96" s="1059"/>
      <c r="O96" s="1059"/>
      <c r="P96" s="1058">
        <f>+SUM(P94:P95)</f>
        <v>865.72</v>
      </c>
      <c r="Q96" s="1059">
        <f>+Q94+Q95</f>
        <v>308231000</v>
      </c>
      <c r="R96" s="1086">
        <v>1</v>
      </c>
      <c r="S96" s="1488"/>
      <c r="T96" s="1488"/>
      <c r="U96" s="1488"/>
      <c r="V96" s="1488"/>
      <c r="W96" s="1488"/>
      <c r="X96" s="1488"/>
      <c r="Y96" s="1488"/>
      <c r="AY96" s="320"/>
    </row>
    <row r="97" spans="2:37">
      <c r="L97" s="1486" t="s">
        <v>17</v>
      </c>
      <c r="M97" s="1487"/>
      <c r="N97" s="1130"/>
      <c r="O97" s="1130"/>
      <c r="P97" s="1058">
        <f>+P93+P96</f>
        <v>1405.41</v>
      </c>
      <c r="Q97" s="1059">
        <f>+Q96+Q93</f>
        <v>445134140</v>
      </c>
      <c r="R97" s="1059"/>
      <c r="S97" s="1488" t="s">
        <v>821</v>
      </c>
      <c r="T97" s="1488"/>
      <c r="U97" s="1488"/>
      <c r="V97" s="1488"/>
      <c r="W97" s="1488"/>
      <c r="X97" s="1488"/>
      <c r="Y97" s="1488"/>
    </row>
    <row r="99" spans="2:37" ht="13.5">
      <c r="C99" s="43"/>
      <c r="E99" s="1075"/>
      <c r="P99" s="320" t="s">
        <v>270</v>
      </c>
      <c r="Q99" s="373" t="s">
        <v>822</v>
      </c>
    </row>
    <row r="100" spans="2:37">
      <c r="L100" s="320" t="s">
        <v>823</v>
      </c>
      <c r="M100" s="320" t="s">
        <v>715</v>
      </c>
      <c r="P100" s="473">
        <f>+SUM(P101:P104)</f>
        <v>419.96</v>
      </c>
      <c r="Q100" s="320">
        <f>+SUM(Q101:Q104)</f>
        <v>177687400</v>
      </c>
    </row>
    <row r="101" spans="2:37" ht="13.5">
      <c r="L101" s="373" t="s">
        <v>824</v>
      </c>
      <c r="M101" s="320" t="str">
        <f t="shared" ref="M101:M104" si="79">+C80</f>
        <v>Ajin P&amp;S(개인사업자)(Drop_Tentative)</v>
      </c>
      <c r="P101" s="473">
        <f>+D80</f>
        <v>151.13</v>
      </c>
      <c r="Q101" s="320">
        <f>+L80</f>
        <v>74809350</v>
      </c>
    </row>
    <row r="102" spans="2:37">
      <c r="M102" s="320" t="str">
        <f t="shared" si="79"/>
        <v>Myunghyun Tech 1(개인사업자)(Drop_Tentative)</v>
      </c>
      <c r="P102" s="473">
        <f>+D81</f>
        <v>71.680000000000007</v>
      </c>
      <c r="Q102" s="320">
        <f>+L81</f>
        <v>15848800.000000002</v>
      </c>
    </row>
    <row r="103" spans="2:37">
      <c r="M103" s="320" t="str">
        <f t="shared" si="79"/>
        <v>Myunghyun Tech 2(개인사업자)(Drop_Tentative)</v>
      </c>
      <c r="P103" s="473">
        <f>+D82</f>
        <v>38.4</v>
      </c>
      <c r="Q103" s="320">
        <f>+L82</f>
        <v>8448000</v>
      </c>
    </row>
    <row r="104" spans="2:37">
      <c r="M104" s="320" t="str">
        <f t="shared" si="79"/>
        <v>Sehyun Chemical(개인사업자)(Drop_Tentative)</v>
      </c>
      <c r="P104" s="473">
        <f>+D83</f>
        <v>158.75</v>
      </c>
      <c r="Q104" s="320">
        <f>+L83</f>
        <v>78581250</v>
      </c>
    </row>
    <row r="108" spans="2:37" ht="13.5">
      <c r="B108" s="43" t="s">
        <v>825</v>
      </c>
    </row>
    <row r="110" spans="2:37" ht="13.5" customHeight="1">
      <c r="B110" s="1470" t="s">
        <v>165</v>
      </c>
      <c r="C110" s="1470" t="s">
        <v>715</v>
      </c>
      <c r="D110" s="1473" t="s">
        <v>270</v>
      </c>
      <c r="E110" s="1469" t="s">
        <v>794</v>
      </c>
      <c r="F110" s="1484" t="s">
        <v>606</v>
      </c>
      <c r="G110" s="1466" t="s">
        <v>795</v>
      </c>
      <c r="H110" s="1484" t="s">
        <v>796</v>
      </c>
      <c r="I110" s="1072" t="s">
        <v>797</v>
      </c>
      <c r="J110" s="1466" t="s">
        <v>798</v>
      </c>
      <c r="K110" s="1471" t="s">
        <v>17</v>
      </c>
      <c r="L110" s="1475" t="s">
        <v>716</v>
      </c>
      <c r="M110" s="1482" t="s">
        <v>717</v>
      </c>
      <c r="N110" s="1482" t="s">
        <v>1056</v>
      </c>
      <c r="O110" s="1482" t="s">
        <v>1057</v>
      </c>
      <c r="P110" s="1471" t="s">
        <v>718</v>
      </c>
      <c r="Q110" s="1471"/>
      <c r="R110" s="1471"/>
      <c r="S110" s="1471"/>
      <c r="T110" s="1471"/>
      <c r="U110" s="1471" t="s">
        <v>719</v>
      </c>
      <c r="V110" s="1471"/>
      <c r="W110" s="1471"/>
      <c r="X110" s="1471"/>
      <c r="Y110" s="1471"/>
      <c r="Z110" s="1471" t="s">
        <v>370</v>
      </c>
      <c r="AA110" s="1471"/>
      <c r="AB110" s="1471"/>
      <c r="AC110" s="1471"/>
      <c r="AD110" s="1471"/>
      <c r="AE110" s="1471" t="s">
        <v>371</v>
      </c>
      <c r="AF110" s="1471"/>
      <c r="AG110" s="1471"/>
      <c r="AH110" s="1471"/>
      <c r="AI110" s="1471"/>
    </row>
    <row r="111" spans="2:37" ht="13.5">
      <c r="B111" s="1470"/>
      <c r="C111" s="1470"/>
      <c r="D111" s="1473"/>
      <c r="E111" s="1469"/>
      <c r="F111" s="1485"/>
      <c r="G111" s="1467"/>
      <c r="H111" s="1485"/>
      <c r="I111" s="1073">
        <v>0.02</v>
      </c>
      <c r="J111" s="1467"/>
      <c r="K111" s="1471"/>
      <c r="L111" s="1476"/>
      <c r="M111" s="1483"/>
      <c r="N111" s="1483"/>
      <c r="O111" s="1483"/>
      <c r="P111" s="1061" t="s">
        <v>188</v>
      </c>
      <c r="Q111" s="1062">
        <v>0.3</v>
      </c>
      <c r="R111" s="1061" t="s">
        <v>188</v>
      </c>
      <c r="S111" s="1063" t="s">
        <v>720</v>
      </c>
      <c r="T111" s="1063" t="s">
        <v>721</v>
      </c>
      <c r="U111" s="1061" t="s">
        <v>188</v>
      </c>
      <c r="V111" s="1062">
        <v>0.2</v>
      </c>
      <c r="W111" s="1061" t="s">
        <v>188</v>
      </c>
      <c r="X111" s="1063" t="s">
        <v>720</v>
      </c>
      <c r="Y111" s="1063" t="s">
        <v>721</v>
      </c>
      <c r="Z111" s="1061" t="s">
        <v>188</v>
      </c>
      <c r="AA111" s="1062">
        <v>0.5</v>
      </c>
      <c r="AB111" s="1061" t="s">
        <v>188</v>
      </c>
      <c r="AC111" s="1063" t="s">
        <v>720</v>
      </c>
      <c r="AD111" s="1063" t="s">
        <v>721</v>
      </c>
      <c r="AE111" s="1061" t="s">
        <v>188</v>
      </c>
      <c r="AF111" s="1062">
        <v>0.1</v>
      </c>
      <c r="AG111" s="1061" t="s">
        <v>188</v>
      </c>
      <c r="AH111" s="1063" t="s">
        <v>720</v>
      </c>
      <c r="AI111" s="1063" t="s">
        <v>721</v>
      </c>
    </row>
    <row r="112" spans="2:37">
      <c r="B112" s="1057"/>
      <c r="C112" s="1057"/>
      <c r="D112" s="1058">
        <f>+SUM(D113:D126)</f>
        <v>37753.02635</v>
      </c>
      <c r="E112" s="503"/>
      <c r="F112" s="503"/>
      <c r="G112" s="503"/>
      <c r="H112" s="503"/>
      <c r="I112" s="503"/>
      <c r="J112" s="1059">
        <f>+SUM(J113:J126)</f>
        <v>5897791900</v>
      </c>
      <c r="K112" s="1059">
        <f>+SUM(K113:K126)</f>
        <v>20764164492.5</v>
      </c>
      <c r="L112" s="1059">
        <f t="shared" ref="L112:M112" si="80">+SUM(L113:L126)</f>
        <v>0</v>
      </c>
      <c r="M112" s="1059">
        <f t="shared" si="80"/>
        <v>0</v>
      </c>
      <c r="N112" s="1059"/>
      <c r="O112" s="1059"/>
      <c r="P112" s="1060"/>
      <c r="Q112" s="1059">
        <f>+SUM(Q113:Q126)</f>
        <v>6229249348</v>
      </c>
      <c r="R112" s="1060"/>
      <c r="S112" s="1059">
        <f>+SUM(S113:S126)</f>
        <v>0</v>
      </c>
      <c r="T112" s="1059">
        <f>+SUM(T113:T126)</f>
        <v>6229249348</v>
      </c>
      <c r="U112" s="1060"/>
      <c r="V112" s="1059">
        <f t="shared" ref="V112" si="81">+SUM(V113:V126)</f>
        <v>4152832899</v>
      </c>
      <c r="W112" s="1060"/>
      <c r="X112" s="1059"/>
      <c r="Y112" s="1059">
        <f>+SUM(Y113:Y126)</f>
        <v>4152832899</v>
      </c>
      <c r="Z112" s="1060"/>
      <c r="AA112" s="1059">
        <f t="shared" ref="AA112" si="82">+SUM(AA113:AA126)</f>
        <v>10382082246</v>
      </c>
      <c r="AB112" s="1060"/>
      <c r="AC112" s="1059"/>
      <c r="AD112" s="1059">
        <f>+SUM(AD113:AD126)</f>
        <v>10382082246</v>
      </c>
      <c r="AE112" s="1060"/>
      <c r="AF112" s="1059">
        <f t="shared" ref="AF112" si="83">+SUM(AF113:AF126)</f>
        <v>2076416449</v>
      </c>
      <c r="AG112" s="1060"/>
      <c r="AH112" s="1059"/>
      <c r="AI112" s="1059">
        <f>+SUM(AI113:AI126)</f>
        <v>2076416449</v>
      </c>
      <c r="AK112" s="320" t="b">
        <f t="shared" ref="AK112:AK126" si="84">+K112=Q112+V112+AA112+AF112</f>
        <v>0</v>
      </c>
    </row>
    <row r="113" spans="2:37">
      <c r="B113" s="1480" t="s">
        <v>826</v>
      </c>
      <c r="C113" s="1058" t="s">
        <v>827</v>
      </c>
      <c r="D113" s="1058">
        <f>+'[7]지급 기준'!$B$523*1000</f>
        <v>3575</v>
      </c>
      <c r="E113" s="503">
        <v>500000</v>
      </c>
      <c r="F113" s="503"/>
      <c r="G113" s="503"/>
      <c r="H113" s="503"/>
      <c r="I113" s="503"/>
      <c r="J113" s="503"/>
      <c r="K113" s="1059">
        <f>+E113*D113*1.1</f>
        <v>1966250000.0000002</v>
      </c>
      <c r="L113" s="1059">
        <f>+S113+X113+AC113+AH113</f>
        <v>0</v>
      </c>
      <c r="M113" s="1059"/>
      <c r="N113" s="1059"/>
      <c r="O113" s="1059"/>
      <c r="P113" s="1060">
        <v>46081</v>
      </c>
      <c r="Q113" s="1059">
        <f>+ROUND($K113*Q$111,)</f>
        <v>589875000</v>
      </c>
      <c r="R113" s="1060"/>
      <c r="S113" s="1059">
        <f>+'BT 7HO'!R57+'BT 7HO'!R58</f>
        <v>0</v>
      </c>
      <c r="T113" s="1059">
        <f>+Q113-S113</f>
        <v>589875000</v>
      </c>
      <c r="U113" s="1060">
        <v>46112</v>
      </c>
      <c r="V113" s="1059">
        <f>+ROUND($K113*V$111,)</f>
        <v>393250000</v>
      </c>
      <c r="W113" s="1060"/>
      <c r="X113" s="1059"/>
      <c r="Y113" s="1059">
        <f>+V113-X113</f>
        <v>393250000</v>
      </c>
      <c r="Z113" s="1060">
        <v>46142</v>
      </c>
      <c r="AA113" s="1059">
        <f>+ROUND($K113*AA$111,)</f>
        <v>983125000</v>
      </c>
      <c r="AB113" s="1060"/>
      <c r="AC113" s="1059"/>
      <c r="AD113" s="1059">
        <f>+AA113-AC113</f>
        <v>983125000</v>
      </c>
      <c r="AE113" s="1060">
        <v>46203</v>
      </c>
      <c r="AF113" s="1059">
        <f>+ROUND($K113*AF$111,)</f>
        <v>196625000</v>
      </c>
      <c r="AG113" s="1060"/>
      <c r="AH113" s="1059"/>
      <c r="AI113" s="1059">
        <f>+AF113-AH113</f>
        <v>196625000</v>
      </c>
      <c r="AK113" s="320" t="b">
        <f t="shared" si="84"/>
        <v>0</v>
      </c>
    </row>
    <row r="114" spans="2:37">
      <c r="B114" s="1481"/>
      <c r="C114" s="1058" t="s">
        <v>828</v>
      </c>
      <c r="D114" s="1058">
        <f>+'[7]지급 기준'!$B$531*1000</f>
        <v>4178.0263500000001</v>
      </c>
      <c r="E114" s="503">
        <v>500000</v>
      </c>
      <c r="F114" s="503"/>
      <c r="G114" s="503"/>
      <c r="H114" s="503"/>
      <c r="I114" s="503"/>
      <c r="J114" s="503"/>
      <c r="K114" s="1059">
        <f t="shared" ref="K114:K126" si="85">+E114*D114*1.1</f>
        <v>2297914492.5</v>
      </c>
      <c r="L114" s="1059">
        <f t="shared" ref="L114:L120" si="86">+S114+X114+AC114+AH114</f>
        <v>0</v>
      </c>
      <c r="M114" s="1059"/>
      <c r="N114" s="1059"/>
      <c r="O114" s="1059"/>
      <c r="P114" s="1060">
        <v>46081</v>
      </c>
      <c r="Q114" s="1059">
        <f t="shared" ref="Q114:Q120" si="87">+ROUND($K114*Q$111,)</f>
        <v>689374348</v>
      </c>
      <c r="R114" s="1060"/>
      <c r="S114" s="1059">
        <f>+'BT 7HO'!R58+'BT 7HO'!R59</f>
        <v>0</v>
      </c>
      <c r="T114" s="1059">
        <f t="shared" ref="T114:T126" si="88">+Q114-S114</f>
        <v>689374348</v>
      </c>
      <c r="U114" s="1060">
        <v>46112</v>
      </c>
      <c r="V114" s="1059">
        <f t="shared" ref="V114:V120" si="89">+ROUND($K114*V$111,)</f>
        <v>459582899</v>
      </c>
      <c r="W114" s="1060"/>
      <c r="X114" s="1059"/>
      <c r="Y114" s="1059">
        <f t="shared" ref="Y114:Y126" si="90">+V114-X114</f>
        <v>459582899</v>
      </c>
      <c r="Z114" s="1060">
        <v>46142</v>
      </c>
      <c r="AA114" s="1059">
        <f t="shared" ref="AA114:AA120" si="91">+ROUND($K114*AA$111,)</f>
        <v>1148957246</v>
      </c>
      <c r="AB114" s="1060"/>
      <c r="AC114" s="1059"/>
      <c r="AD114" s="1059">
        <f t="shared" ref="AD114:AD126" si="92">+AA114-AC114</f>
        <v>1148957246</v>
      </c>
      <c r="AE114" s="1060">
        <v>46203</v>
      </c>
      <c r="AF114" s="1059">
        <f t="shared" ref="AF114:AF120" si="93">+ROUND($K114*AF$111,)</f>
        <v>229791449</v>
      </c>
      <c r="AG114" s="1060"/>
      <c r="AH114" s="1059"/>
      <c r="AI114" s="1059">
        <f t="shared" ref="AI114:AI126" si="94">+AF114-AH114</f>
        <v>229791449</v>
      </c>
      <c r="AK114" s="320" t="b">
        <f t="shared" si="84"/>
        <v>0</v>
      </c>
    </row>
    <row r="115" spans="2:37">
      <c r="B115" s="1480" t="s">
        <v>743</v>
      </c>
      <c r="C115" s="1058" t="s">
        <v>827</v>
      </c>
      <c r="D115" s="1058">
        <f>+'[7]지급 기준'!$B$539*1000</f>
        <v>5000</v>
      </c>
      <c r="E115" s="503">
        <v>500000</v>
      </c>
      <c r="F115" s="503"/>
      <c r="G115" s="503"/>
      <c r="H115" s="503"/>
      <c r="I115" s="503"/>
      <c r="J115" s="503"/>
      <c r="K115" s="1059">
        <f t="shared" si="85"/>
        <v>2750000000</v>
      </c>
      <c r="L115" s="1059">
        <f t="shared" si="86"/>
        <v>0</v>
      </c>
      <c r="M115" s="1059"/>
      <c r="N115" s="1059"/>
      <c r="O115" s="1059"/>
      <c r="P115" s="1060">
        <v>46112</v>
      </c>
      <c r="Q115" s="1059">
        <f t="shared" si="87"/>
        <v>825000000</v>
      </c>
      <c r="R115" s="1060"/>
      <c r="S115" s="1059">
        <f>+'BT 7HO'!R59+'BT 7HO'!R60</f>
        <v>0</v>
      </c>
      <c r="T115" s="1059">
        <f t="shared" si="88"/>
        <v>825000000</v>
      </c>
      <c r="U115" s="1060">
        <v>46142</v>
      </c>
      <c r="V115" s="1059">
        <f t="shared" si="89"/>
        <v>550000000</v>
      </c>
      <c r="W115" s="1060"/>
      <c r="X115" s="1059">
        <f>+'BT 7HO'!Y59+'BT 7HO'!Y60</f>
        <v>0</v>
      </c>
      <c r="Y115" s="1059">
        <f t="shared" si="90"/>
        <v>550000000</v>
      </c>
      <c r="Z115" s="1060">
        <v>46173</v>
      </c>
      <c r="AA115" s="1059">
        <f t="shared" si="91"/>
        <v>1375000000</v>
      </c>
      <c r="AB115" s="1060"/>
      <c r="AC115" s="1059"/>
      <c r="AD115" s="1059">
        <f t="shared" si="92"/>
        <v>1375000000</v>
      </c>
      <c r="AE115" s="1060">
        <v>46234</v>
      </c>
      <c r="AF115" s="1059">
        <f t="shared" si="93"/>
        <v>275000000</v>
      </c>
      <c r="AG115" s="1060"/>
      <c r="AH115" s="1059"/>
      <c r="AI115" s="1059">
        <f t="shared" si="94"/>
        <v>275000000</v>
      </c>
      <c r="AK115" s="320" t="b">
        <f t="shared" si="84"/>
        <v>0</v>
      </c>
    </row>
    <row r="116" spans="2:37">
      <c r="B116" s="1481"/>
      <c r="C116" s="1058" t="s">
        <v>828</v>
      </c>
      <c r="D116" s="1058">
        <f>+'[7]지급 기준'!$B$547*1000</f>
        <v>5000</v>
      </c>
      <c r="E116" s="503">
        <v>500000</v>
      </c>
      <c r="F116" s="503"/>
      <c r="G116" s="503"/>
      <c r="H116" s="503"/>
      <c r="I116" s="503"/>
      <c r="J116" s="503"/>
      <c r="K116" s="1059">
        <f t="shared" si="85"/>
        <v>2750000000</v>
      </c>
      <c r="L116" s="1059">
        <f t="shared" si="86"/>
        <v>0</v>
      </c>
      <c r="M116" s="1059"/>
      <c r="N116" s="1059"/>
      <c r="O116" s="1059"/>
      <c r="P116" s="1060">
        <v>46112</v>
      </c>
      <c r="Q116" s="1059">
        <f t="shared" si="87"/>
        <v>825000000</v>
      </c>
      <c r="R116" s="1060"/>
      <c r="S116" s="1059">
        <f>+'BT 7HO'!R64+'BT 7HO'!R65</f>
        <v>0</v>
      </c>
      <c r="T116" s="1059">
        <f t="shared" si="88"/>
        <v>825000000</v>
      </c>
      <c r="U116" s="1060">
        <v>46142</v>
      </c>
      <c r="V116" s="1059">
        <f t="shared" si="89"/>
        <v>550000000</v>
      </c>
      <c r="W116" s="1060"/>
      <c r="X116" s="1059">
        <f>+'BT 7HO'!Y64+'BT 7HO'!Y65</f>
        <v>0</v>
      </c>
      <c r="Y116" s="1059">
        <f t="shared" si="90"/>
        <v>550000000</v>
      </c>
      <c r="Z116" s="1060">
        <v>46173</v>
      </c>
      <c r="AA116" s="1059">
        <f t="shared" si="91"/>
        <v>1375000000</v>
      </c>
      <c r="AB116" s="1060"/>
      <c r="AC116" s="1059"/>
      <c r="AD116" s="1059">
        <f t="shared" si="92"/>
        <v>1375000000</v>
      </c>
      <c r="AE116" s="1060">
        <v>46234</v>
      </c>
      <c r="AF116" s="1059">
        <f t="shared" si="93"/>
        <v>275000000</v>
      </c>
      <c r="AG116" s="1060"/>
      <c r="AH116" s="1059"/>
      <c r="AI116" s="1059">
        <f t="shared" si="94"/>
        <v>275000000</v>
      </c>
      <c r="AK116" s="320" t="b">
        <f t="shared" si="84"/>
        <v>0</v>
      </c>
    </row>
    <row r="117" spans="2:37">
      <c r="B117" s="1480" t="s">
        <v>829</v>
      </c>
      <c r="C117" s="1058" t="s">
        <v>827</v>
      </c>
      <c r="D117" s="1058">
        <f>+'[7]지급 기준'!$B$555*1000</f>
        <v>5000</v>
      </c>
      <c r="E117" s="503">
        <v>500000</v>
      </c>
      <c r="F117" s="503">
        <v>1448</v>
      </c>
      <c r="G117" s="503">
        <f>+F117*D117</f>
        <v>7240000</v>
      </c>
      <c r="H117" s="503">
        <v>209</v>
      </c>
      <c r="I117" s="1088">
        <v>0.02</v>
      </c>
      <c r="J117" s="503">
        <f>+G117*H117*(1-I117)</f>
        <v>1482896800</v>
      </c>
      <c r="K117" s="1059">
        <f t="shared" si="85"/>
        <v>2750000000</v>
      </c>
      <c r="L117" s="1059">
        <f t="shared" si="86"/>
        <v>0</v>
      </c>
      <c r="M117" s="1089"/>
      <c r="N117" s="1089"/>
      <c r="O117" s="1089"/>
      <c r="P117" s="1060">
        <v>46112</v>
      </c>
      <c r="Q117" s="1059">
        <f t="shared" si="87"/>
        <v>825000000</v>
      </c>
      <c r="R117" s="1060"/>
      <c r="S117" s="1059">
        <f>+'BT 7HO'!R69+'BT 7HO'!R70</f>
        <v>0</v>
      </c>
      <c r="T117" s="1059">
        <f t="shared" si="88"/>
        <v>825000000</v>
      </c>
      <c r="U117" s="1060">
        <v>46142</v>
      </c>
      <c r="V117" s="1059">
        <f t="shared" si="89"/>
        <v>550000000</v>
      </c>
      <c r="W117" s="1060"/>
      <c r="X117" s="1059">
        <f>+'BT 7HO'!Y69+'BT 7HO'!Y70</f>
        <v>0</v>
      </c>
      <c r="Y117" s="1059">
        <f t="shared" si="90"/>
        <v>550000000</v>
      </c>
      <c r="Z117" s="1060">
        <v>46173</v>
      </c>
      <c r="AA117" s="1059">
        <f t="shared" si="91"/>
        <v>1375000000</v>
      </c>
      <c r="AB117" s="1060"/>
      <c r="AC117" s="1059"/>
      <c r="AD117" s="1059">
        <f t="shared" si="92"/>
        <v>1375000000</v>
      </c>
      <c r="AE117" s="1060">
        <v>46234</v>
      </c>
      <c r="AF117" s="1059">
        <f t="shared" si="93"/>
        <v>275000000</v>
      </c>
      <c r="AG117" s="1060"/>
      <c r="AH117" s="1059"/>
      <c r="AI117" s="1059">
        <f t="shared" si="94"/>
        <v>275000000</v>
      </c>
      <c r="AK117" s="320" t="b">
        <f t="shared" si="84"/>
        <v>0</v>
      </c>
    </row>
    <row r="118" spans="2:37">
      <c r="B118" s="1481"/>
      <c r="C118" s="1058" t="s">
        <v>828</v>
      </c>
      <c r="D118" s="1058">
        <f>+'[7]지급 기준'!$B$563*1000</f>
        <v>5000</v>
      </c>
      <c r="E118" s="503">
        <v>500000</v>
      </c>
      <c r="F118" s="503">
        <v>1431</v>
      </c>
      <c r="G118" s="503">
        <f t="shared" ref="G118:G120" si="95">+F118*D118</f>
        <v>7155000</v>
      </c>
      <c r="H118" s="503">
        <v>209</v>
      </c>
      <c r="I118" s="1088">
        <v>0.02</v>
      </c>
      <c r="J118" s="503">
        <f t="shared" ref="J118:J120" si="96">+G118*H118*(1-I118)</f>
        <v>1465487100</v>
      </c>
      <c r="K118" s="1059">
        <f t="shared" si="85"/>
        <v>2750000000</v>
      </c>
      <c r="L118" s="1059">
        <f t="shared" si="86"/>
        <v>0</v>
      </c>
      <c r="M118" s="1089"/>
      <c r="N118" s="1089"/>
      <c r="O118" s="1089"/>
      <c r="P118" s="1060">
        <v>46112</v>
      </c>
      <c r="Q118" s="1059">
        <f t="shared" si="87"/>
        <v>825000000</v>
      </c>
      <c r="R118" s="1060"/>
      <c r="S118" s="1059">
        <f>+'BT 7HO'!R74+'BT 7HO'!R75</f>
        <v>0</v>
      </c>
      <c r="T118" s="1059">
        <f t="shared" si="88"/>
        <v>825000000</v>
      </c>
      <c r="U118" s="1060">
        <v>46142</v>
      </c>
      <c r="V118" s="1059">
        <f t="shared" si="89"/>
        <v>550000000</v>
      </c>
      <c r="W118" s="1060"/>
      <c r="X118" s="1059">
        <f>+'BT 7HO'!Y74+'BT 7HO'!Y75</f>
        <v>0</v>
      </c>
      <c r="Y118" s="1059">
        <f t="shared" si="90"/>
        <v>550000000</v>
      </c>
      <c r="Z118" s="1060">
        <v>46173</v>
      </c>
      <c r="AA118" s="1059">
        <f t="shared" si="91"/>
        <v>1375000000</v>
      </c>
      <c r="AB118" s="1060"/>
      <c r="AC118" s="1059"/>
      <c r="AD118" s="1059">
        <f t="shared" si="92"/>
        <v>1375000000</v>
      </c>
      <c r="AE118" s="1060">
        <v>46234</v>
      </c>
      <c r="AF118" s="1059">
        <f t="shared" si="93"/>
        <v>275000000</v>
      </c>
      <c r="AG118" s="1060"/>
      <c r="AH118" s="1059"/>
      <c r="AI118" s="1059">
        <f t="shared" si="94"/>
        <v>275000000</v>
      </c>
      <c r="AK118" s="320" t="b">
        <f t="shared" si="84"/>
        <v>0</v>
      </c>
    </row>
    <row r="119" spans="2:37">
      <c r="B119" s="1480" t="s">
        <v>830</v>
      </c>
      <c r="C119" s="1058" t="s">
        <v>827</v>
      </c>
      <c r="D119" s="1058">
        <f>+'[7]지급 기준'!$B$571*1000</f>
        <v>5000</v>
      </c>
      <c r="E119" s="503">
        <v>500000</v>
      </c>
      <c r="F119" s="503">
        <v>1431</v>
      </c>
      <c r="G119" s="503">
        <f t="shared" si="95"/>
        <v>7155000</v>
      </c>
      <c r="H119" s="503">
        <v>209</v>
      </c>
      <c r="I119" s="1088">
        <v>0.02</v>
      </c>
      <c r="J119" s="503">
        <f t="shared" si="96"/>
        <v>1465487100</v>
      </c>
      <c r="K119" s="1059">
        <f t="shared" si="85"/>
        <v>2750000000</v>
      </c>
      <c r="L119" s="1059">
        <f t="shared" si="86"/>
        <v>0</v>
      </c>
      <c r="M119" s="1089"/>
      <c r="N119" s="1089"/>
      <c r="O119" s="1089"/>
      <c r="P119" s="1060">
        <v>46112</v>
      </c>
      <c r="Q119" s="1059">
        <f t="shared" si="87"/>
        <v>825000000</v>
      </c>
      <c r="R119" s="1060"/>
      <c r="S119" s="1059">
        <f>+'BT 7HO'!R79+'BT 7HO'!R80</f>
        <v>0</v>
      </c>
      <c r="T119" s="1059">
        <f t="shared" si="88"/>
        <v>825000000</v>
      </c>
      <c r="U119" s="1060">
        <v>46142</v>
      </c>
      <c r="V119" s="1059">
        <f t="shared" si="89"/>
        <v>550000000</v>
      </c>
      <c r="W119" s="1060"/>
      <c r="X119" s="1059">
        <f>+'BT 7HO'!Y79+'BT 7HO'!Y80</f>
        <v>0</v>
      </c>
      <c r="Y119" s="1059">
        <f t="shared" si="90"/>
        <v>550000000</v>
      </c>
      <c r="Z119" s="1060">
        <v>46173</v>
      </c>
      <c r="AA119" s="1059">
        <f t="shared" si="91"/>
        <v>1375000000</v>
      </c>
      <c r="AB119" s="1060"/>
      <c r="AC119" s="1059"/>
      <c r="AD119" s="1059">
        <f t="shared" si="92"/>
        <v>1375000000</v>
      </c>
      <c r="AE119" s="1060">
        <v>46234</v>
      </c>
      <c r="AF119" s="1059">
        <f t="shared" si="93"/>
        <v>275000000</v>
      </c>
      <c r="AG119" s="1060"/>
      <c r="AH119" s="1059"/>
      <c r="AI119" s="1059">
        <f t="shared" si="94"/>
        <v>275000000</v>
      </c>
      <c r="AK119" s="320" t="b">
        <f t="shared" si="84"/>
        <v>0</v>
      </c>
    </row>
    <row r="120" spans="2:37">
      <c r="B120" s="1481"/>
      <c r="C120" s="1058" t="s">
        <v>828</v>
      </c>
      <c r="D120" s="1058">
        <f>+'[7]지급 기준'!$B$579*1000</f>
        <v>5000</v>
      </c>
      <c r="E120" s="503">
        <v>500000</v>
      </c>
      <c r="F120" s="503">
        <v>1449</v>
      </c>
      <c r="G120" s="503">
        <f t="shared" si="95"/>
        <v>7245000</v>
      </c>
      <c r="H120" s="503">
        <v>209</v>
      </c>
      <c r="I120" s="1088">
        <v>0.02</v>
      </c>
      <c r="J120" s="503">
        <f t="shared" si="96"/>
        <v>1483920900</v>
      </c>
      <c r="K120" s="1059">
        <f t="shared" si="85"/>
        <v>2750000000</v>
      </c>
      <c r="L120" s="1059">
        <f t="shared" si="86"/>
        <v>0</v>
      </c>
      <c r="M120" s="1089"/>
      <c r="N120" s="1089"/>
      <c r="O120" s="1089"/>
      <c r="P120" s="1060">
        <v>46112</v>
      </c>
      <c r="Q120" s="1059">
        <f t="shared" si="87"/>
        <v>825000000</v>
      </c>
      <c r="R120" s="1060"/>
      <c r="S120" s="1059">
        <f>+'BT 7HO'!R84+'BT 7HO'!R85</f>
        <v>0</v>
      </c>
      <c r="T120" s="1059">
        <f t="shared" si="88"/>
        <v>825000000</v>
      </c>
      <c r="U120" s="1060">
        <v>46142</v>
      </c>
      <c r="V120" s="1059">
        <f t="shared" si="89"/>
        <v>550000000</v>
      </c>
      <c r="W120" s="1060"/>
      <c r="X120" s="1059">
        <f>+'BT 7HO'!Y84+'BT 7HO'!Y85</f>
        <v>0</v>
      </c>
      <c r="Y120" s="1059">
        <f t="shared" si="90"/>
        <v>550000000</v>
      </c>
      <c r="Z120" s="1060">
        <v>46173</v>
      </c>
      <c r="AA120" s="1059">
        <f t="shared" si="91"/>
        <v>1375000000</v>
      </c>
      <c r="AB120" s="1060"/>
      <c r="AC120" s="1059"/>
      <c r="AD120" s="1059">
        <f t="shared" si="92"/>
        <v>1375000000</v>
      </c>
      <c r="AE120" s="1060">
        <v>46234</v>
      </c>
      <c r="AF120" s="1059">
        <f t="shared" si="93"/>
        <v>275000000</v>
      </c>
      <c r="AG120" s="1060"/>
      <c r="AH120" s="1059"/>
      <c r="AI120" s="1059">
        <f t="shared" si="94"/>
        <v>275000000</v>
      </c>
      <c r="AK120" s="320" t="b">
        <f t="shared" si="84"/>
        <v>0</v>
      </c>
    </row>
    <row r="121" spans="2:37">
      <c r="B121" s="1057"/>
      <c r="C121" s="1058"/>
      <c r="D121" s="1058"/>
      <c r="E121" s="503">
        <v>500000</v>
      </c>
      <c r="F121" s="503"/>
      <c r="G121" s="503"/>
      <c r="H121" s="503"/>
      <c r="I121" s="503"/>
      <c r="J121" s="503"/>
      <c r="K121" s="1059">
        <f t="shared" si="85"/>
        <v>0</v>
      </c>
      <c r="L121" s="1059"/>
      <c r="M121" s="1059"/>
      <c r="N121" s="1059"/>
      <c r="O121" s="1059"/>
      <c r="P121" s="1060"/>
      <c r="Q121" s="1059">
        <f t="shared" ref="Q121:Q126" si="97">+ROUND($K121*Q$74,)</f>
        <v>0</v>
      </c>
      <c r="R121" s="1060"/>
      <c r="S121" s="1059"/>
      <c r="T121" s="1059">
        <f t="shared" si="88"/>
        <v>0</v>
      </c>
      <c r="U121" s="1060"/>
      <c r="V121" s="1059">
        <f t="shared" ref="V121:V126" si="98">+ROUND($K121*V$74,)</f>
        <v>0</v>
      </c>
      <c r="W121" s="1060"/>
      <c r="X121" s="1059"/>
      <c r="Y121" s="1059">
        <f t="shared" si="90"/>
        <v>0</v>
      </c>
      <c r="Z121" s="1060"/>
      <c r="AA121" s="1059">
        <f t="shared" ref="AA121:AA126" si="99">+ROUND($K121*AA$74,)</f>
        <v>0</v>
      </c>
      <c r="AB121" s="1060"/>
      <c r="AC121" s="1059"/>
      <c r="AD121" s="1059">
        <f t="shared" si="92"/>
        <v>0</v>
      </c>
      <c r="AE121" s="1060"/>
      <c r="AF121" s="1059">
        <f t="shared" ref="AF121:AF126" si="100">+ROUND($K121*AF$74,)</f>
        <v>0</v>
      </c>
      <c r="AG121" s="1060"/>
      <c r="AH121" s="1059"/>
      <c r="AI121" s="1059">
        <f t="shared" si="94"/>
        <v>0</v>
      </c>
      <c r="AK121" s="320" t="b">
        <f t="shared" si="84"/>
        <v>1</v>
      </c>
    </row>
    <row r="122" spans="2:37">
      <c r="B122" s="1057"/>
      <c r="C122" s="1058"/>
      <c r="D122" s="1058"/>
      <c r="E122" s="503">
        <v>500000</v>
      </c>
      <c r="F122" s="503"/>
      <c r="G122" s="503"/>
      <c r="H122" s="503"/>
      <c r="I122" s="503"/>
      <c r="J122" s="503"/>
      <c r="K122" s="1059">
        <f t="shared" si="85"/>
        <v>0</v>
      </c>
      <c r="L122" s="1059"/>
      <c r="M122" s="1059"/>
      <c r="N122" s="1059"/>
      <c r="O122" s="1059"/>
      <c r="P122" s="1060"/>
      <c r="Q122" s="1059">
        <f t="shared" si="97"/>
        <v>0</v>
      </c>
      <c r="R122" s="1060"/>
      <c r="S122" s="1059"/>
      <c r="T122" s="1059">
        <f t="shared" si="88"/>
        <v>0</v>
      </c>
      <c r="U122" s="1060"/>
      <c r="V122" s="1059">
        <f t="shared" si="98"/>
        <v>0</v>
      </c>
      <c r="W122" s="1060"/>
      <c r="X122" s="1059"/>
      <c r="Y122" s="1059">
        <f t="shared" si="90"/>
        <v>0</v>
      </c>
      <c r="Z122" s="1060"/>
      <c r="AA122" s="1059">
        <f t="shared" si="99"/>
        <v>0</v>
      </c>
      <c r="AB122" s="1060"/>
      <c r="AC122" s="1059"/>
      <c r="AD122" s="1059">
        <f t="shared" si="92"/>
        <v>0</v>
      </c>
      <c r="AE122" s="1060"/>
      <c r="AF122" s="1059">
        <f t="shared" si="100"/>
        <v>0</v>
      </c>
      <c r="AG122" s="1060"/>
      <c r="AH122" s="1059"/>
      <c r="AI122" s="1059">
        <f t="shared" si="94"/>
        <v>0</v>
      </c>
      <c r="AK122" s="320" t="b">
        <f t="shared" si="84"/>
        <v>1</v>
      </c>
    </row>
    <row r="123" spans="2:37">
      <c r="B123" s="1057"/>
      <c r="C123" s="1058"/>
      <c r="D123" s="1058"/>
      <c r="E123" s="503">
        <v>500000</v>
      </c>
      <c r="F123" s="503"/>
      <c r="G123" s="503"/>
      <c r="H123" s="503"/>
      <c r="I123" s="503"/>
      <c r="J123" s="503"/>
      <c r="K123" s="1059">
        <f t="shared" si="85"/>
        <v>0</v>
      </c>
      <c r="L123" s="1059"/>
      <c r="M123" s="1059"/>
      <c r="N123" s="1059"/>
      <c r="O123" s="1059"/>
      <c r="P123" s="1060"/>
      <c r="Q123" s="1059">
        <f t="shared" si="97"/>
        <v>0</v>
      </c>
      <c r="R123" s="1060"/>
      <c r="S123" s="1059"/>
      <c r="T123" s="1059">
        <f t="shared" si="88"/>
        <v>0</v>
      </c>
      <c r="U123" s="1060"/>
      <c r="V123" s="1059">
        <f t="shared" si="98"/>
        <v>0</v>
      </c>
      <c r="W123" s="1060"/>
      <c r="X123" s="1059"/>
      <c r="Y123" s="1059">
        <f t="shared" si="90"/>
        <v>0</v>
      </c>
      <c r="Z123" s="1060"/>
      <c r="AA123" s="1059">
        <f t="shared" si="99"/>
        <v>0</v>
      </c>
      <c r="AB123" s="1060"/>
      <c r="AC123" s="1059"/>
      <c r="AD123" s="1059">
        <f t="shared" si="92"/>
        <v>0</v>
      </c>
      <c r="AE123" s="1060"/>
      <c r="AF123" s="1059">
        <f t="shared" si="100"/>
        <v>0</v>
      </c>
      <c r="AG123" s="1060"/>
      <c r="AH123" s="1059"/>
      <c r="AI123" s="1059">
        <f t="shared" si="94"/>
        <v>0</v>
      </c>
      <c r="AK123" s="320" t="b">
        <f t="shared" si="84"/>
        <v>1</v>
      </c>
    </row>
    <row r="124" spans="2:37">
      <c r="B124" s="1057"/>
      <c r="C124" s="1058"/>
      <c r="D124" s="1058"/>
      <c r="E124" s="503">
        <v>500000</v>
      </c>
      <c r="F124" s="503"/>
      <c r="G124" s="503"/>
      <c r="H124" s="503"/>
      <c r="I124" s="503"/>
      <c r="J124" s="503"/>
      <c r="K124" s="1059">
        <f t="shared" si="85"/>
        <v>0</v>
      </c>
      <c r="L124" s="1059"/>
      <c r="M124" s="1059"/>
      <c r="N124" s="1059"/>
      <c r="O124" s="1059"/>
      <c r="P124" s="1060"/>
      <c r="Q124" s="1059">
        <f t="shared" si="97"/>
        <v>0</v>
      </c>
      <c r="R124" s="1060"/>
      <c r="S124" s="1059"/>
      <c r="T124" s="1059">
        <f t="shared" si="88"/>
        <v>0</v>
      </c>
      <c r="U124" s="1060"/>
      <c r="V124" s="1059">
        <f t="shared" si="98"/>
        <v>0</v>
      </c>
      <c r="W124" s="1060"/>
      <c r="X124" s="1059"/>
      <c r="Y124" s="1059">
        <f t="shared" si="90"/>
        <v>0</v>
      </c>
      <c r="Z124" s="1060"/>
      <c r="AA124" s="1059">
        <f t="shared" si="99"/>
        <v>0</v>
      </c>
      <c r="AB124" s="1060"/>
      <c r="AC124" s="1059"/>
      <c r="AD124" s="1059">
        <f t="shared" si="92"/>
        <v>0</v>
      </c>
      <c r="AE124" s="1060"/>
      <c r="AF124" s="1059">
        <f t="shared" si="100"/>
        <v>0</v>
      </c>
      <c r="AG124" s="1060"/>
      <c r="AH124" s="1059"/>
      <c r="AI124" s="1059">
        <f t="shared" si="94"/>
        <v>0</v>
      </c>
      <c r="AK124" s="320" t="b">
        <f t="shared" si="84"/>
        <v>1</v>
      </c>
    </row>
    <row r="125" spans="2:37">
      <c r="B125" s="1057"/>
      <c r="C125" s="1058"/>
      <c r="D125" s="1058"/>
      <c r="E125" s="503">
        <v>500000</v>
      </c>
      <c r="F125" s="503"/>
      <c r="G125" s="503"/>
      <c r="H125" s="503"/>
      <c r="I125" s="503"/>
      <c r="J125" s="503"/>
      <c r="K125" s="1059">
        <f t="shared" si="85"/>
        <v>0</v>
      </c>
      <c r="L125" s="1059"/>
      <c r="M125" s="1059"/>
      <c r="N125" s="1059"/>
      <c r="O125" s="1059"/>
      <c r="P125" s="1060"/>
      <c r="Q125" s="1059">
        <f t="shared" si="97"/>
        <v>0</v>
      </c>
      <c r="R125" s="1060"/>
      <c r="S125" s="1059"/>
      <c r="T125" s="1059">
        <f t="shared" si="88"/>
        <v>0</v>
      </c>
      <c r="U125" s="1060"/>
      <c r="V125" s="1059">
        <f t="shared" si="98"/>
        <v>0</v>
      </c>
      <c r="W125" s="1060"/>
      <c r="X125" s="1059"/>
      <c r="Y125" s="1059">
        <f t="shared" si="90"/>
        <v>0</v>
      </c>
      <c r="Z125" s="1060"/>
      <c r="AA125" s="1059">
        <f t="shared" si="99"/>
        <v>0</v>
      </c>
      <c r="AB125" s="1060"/>
      <c r="AC125" s="1059"/>
      <c r="AD125" s="1059">
        <f t="shared" si="92"/>
        <v>0</v>
      </c>
      <c r="AE125" s="1060"/>
      <c r="AF125" s="1059">
        <f t="shared" si="100"/>
        <v>0</v>
      </c>
      <c r="AG125" s="1060"/>
      <c r="AH125" s="1059"/>
      <c r="AI125" s="1059">
        <f t="shared" si="94"/>
        <v>0</v>
      </c>
      <c r="AK125" s="320" t="b">
        <f t="shared" si="84"/>
        <v>1</v>
      </c>
    </row>
    <row r="126" spans="2:37">
      <c r="B126" s="1057"/>
      <c r="C126" s="1058"/>
      <c r="D126" s="1058"/>
      <c r="E126" s="503">
        <v>500000</v>
      </c>
      <c r="F126" s="503"/>
      <c r="G126" s="503"/>
      <c r="H126" s="503"/>
      <c r="I126" s="503"/>
      <c r="J126" s="503"/>
      <c r="K126" s="1059">
        <f t="shared" si="85"/>
        <v>0</v>
      </c>
      <c r="L126" s="1059"/>
      <c r="M126" s="1059"/>
      <c r="N126" s="1059"/>
      <c r="O126" s="1059"/>
      <c r="P126" s="1060"/>
      <c r="Q126" s="1059">
        <f t="shared" si="97"/>
        <v>0</v>
      </c>
      <c r="R126" s="1060"/>
      <c r="S126" s="1059"/>
      <c r="T126" s="1059">
        <f t="shared" si="88"/>
        <v>0</v>
      </c>
      <c r="U126" s="1060"/>
      <c r="V126" s="1059">
        <f t="shared" si="98"/>
        <v>0</v>
      </c>
      <c r="W126" s="1060"/>
      <c r="X126" s="1059"/>
      <c r="Y126" s="1059">
        <f t="shared" si="90"/>
        <v>0</v>
      </c>
      <c r="Z126" s="1060"/>
      <c r="AA126" s="1059">
        <f t="shared" si="99"/>
        <v>0</v>
      </c>
      <c r="AB126" s="1060"/>
      <c r="AC126" s="1059"/>
      <c r="AD126" s="1059">
        <f t="shared" si="92"/>
        <v>0</v>
      </c>
      <c r="AE126" s="1060"/>
      <c r="AF126" s="1059">
        <f t="shared" si="100"/>
        <v>0</v>
      </c>
      <c r="AG126" s="1060"/>
      <c r="AH126" s="1059"/>
      <c r="AI126" s="1059">
        <f t="shared" si="94"/>
        <v>0</v>
      </c>
      <c r="AK126" s="320" t="b">
        <f t="shared" si="84"/>
        <v>1</v>
      </c>
    </row>
  </sheetData>
  <mergeCells count="119">
    <mergeCell ref="O2:O3"/>
    <mergeCell ref="O20:O21"/>
    <mergeCell ref="O38:O39"/>
    <mergeCell ref="O55:O56"/>
    <mergeCell ref="O73:O74"/>
    <mergeCell ref="N110:N111"/>
    <mergeCell ref="O110:O111"/>
    <mergeCell ref="N2:N3"/>
    <mergeCell ref="N20:N21"/>
    <mergeCell ref="N38:N39"/>
    <mergeCell ref="N55:N56"/>
    <mergeCell ref="N73:N74"/>
    <mergeCell ref="L97:M97"/>
    <mergeCell ref="S97:Y97"/>
    <mergeCell ref="L94:L96"/>
    <mergeCell ref="S92:Y92"/>
    <mergeCell ref="S93:Y93"/>
    <mergeCell ref="S94:Y94"/>
    <mergeCell ref="S95:Y95"/>
    <mergeCell ref="S96:Y96"/>
    <mergeCell ref="B75:B89"/>
    <mergeCell ref="K55:K56"/>
    <mergeCell ref="F73:F74"/>
    <mergeCell ref="G73:G74"/>
    <mergeCell ref="H73:H74"/>
    <mergeCell ref="J73:J74"/>
    <mergeCell ref="F55:F56"/>
    <mergeCell ref="G55:G56"/>
    <mergeCell ref="H55:H56"/>
    <mergeCell ref="J55:J56"/>
    <mergeCell ref="P73:T73"/>
    <mergeCell ref="U73:Y73"/>
    <mergeCell ref="Z73:AD73"/>
    <mergeCell ref="AE73:AI73"/>
    <mergeCell ref="B57:B71"/>
    <mergeCell ref="B73:B74"/>
    <mergeCell ref="C73:C74"/>
    <mergeCell ref="D73:D74"/>
    <mergeCell ref="E73:E74"/>
    <mergeCell ref="L73:L74"/>
    <mergeCell ref="M73:M74"/>
    <mergeCell ref="K73:K74"/>
    <mergeCell ref="P38:T38"/>
    <mergeCell ref="U38:Y38"/>
    <mergeCell ref="Z38:AD38"/>
    <mergeCell ref="AE38:AI38"/>
    <mergeCell ref="L38:L39"/>
    <mergeCell ref="M38:M39"/>
    <mergeCell ref="P55:T55"/>
    <mergeCell ref="U55:Y55"/>
    <mergeCell ref="Z55:AD55"/>
    <mergeCell ref="AE55:AI55"/>
    <mergeCell ref="L55:L56"/>
    <mergeCell ref="M55:M56"/>
    <mergeCell ref="U2:Y2"/>
    <mergeCell ref="Z2:AD2"/>
    <mergeCell ref="AE2:AI2"/>
    <mergeCell ref="B20:B21"/>
    <mergeCell ref="C20:C21"/>
    <mergeCell ref="D20:D21"/>
    <mergeCell ref="E20:E21"/>
    <mergeCell ref="K20:K21"/>
    <mergeCell ref="P20:T20"/>
    <mergeCell ref="U20:Y20"/>
    <mergeCell ref="Z20:AD20"/>
    <mergeCell ref="AE20:AI20"/>
    <mergeCell ref="L20:L21"/>
    <mergeCell ref="M20:M21"/>
    <mergeCell ref="L2:L3"/>
    <mergeCell ref="M2:M3"/>
    <mergeCell ref="F20:F21"/>
    <mergeCell ref="G20:G21"/>
    <mergeCell ref="H20:H21"/>
    <mergeCell ref="J20:J21"/>
    <mergeCell ref="P2:T2"/>
    <mergeCell ref="B4:B18"/>
    <mergeCell ref="B2:B3"/>
    <mergeCell ref="C2:C3"/>
    <mergeCell ref="D2:D3"/>
    <mergeCell ref="E2:E3"/>
    <mergeCell ref="K2:K3"/>
    <mergeCell ref="F2:F3"/>
    <mergeCell ref="G2:G3"/>
    <mergeCell ref="H2:H3"/>
    <mergeCell ref="J2:J3"/>
    <mergeCell ref="B113:B114"/>
    <mergeCell ref="B115:B116"/>
    <mergeCell ref="B22:B36"/>
    <mergeCell ref="B38:B39"/>
    <mergeCell ref="C38:C39"/>
    <mergeCell ref="D38:D39"/>
    <mergeCell ref="E38:E39"/>
    <mergeCell ref="K38:K39"/>
    <mergeCell ref="B40:B53"/>
    <mergeCell ref="B55:B56"/>
    <mergeCell ref="C55:C56"/>
    <mergeCell ref="D55:D56"/>
    <mergeCell ref="E55:E56"/>
    <mergeCell ref="F38:F39"/>
    <mergeCell ref="G38:G39"/>
    <mergeCell ref="H38:H39"/>
    <mergeCell ref="J38:J39"/>
    <mergeCell ref="B117:B118"/>
    <mergeCell ref="B119:B120"/>
    <mergeCell ref="M110:M111"/>
    <mergeCell ref="P110:T110"/>
    <mergeCell ref="U110:Y110"/>
    <mergeCell ref="Z110:AD110"/>
    <mergeCell ref="AE110:AI110"/>
    <mergeCell ref="G110:G111"/>
    <mergeCell ref="H110:H111"/>
    <mergeCell ref="J110:J111"/>
    <mergeCell ref="K110:K111"/>
    <mergeCell ref="L110:L111"/>
    <mergeCell ref="B110:B111"/>
    <mergeCell ref="C110:C111"/>
    <mergeCell ref="D110:D111"/>
    <mergeCell ref="E110:E111"/>
    <mergeCell ref="F110:F111"/>
  </mergeCells>
  <phoneticPr fontId="9" type="noConversion"/>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A866D-2BE7-448B-8701-BE0157D23430}">
  <dimension ref="B3:O23"/>
  <sheetViews>
    <sheetView showGridLines="0" workbookViewId="0">
      <selection activeCell="V86" sqref="V86"/>
    </sheetView>
  </sheetViews>
  <sheetFormatPr defaultColWidth="9.140625" defaultRowHeight="12.75"/>
  <cols>
    <col min="1" max="1" width="1.7109375" style="6" customWidth="1"/>
    <col min="2" max="4" width="18" style="6" customWidth="1"/>
    <col min="5" max="6" width="11.85546875" style="6" customWidth="1"/>
    <col min="7" max="9" width="14.85546875" style="6" customWidth="1"/>
    <col min="10" max="10" width="17" style="6" bestFit="1" customWidth="1"/>
    <col min="11" max="11" width="9.7109375" style="6" bestFit="1" customWidth="1"/>
    <col min="12" max="16384" width="9.140625" style="6"/>
  </cols>
  <sheetData>
    <row r="3" spans="2:15" ht="13.5">
      <c r="B3" s="43" t="s">
        <v>1076</v>
      </c>
      <c r="C3" s="43"/>
      <c r="J3" s="39" t="s">
        <v>1067</v>
      </c>
    </row>
    <row r="4" spans="2:15" ht="13.5">
      <c r="B4" s="1141" t="s">
        <v>165</v>
      </c>
      <c r="C4" s="1141" t="s">
        <v>715</v>
      </c>
      <c r="D4" s="1137" t="s">
        <v>1066</v>
      </c>
      <c r="E4" s="1137" t="s">
        <v>1060</v>
      </c>
      <c r="F4" s="1141" t="s">
        <v>1061</v>
      </c>
      <c r="G4" s="1137" t="s">
        <v>1062</v>
      </c>
      <c r="H4" s="1141" t="s">
        <v>1063</v>
      </c>
      <c r="I4" s="1137" t="s">
        <v>1064</v>
      </c>
      <c r="J4" s="1141" t="s">
        <v>1065</v>
      </c>
    </row>
    <row r="5" spans="2:15" ht="13.5">
      <c r="B5" s="1490" t="s">
        <v>1071</v>
      </c>
      <c r="C5" s="163" t="s">
        <v>1058</v>
      </c>
      <c r="D5" s="1138">
        <v>46021</v>
      </c>
      <c r="E5" s="1139">
        <f>+'SPV별 DEVEX 현황'!D25</f>
        <v>499.11</v>
      </c>
      <c r="F5" s="17">
        <v>499.11</v>
      </c>
      <c r="G5" s="21">
        <v>40000</v>
      </c>
      <c r="H5" s="21">
        <f>+G5*F5*5*1.1</f>
        <v>109804200.00000001</v>
      </c>
      <c r="I5" s="32">
        <f>+H5*2/5</f>
        <v>43921680.000000007</v>
      </c>
      <c r="J5" s="21">
        <f>+H5-I5</f>
        <v>65882520.000000007</v>
      </c>
      <c r="K5" s="204"/>
      <c r="L5" s="204"/>
      <c r="M5" s="204"/>
      <c r="N5" s="204"/>
      <c r="O5" s="204"/>
    </row>
    <row r="6" spans="2:15" ht="13.5">
      <c r="B6" s="1491"/>
      <c r="C6" s="163" t="s">
        <v>1059</v>
      </c>
      <c r="D6" s="1138">
        <v>46021</v>
      </c>
      <c r="E6" s="1140">
        <f>+'SPV별 DEVEX 현황'!D26</f>
        <v>142.875</v>
      </c>
      <c r="F6" s="17">
        <v>138.44999999999999</v>
      </c>
      <c r="G6" s="21">
        <v>40000</v>
      </c>
      <c r="H6" s="21">
        <f>+G6*F6*5*1.1</f>
        <v>30459000.000000004</v>
      </c>
      <c r="I6" s="32">
        <f>+H6*2/5</f>
        <v>12183600.000000002</v>
      </c>
      <c r="J6" s="21">
        <f>+H6-I6</f>
        <v>18275400</v>
      </c>
      <c r="K6" s="204"/>
      <c r="L6" s="204"/>
      <c r="M6" s="204"/>
      <c r="N6" s="204"/>
      <c r="O6" s="204"/>
    </row>
    <row r="7" spans="2:15" ht="13.5">
      <c r="B7" s="43" t="s">
        <v>1078</v>
      </c>
      <c r="G7" s="204"/>
      <c r="H7" s="204"/>
      <c r="I7" s="204">
        <f>+I5+I6</f>
        <v>56105280.000000007</v>
      </c>
      <c r="J7" s="204"/>
      <c r="K7" s="204"/>
      <c r="L7" s="204"/>
      <c r="M7" s="204"/>
      <c r="N7" s="204"/>
      <c r="O7" s="204"/>
    </row>
    <row r="8" spans="2:15">
      <c r="G8" s="204"/>
      <c r="H8" s="204"/>
      <c r="I8" s="204"/>
      <c r="J8" s="204"/>
      <c r="K8" s="204"/>
      <c r="L8" s="204"/>
      <c r="M8" s="204"/>
      <c r="N8" s="204"/>
      <c r="O8" s="204"/>
    </row>
    <row r="9" spans="2:15" ht="13.5">
      <c r="B9" s="43" t="s">
        <v>1070</v>
      </c>
      <c r="C9" s="43"/>
      <c r="I9" s="39" t="s">
        <v>1067</v>
      </c>
      <c r="K9" s="204"/>
      <c r="L9" s="204"/>
      <c r="M9" s="204"/>
      <c r="N9" s="204"/>
      <c r="O9" s="204"/>
    </row>
    <row r="10" spans="2:15" ht="13.5">
      <c r="B10" s="1141" t="s">
        <v>165</v>
      </c>
      <c r="C10" s="1141" t="s">
        <v>715</v>
      </c>
      <c r="D10" s="1137" t="s">
        <v>1066</v>
      </c>
      <c r="E10" s="1137" t="s">
        <v>1060</v>
      </c>
      <c r="F10" s="1141" t="s">
        <v>1061</v>
      </c>
      <c r="G10" s="1137" t="s">
        <v>1077</v>
      </c>
      <c r="H10" s="1137" t="s">
        <v>1068</v>
      </c>
      <c r="I10" s="1137" t="s">
        <v>1069</v>
      </c>
      <c r="L10" s="204"/>
      <c r="M10" s="204"/>
      <c r="N10" s="204"/>
      <c r="O10" s="204"/>
    </row>
    <row r="11" spans="2:15" ht="13.5">
      <c r="B11" s="1492" t="str">
        <f>+B5</f>
        <v>볼트태양광3호</v>
      </c>
      <c r="C11" s="1142" t="str">
        <f>+'SPV별 DEVEX 현황'!C23</f>
        <v>Seun Steel Gyeongju</v>
      </c>
      <c r="D11" s="1138">
        <v>46021</v>
      </c>
      <c r="E11" s="1140">
        <f>+'SPV별 DEVEX 현황'!D23</f>
        <v>709.29499999999996</v>
      </c>
      <c r="F11" s="1140">
        <v>709.3</v>
      </c>
      <c r="G11" s="1143"/>
      <c r="H11" s="1143">
        <v>0.5</v>
      </c>
      <c r="I11" s="32">
        <f>+E11*500000000/1000*1.1*H11</f>
        <v>195056125.00000003</v>
      </c>
      <c r="L11" s="204"/>
      <c r="M11" s="204"/>
      <c r="N11" s="204"/>
      <c r="O11" s="204"/>
    </row>
    <row r="12" spans="2:15" ht="13.5">
      <c r="B12" s="1493"/>
      <c r="C12" s="1142" t="str">
        <f>+'SPV별 DEVEX 현황'!C30</f>
        <v>E-Tech</v>
      </c>
      <c r="D12" s="1138">
        <v>46021</v>
      </c>
      <c r="E12" s="1140">
        <f>+'SPV별 DEVEX 현황'!D30</f>
        <v>148.47999999999999</v>
      </c>
      <c r="F12" s="1140">
        <f>+E12</f>
        <v>148.47999999999999</v>
      </c>
      <c r="G12" s="1143">
        <v>0.2</v>
      </c>
      <c r="H12" s="1143">
        <v>0.5</v>
      </c>
      <c r="I12" s="32">
        <f>+E12*500000000/1000*1.1*(H12+G12)</f>
        <v>57164800</v>
      </c>
      <c r="L12" s="204"/>
      <c r="M12" s="204"/>
      <c r="N12" s="204"/>
      <c r="O12" s="204"/>
    </row>
    <row r="13" spans="2:15">
      <c r="G13" s="204"/>
      <c r="H13" s="204"/>
      <c r="I13" s="204"/>
      <c r="J13" s="204"/>
      <c r="K13" s="204"/>
      <c r="L13" s="204"/>
      <c r="M13" s="204"/>
      <c r="N13" s="204"/>
      <c r="O13" s="204"/>
    </row>
    <row r="14" spans="2:15" ht="13.5">
      <c r="B14" s="1144" t="s">
        <v>1072</v>
      </c>
      <c r="C14" s="1145">
        <f>+I11+I12</f>
        <v>252220925.00000003</v>
      </c>
      <c r="G14" s="204">
        <f>+F12*500000000/1000*1.1*20%</f>
        <v>16332800</v>
      </c>
      <c r="H14" s="204">
        <f>+F12*500000000*1.1/1000*50%</f>
        <v>40832000</v>
      </c>
      <c r="I14" s="204">
        <f>+G14+H14</f>
        <v>57164800</v>
      </c>
      <c r="J14" s="204"/>
      <c r="K14" s="204"/>
      <c r="L14" s="204"/>
      <c r="M14" s="204"/>
      <c r="N14" s="204"/>
      <c r="O14" s="204"/>
    </row>
    <row r="15" spans="2:15">
      <c r="G15" s="12"/>
      <c r="H15" s="12"/>
      <c r="I15" s="12"/>
      <c r="J15" s="12"/>
      <c r="K15" s="12"/>
      <c r="L15" s="12"/>
      <c r="M15" s="12"/>
      <c r="N15" s="12"/>
      <c r="O15" s="12"/>
    </row>
    <row r="16" spans="2:15">
      <c r="G16" s="12"/>
      <c r="H16" s="12"/>
      <c r="I16" s="12"/>
      <c r="J16" s="12"/>
      <c r="K16" s="12"/>
      <c r="L16" s="12"/>
      <c r="M16" s="12"/>
      <c r="N16" s="12"/>
      <c r="O16" s="12"/>
    </row>
    <row r="17" spans="2:15" ht="13.5">
      <c r="B17" s="1146" t="s">
        <v>1073</v>
      </c>
      <c r="C17" s="1147" t="s">
        <v>1074</v>
      </c>
      <c r="D17" s="1147" t="s">
        <v>1075</v>
      </c>
      <c r="G17" s="12"/>
      <c r="H17" s="12"/>
      <c r="I17" s="12"/>
      <c r="J17" s="12"/>
      <c r="K17" s="12"/>
      <c r="L17" s="12"/>
      <c r="M17" s="12"/>
      <c r="N17" s="12"/>
      <c r="O17" s="12"/>
    </row>
    <row r="18" spans="2:15">
      <c r="B18" s="1148">
        <v>421623551</v>
      </c>
      <c r="C18" s="1148">
        <f>+C14</f>
        <v>252220925.00000003</v>
      </c>
      <c r="D18" s="1148">
        <f>+B18-C18</f>
        <v>169402625.99999997</v>
      </c>
      <c r="G18" s="12"/>
      <c r="H18" s="12"/>
      <c r="I18" s="12"/>
      <c r="J18" s="12"/>
      <c r="K18" s="12"/>
      <c r="L18" s="12"/>
      <c r="M18" s="12"/>
      <c r="N18" s="12"/>
      <c r="O18" s="12"/>
    </row>
    <row r="19" spans="2:15">
      <c r="G19" s="12"/>
      <c r="H19" s="12"/>
      <c r="I19" s="12"/>
      <c r="J19" s="12"/>
      <c r="K19" s="12"/>
      <c r="L19" s="12"/>
      <c r="M19" s="12"/>
      <c r="N19" s="12"/>
      <c r="O19" s="12"/>
    </row>
    <row r="20" spans="2:15">
      <c r="G20" s="12"/>
      <c r="H20" s="12"/>
      <c r="I20" s="12"/>
      <c r="J20" s="12"/>
      <c r="K20" s="12"/>
      <c r="L20" s="12"/>
      <c r="M20" s="12"/>
      <c r="N20" s="12"/>
      <c r="O20" s="12"/>
    </row>
    <row r="21" spans="2:15">
      <c r="G21" s="12"/>
      <c r="H21" s="12"/>
      <c r="I21" s="12"/>
      <c r="J21" s="12"/>
      <c r="K21" s="12"/>
      <c r="L21" s="12"/>
      <c r="M21" s="12"/>
      <c r="N21" s="12"/>
      <c r="O21" s="12"/>
    </row>
    <row r="22" spans="2:15">
      <c r="G22" s="12"/>
      <c r="H22" s="12"/>
      <c r="I22" s="12"/>
      <c r="J22" s="12"/>
      <c r="K22" s="12"/>
      <c r="L22" s="12"/>
      <c r="M22" s="12"/>
      <c r="N22" s="12"/>
      <c r="O22" s="12"/>
    </row>
    <row r="23" spans="2:15">
      <c r="G23" s="12"/>
      <c r="H23" s="12"/>
      <c r="I23" s="12"/>
      <c r="J23" s="12"/>
      <c r="K23" s="12"/>
      <c r="L23" s="12"/>
      <c r="M23" s="12"/>
      <c r="N23" s="12"/>
      <c r="O23" s="12"/>
    </row>
  </sheetData>
  <mergeCells count="2">
    <mergeCell ref="B5:B6"/>
    <mergeCell ref="B11:B12"/>
  </mergeCells>
  <phoneticPr fontId="9"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1F4E1-C053-4CA9-8AF5-2F1D44976886}">
  <sheetPr>
    <pageSetUpPr fitToPage="1"/>
  </sheetPr>
  <dimension ref="A1:CE117"/>
  <sheetViews>
    <sheetView showGridLines="0" zoomScale="85" zoomScaleNormal="85" zoomScaleSheetLayoutView="55" workbookViewId="0">
      <pane xSplit="9" ySplit="10" topLeftCell="T40" activePane="bottomRight" state="frozen"/>
      <selection pane="topRight" activeCell="I35" sqref="I35"/>
      <selection pane="bottomLeft" activeCell="I35" sqref="I35"/>
      <selection pane="bottomRight" activeCell="AE78" sqref="AE78"/>
    </sheetView>
  </sheetViews>
  <sheetFormatPr defaultColWidth="10.28515625" defaultRowHeight="12.75" outlineLevelCol="1"/>
  <cols>
    <col min="1" max="1" width="1.85546875" style="53" customWidth="1"/>
    <col min="2" max="2" width="5.5703125" style="53" customWidth="1"/>
    <col min="3" max="3" width="21.85546875" style="53" customWidth="1"/>
    <col min="4" max="4" width="14.42578125" style="53" customWidth="1"/>
    <col min="5" max="5" width="14.140625" style="53" customWidth="1"/>
    <col min="6" max="6" width="19.42578125" style="53" customWidth="1"/>
    <col min="7" max="9" width="14.5703125" style="53" customWidth="1"/>
    <col min="10" max="10" width="7.5703125" style="53" customWidth="1"/>
    <col min="11" max="11" width="13.28515625" style="53" customWidth="1"/>
    <col min="12" max="12" width="14.28515625" style="53" customWidth="1"/>
    <col min="13" max="13" width="14.28515625" style="425" hidden="1" customWidth="1"/>
    <col min="14" max="15" width="11.5703125" style="53" customWidth="1"/>
    <col min="16" max="16" width="7.5703125" style="53" customWidth="1"/>
    <col min="17" max="19" width="13.28515625" style="53" customWidth="1"/>
    <col min="20" max="20" width="11.140625" style="53" bestFit="1" customWidth="1"/>
    <col min="21" max="22" width="11.5703125" style="53" customWidth="1"/>
    <col min="23" max="23" width="7.5703125" style="53" customWidth="1"/>
    <col min="24" max="24" width="14.5703125" style="53" customWidth="1"/>
    <col min="25"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hidden="1" customWidth="1" outlineLevel="1"/>
    <col min="37" max="37" width="7.5703125" style="53" hidden="1" customWidth="1" outlineLevel="1"/>
    <col min="38" max="40" width="13.28515625" style="53" hidden="1" customWidth="1" outlineLevel="1"/>
    <col min="41" max="41" width="13.85546875" style="53" hidden="1" customWidth="1" outlineLevel="1"/>
    <col min="42" max="42" width="11.5703125" style="53" hidden="1" customWidth="1" collapsed="1"/>
    <col min="43" max="43" width="11.5703125" style="53" hidden="1" customWidth="1"/>
    <col min="44" max="44" width="7.5703125" style="53" hidden="1" customWidth="1"/>
    <col min="45" max="47" width="13.28515625" style="53" hidden="1" customWidth="1"/>
    <col min="48" max="48" width="13.85546875" style="53" hidden="1" customWidth="1"/>
    <col min="49" max="50" width="11.5703125" style="53" hidden="1" customWidth="1"/>
    <col min="51" max="51" width="7.5703125" style="53" hidden="1" customWidth="1"/>
    <col min="52" max="54" width="13.28515625" style="53" hidden="1" customWidth="1"/>
    <col min="55" max="55" width="13.85546875" style="53" hidden="1" customWidth="1"/>
    <col min="56" max="57" width="11.5703125" style="53" hidden="1" customWidth="1"/>
    <col min="58" max="58" width="7.5703125" style="53" hidden="1" customWidth="1"/>
    <col min="59" max="61" width="13.28515625" style="53" hidden="1" customWidth="1"/>
    <col min="62" max="62" width="13.85546875" style="53" hidden="1"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11" style="53" customWidth="1"/>
    <col min="74" max="74" width="13.85546875" style="53" customWidth="1"/>
    <col min="75" max="75" width="1.85546875" style="53" customWidth="1"/>
    <col min="76" max="77" width="15.5703125" style="53" customWidth="1"/>
    <col min="78" max="78" width="13.85546875" style="53" customWidth="1"/>
    <col min="79" max="79" width="17.140625" style="53" bestFit="1" customWidth="1"/>
    <col min="80" max="16384" width="10.28515625" style="53"/>
  </cols>
  <sheetData>
    <row r="1" spans="1:83" s="52" customFormat="1">
      <c r="M1" s="415"/>
      <c r="BW1" s="53"/>
      <c r="BZ1" s="53"/>
    </row>
    <row r="2" spans="1:83" s="52" customFormat="1">
      <c r="B2" s="52" t="s">
        <v>346</v>
      </c>
      <c r="D2" s="52" t="s">
        <v>347</v>
      </c>
      <c r="G2" s="401">
        <v>1100000000</v>
      </c>
      <c r="M2" s="415"/>
      <c r="BW2" s="53"/>
      <c r="BZ2" s="53"/>
    </row>
    <row r="3" spans="1:83" s="52" customFormat="1">
      <c r="B3" s="52" t="s">
        <v>348</v>
      </c>
      <c r="D3" s="52" t="s">
        <v>349</v>
      </c>
      <c r="K3" s="199"/>
      <c r="M3" s="415"/>
      <c r="T3" s="459"/>
      <c r="U3" s="459"/>
      <c r="V3" s="459"/>
      <c r="W3" s="459"/>
      <c r="X3" s="362"/>
      <c r="BW3" s="53"/>
      <c r="BZ3" s="53"/>
    </row>
    <row r="4" spans="1:83" s="52" customFormat="1">
      <c r="B4" s="52" t="s">
        <v>350</v>
      </c>
      <c r="D4" s="52" t="s">
        <v>351</v>
      </c>
      <c r="M4" s="415"/>
      <c r="T4" s="459">
        <v>350000</v>
      </c>
      <c r="U4" s="459"/>
      <c r="V4" s="459"/>
      <c r="W4" s="459"/>
      <c r="X4" s="362"/>
      <c r="AA4" s="459"/>
      <c r="AB4" s="460" t="e">
        <f>+#REF!</f>
        <v>#REF!</v>
      </c>
      <c r="AC4" s="461" t="e">
        <f>+AB4/$AB$6</f>
        <v>#REF!</v>
      </c>
      <c r="AD4" s="461"/>
      <c r="AE4" s="461"/>
      <c r="AF4" s="461"/>
      <c r="AG4" s="462" t="e">
        <f>+AC4*($AE$6+AF6)</f>
        <v>#REF!</v>
      </c>
      <c r="BW4" s="53"/>
      <c r="BZ4" s="53"/>
    </row>
    <row r="5" spans="1:83" s="52" customFormat="1">
      <c r="B5" s="52" t="s">
        <v>352</v>
      </c>
      <c r="D5" s="52" t="s">
        <v>353</v>
      </c>
      <c r="M5" s="415"/>
      <c r="R5" s="362"/>
      <c r="T5" s="459"/>
      <c r="U5" s="459"/>
      <c r="V5" s="459"/>
      <c r="W5" s="459"/>
      <c r="X5" s="831">
        <f>+T4*386*1.1</f>
        <v>148610000</v>
      </c>
      <c r="AA5" s="459"/>
      <c r="AB5" s="460" t="e">
        <f>+#REF!</f>
        <v>#REF!</v>
      </c>
      <c r="AC5" s="461" t="e">
        <f>+AB5/$AB$6</f>
        <v>#REF!</v>
      </c>
      <c r="AD5" s="461"/>
      <c r="AE5" s="460" t="e">
        <f>+#REF!+#REF!-#REF!-#REF!-#REF!-#REF!</f>
        <v>#REF!</v>
      </c>
      <c r="AF5" s="461"/>
      <c r="AG5" s="462" t="e">
        <f>+AC5*($AE$6+AF7)</f>
        <v>#REF!</v>
      </c>
      <c r="BW5" s="53"/>
      <c r="BZ5" s="53"/>
    </row>
    <row r="6" spans="1:83" s="52" customFormat="1">
      <c r="B6" s="52" t="s">
        <v>354</v>
      </c>
      <c r="D6" s="52" t="s">
        <v>355</v>
      </c>
      <c r="M6" s="415"/>
      <c r="R6" s="362"/>
      <c r="X6" s="459">
        <f>+R22+R23+Y22+Y23+AF22+AF23</f>
        <v>133749000</v>
      </c>
      <c r="AA6" s="459"/>
      <c r="AB6" s="460" t="e">
        <f>+AB4+AB5</f>
        <v>#REF!</v>
      </c>
      <c r="AC6" s="461"/>
      <c r="AD6" s="461"/>
      <c r="AE6" s="460" t="e">
        <f>+'SPV Balance by bank_1'!#REF!</f>
        <v>#REF!</v>
      </c>
      <c r="AF6" s="462">
        <v>20835000</v>
      </c>
      <c r="AG6" s="461"/>
      <c r="BW6" s="53"/>
      <c r="BZ6" s="53"/>
    </row>
    <row r="7" spans="1:83" s="52" customFormat="1">
      <c r="B7" s="52" t="s">
        <v>356</v>
      </c>
      <c r="D7" s="52" t="s">
        <v>357</v>
      </c>
      <c r="M7" s="415"/>
      <c r="R7" s="362"/>
      <c r="X7" s="459">
        <f>+X5-X6</f>
        <v>14861000</v>
      </c>
      <c r="AB7" s="461"/>
      <c r="AC7" s="461"/>
      <c r="AD7" s="461"/>
      <c r="AF7" s="461"/>
      <c r="AG7" s="461"/>
      <c r="BW7" s="53"/>
      <c r="BZ7" s="53"/>
    </row>
    <row r="8" spans="1:83">
      <c r="A8" s="54"/>
      <c r="B8" s="1316"/>
      <c r="C8" s="131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370</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374</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42" customHeight="1">
      <c r="A10" s="54"/>
      <c r="B10" s="1318"/>
      <c r="C10" s="1318"/>
      <c r="D10" s="1320"/>
      <c r="E10" s="1315"/>
      <c r="F10" s="1320"/>
      <c r="G10" s="1320"/>
      <c r="H10" s="1320"/>
      <c r="I10" s="1320"/>
      <c r="J10" s="59" t="s">
        <v>377</v>
      </c>
      <c r="K10" s="59" t="s">
        <v>378</v>
      </c>
      <c r="L10" s="59" t="s">
        <v>379</v>
      </c>
      <c r="M10" s="1315"/>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62"/>
      <c r="B11" s="1322">
        <v>1</v>
      </c>
      <c r="C11" s="1323" t="s">
        <v>831</v>
      </c>
      <c r="D11" s="1324">
        <v>817.21</v>
      </c>
      <c r="E11" s="1324" t="s">
        <v>387</v>
      </c>
      <c r="F11" s="63" t="s">
        <v>388</v>
      </c>
      <c r="G11" s="76">
        <f>+지급비율!F38/1000*$D$11</f>
        <v>898931000</v>
      </c>
      <c r="H11" s="64">
        <f>+G11*10%</f>
        <v>89893100</v>
      </c>
      <c r="I11" s="64">
        <f>SUM(G11:H11)</f>
        <v>988824100</v>
      </c>
      <c r="J11" s="65">
        <f t="shared" ref="J11:J20" si="0">+IFERROR(K11/I11,"-")</f>
        <v>4.3578316911976556E-2</v>
      </c>
      <c r="K11" s="66">
        <f>+IFERROR(R11+Y11+AF11+AT11+BA11+BH11+BO11,"-")</f>
        <v>43091290</v>
      </c>
      <c r="L11" s="66">
        <f>+I11-K11</f>
        <v>945732810</v>
      </c>
      <c r="M11" s="1325" t="s">
        <v>265</v>
      </c>
      <c r="N11" s="67"/>
      <c r="O11" s="68"/>
      <c r="P11" s="69"/>
      <c r="Q11" s="70">
        <f>+$I11*지급비율!G38</f>
        <v>0</v>
      </c>
      <c r="R11" s="70"/>
      <c r="S11" s="70">
        <f>+Q11-R11</f>
        <v>0</v>
      </c>
      <c r="T11" s="71"/>
      <c r="U11" s="67"/>
      <c r="V11" s="68">
        <v>45975</v>
      </c>
      <c r="W11" s="69"/>
      <c r="X11" s="70"/>
      <c r="Y11" s="70">
        <f>37535350+2999000+2556940</f>
        <v>43091290</v>
      </c>
      <c r="Z11" s="70">
        <f>+X11-Y11</f>
        <v>-43091290</v>
      </c>
      <c r="AA11" s="1051" t="s">
        <v>832</v>
      </c>
      <c r="AB11" s="67">
        <f>+EDATE(AI11,0)</f>
        <v>46111</v>
      </c>
      <c r="AC11" s="72"/>
      <c r="AD11" s="69">
        <f>+IFERROR(AE11/$I11,"-")</f>
        <v>0.5</v>
      </c>
      <c r="AE11" s="70">
        <f>+$I11*지급비율!U38</f>
        <v>494412050</v>
      </c>
      <c r="AF11" s="70"/>
      <c r="AG11" s="70">
        <f>+AE11-AF11</f>
        <v>494412050</v>
      </c>
      <c r="AH11" s="71"/>
      <c r="AI11" s="67">
        <f>+EDATE(AP11,-1)</f>
        <v>46111</v>
      </c>
      <c r="AJ11" s="72"/>
      <c r="AK11" s="69">
        <f>+IFERROR(AL11/$I11,"-")</f>
        <v>0</v>
      </c>
      <c r="AL11" s="70">
        <f>+$I11*지급비율!AB38</f>
        <v>0</v>
      </c>
      <c r="AM11" s="70"/>
      <c r="AN11" s="70">
        <f>+AL11-AM11</f>
        <v>0</v>
      </c>
      <c r="AO11" s="71"/>
      <c r="AP11" s="67">
        <f>+EDATE(AW11,-1)</f>
        <v>46142</v>
      </c>
      <c r="AQ11" s="68"/>
      <c r="AR11" s="69">
        <f>+IFERROR(AS11/$I11,"-")</f>
        <v>0</v>
      </c>
      <c r="AS11" s="70">
        <f>+$I11*지급비율!AI38</f>
        <v>0</v>
      </c>
      <c r="AT11" s="70"/>
      <c r="AU11" s="70">
        <f>+AS11-AT11</f>
        <v>0</v>
      </c>
      <c r="AV11" s="71"/>
      <c r="AW11" s="67">
        <f>+EDATE(BD11,-1)</f>
        <v>46172</v>
      </c>
      <c r="AX11" s="67"/>
      <c r="AY11" s="69">
        <f>+IFERROR(AZ11/$I11,"-")</f>
        <v>0</v>
      </c>
      <c r="AZ11" s="70">
        <f>+$I11*지급비율!AP38</f>
        <v>0</v>
      </c>
      <c r="BA11" s="70"/>
      <c r="BB11" s="70">
        <f>+AZ11-BA11</f>
        <v>0</v>
      </c>
      <c r="BC11" s="71"/>
      <c r="BD11" s="67">
        <f>+EDATE(BK11,-1)</f>
        <v>46203</v>
      </c>
      <c r="BE11" s="67"/>
      <c r="BF11" s="69">
        <f>+IFERROR(BG11/$I11,"-")</f>
        <v>0.4</v>
      </c>
      <c r="BG11" s="70">
        <f>+$I11*지급비율!AW38</f>
        <v>395529640</v>
      </c>
      <c r="BH11" s="70"/>
      <c r="BI11" s="70">
        <f>+BG11-BH11</f>
        <v>395529640</v>
      </c>
      <c r="BJ11" s="71"/>
      <c r="BK11" s="68">
        <v>46234</v>
      </c>
      <c r="BL11" s="67"/>
      <c r="BM11" s="69">
        <f t="shared" ref="BM11:BM20" si="1">+IFERROR(BN11/$I11,"-")</f>
        <v>0.1</v>
      </c>
      <c r="BN11" s="70">
        <f>+$I11*지급비율!BD38</f>
        <v>98882410</v>
      </c>
      <c r="BO11" s="70"/>
      <c r="BP11" s="70">
        <f t="shared" ref="BP11:BP20" si="2">+BN11-BO11</f>
        <v>98882410</v>
      </c>
      <c r="BQ11" s="71"/>
      <c r="BR11" s="73"/>
      <c r="BS11" s="74" t="b">
        <f>+Q11+X11+AE11+AS11+AZ11+BG11+BN11=I11</f>
        <v>1</v>
      </c>
      <c r="BT11" s="74" t="b">
        <f>+R11+Y11+AF11+AT11+BA11+BH11+BO11=K11</f>
        <v>1</v>
      </c>
      <c r="BU11" s="74"/>
      <c r="BV11" s="54"/>
      <c r="BW11" s="54"/>
      <c r="BX11" s="54"/>
      <c r="BY11" s="54"/>
      <c r="BZ11" s="54"/>
      <c r="CA11" s="54"/>
      <c r="CB11" s="54"/>
      <c r="CC11" s="54"/>
      <c r="CD11" s="58"/>
      <c r="CE11" s="58"/>
    </row>
    <row r="12" spans="1:83" ht="16.5" customHeight="1">
      <c r="A12" s="62"/>
      <c r="B12" s="1322"/>
      <c r="C12" s="1323"/>
      <c r="D12" s="1324"/>
      <c r="E12" s="1324"/>
      <c r="F12" s="75" t="s">
        <v>389</v>
      </c>
      <c r="G12" s="76">
        <f>+지급비율!F39/1000*$D$11</f>
        <v>245163000</v>
      </c>
      <c r="H12" s="76">
        <f>+G12*10%</f>
        <v>24516300</v>
      </c>
      <c r="I12" s="76">
        <f>SUM(G12:H12)</f>
        <v>269679300</v>
      </c>
      <c r="J12" s="75">
        <f t="shared" si="0"/>
        <v>0.87146058299617357</v>
      </c>
      <c r="K12" s="77">
        <f>+IFERROR(R12+Y12+AF12+AT12+BA12+BH12+BO12,"-")</f>
        <v>235014880</v>
      </c>
      <c r="L12" s="77">
        <f>+I12-K12</f>
        <v>34664420</v>
      </c>
      <c r="M12" s="1326"/>
      <c r="N12" s="78">
        <f>+O12</f>
        <v>45714</v>
      </c>
      <c r="O12" s="78">
        <v>45714</v>
      </c>
      <c r="P12" s="79">
        <f>+IFERROR(Q12/$I12,"-")</f>
        <v>0.3</v>
      </c>
      <c r="Q12" s="80">
        <f>+$I12*지급비율!G39</f>
        <v>80903790</v>
      </c>
      <c r="R12" s="80">
        <f>103059000-26429040</f>
        <v>76629960</v>
      </c>
      <c r="S12" s="80">
        <f>+Q12-R12</f>
        <v>4273830</v>
      </c>
      <c r="T12" s="81"/>
      <c r="U12" s="78">
        <v>45826</v>
      </c>
      <c r="V12" s="78">
        <v>45826</v>
      </c>
      <c r="W12" s="79">
        <f>+IFERROR(X12/$I12,"-")</f>
        <v>0.1</v>
      </c>
      <c r="X12" s="80">
        <f>+$I12*지급비율!N39</f>
        <v>26967930</v>
      </c>
      <c r="Y12" s="80">
        <f>34353000-8809680</f>
        <v>25543320</v>
      </c>
      <c r="Z12" s="80">
        <f>+X12-Y12</f>
        <v>1424610</v>
      </c>
      <c r="AA12" s="81"/>
      <c r="AB12" s="78">
        <v>45930</v>
      </c>
      <c r="AC12" s="78">
        <v>45883</v>
      </c>
      <c r="AD12" s="79">
        <f>+IFERROR(AE12/$I12,"-")</f>
        <v>0.5</v>
      </c>
      <c r="AE12" s="80">
        <f>+$I12*지급비율!U39</f>
        <v>134839650</v>
      </c>
      <c r="AF12" s="80">
        <f>176890000-44048400</f>
        <v>132841600</v>
      </c>
      <c r="AG12" s="80">
        <f>+AE12-AF12</f>
        <v>1998050</v>
      </c>
      <c r="AH12" s="81"/>
      <c r="AI12" s="78"/>
      <c r="AJ12" s="78"/>
      <c r="AK12" s="79">
        <f>+IFERROR(AL12/$I12,"-")</f>
        <v>0</v>
      </c>
      <c r="AL12" s="80">
        <f>+$I12*지급비율!AB39</f>
        <v>0</v>
      </c>
      <c r="AM12" s="80"/>
      <c r="AN12" s="80">
        <f>+AL12-AM12</f>
        <v>0</v>
      </c>
      <c r="AO12" s="81"/>
      <c r="AP12" s="78"/>
      <c r="AQ12" s="78"/>
      <c r="AR12" s="79"/>
      <c r="AS12" s="80">
        <f>+$I12*지급비율!AI39</f>
        <v>0</v>
      </c>
      <c r="AT12" s="80"/>
      <c r="AU12" s="80">
        <f>+AS12-AT12</f>
        <v>0</v>
      </c>
      <c r="AV12" s="81"/>
      <c r="AW12" s="78"/>
      <c r="AX12" s="78"/>
      <c r="AY12" s="79"/>
      <c r="AZ12" s="80">
        <f>+$I12*지급비율!AP39</f>
        <v>0</v>
      </c>
      <c r="BA12" s="80"/>
      <c r="BB12" s="80">
        <f>+AZ12-BA12</f>
        <v>0</v>
      </c>
      <c r="BC12" s="81"/>
      <c r="BD12" s="78"/>
      <c r="BE12" s="78"/>
      <c r="BF12" s="79"/>
      <c r="BG12" s="80">
        <f>+$I12*지급비율!AW39</f>
        <v>0</v>
      </c>
      <c r="BH12" s="80"/>
      <c r="BI12" s="80">
        <f>+BG12-BH12</f>
        <v>0</v>
      </c>
      <c r="BJ12" s="81"/>
      <c r="BK12" s="78">
        <v>46112</v>
      </c>
      <c r="BL12" s="78"/>
      <c r="BM12" s="79">
        <f t="shared" si="1"/>
        <v>0.1</v>
      </c>
      <c r="BN12" s="80">
        <f>+$I12*지급비율!BD39</f>
        <v>26967930</v>
      </c>
      <c r="BO12" s="80"/>
      <c r="BP12" s="80">
        <f t="shared" si="2"/>
        <v>26967930</v>
      </c>
      <c r="BQ12" s="81"/>
      <c r="BR12" s="73"/>
      <c r="BS12" s="74" t="b">
        <f>+Q12+X12+AE12+AS12+AZ12+BG12+BN12=I12</f>
        <v>1</v>
      </c>
      <c r="BT12" s="74" t="b">
        <f>+R12+Y12+AF12+AT12+BA12+BH12+BO12=K12</f>
        <v>1</v>
      </c>
      <c r="BU12" s="74" t="b">
        <f>+BG12+BG13+AZ12+AZ13+AS12+AS13+AE12+AE13+X12+X13+Q12+Q13+BN12+BN13=([5]지급비율!$F$35+[5]지급비율!$F$36)*1.1*D11/1000</f>
        <v>1</v>
      </c>
      <c r="BV12" s="480"/>
      <c r="BW12" s="54"/>
      <c r="BX12" s="54"/>
      <c r="BY12" s="54"/>
      <c r="BZ12" s="54"/>
      <c r="CA12" s="54"/>
      <c r="CB12" s="54"/>
      <c r="CC12" s="54"/>
      <c r="CD12" s="58"/>
      <c r="CE12" s="58"/>
    </row>
    <row r="13" spans="1:83" ht="16.5" customHeight="1">
      <c r="A13" s="62"/>
      <c r="B13" s="1322"/>
      <c r="C13" s="1323"/>
      <c r="D13" s="1324"/>
      <c r="E13" s="1324"/>
      <c r="F13" s="75" t="s">
        <v>390</v>
      </c>
      <c r="G13" s="76">
        <f>+지급비율!F40/1000*$D$11</f>
        <v>40860500</v>
      </c>
      <c r="H13" s="76">
        <f>+G13*10%</f>
        <v>4086050</v>
      </c>
      <c r="I13" s="82">
        <f>SUM(G13:H13)</f>
        <v>44946550</v>
      </c>
      <c r="J13" s="75">
        <f t="shared" si="0"/>
        <v>0.86285777217606241</v>
      </c>
      <c r="K13" s="77">
        <f>+IFERROR(R13+Y13+AF13+AT13+BA13+BH13+BO13,"-")</f>
        <v>38782480</v>
      </c>
      <c r="L13" s="77">
        <f>+I13-K13</f>
        <v>6164070</v>
      </c>
      <c r="M13" s="1326"/>
      <c r="N13" s="78">
        <f>+O13</f>
        <v>45714</v>
      </c>
      <c r="O13" s="72">
        <f>O12</f>
        <v>45714</v>
      </c>
      <c r="P13" s="79">
        <f>+IFERROR(Q13/$I13,"-")</f>
        <v>0.3</v>
      </c>
      <c r="Q13" s="80">
        <f>+$I13*지급비율!G40</f>
        <v>13483965</v>
      </c>
      <c r="R13" s="80">
        <f>17176500-4404840</f>
        <v>12771660</v>
      </c>
      <c r="S13" s="80">
        <f>+Q13-R13</f>
        <v>712305</v>
      </c>
      <c r="T13" s="81"/>
      <c r="U13" s="78">
        <v>45826</v>
      </c>
      <c r="V13" s="78">
        <v>45826</v>
      </c>
      <c r="W13" s="79">
        <f>+IFERROR(X13/$I13,"-")</f>
        <v>0.1</v>
      </c>
      <c r="X13" s="80">
        <f>+$I13*지급비율!N40</f>
        <v>4494655</v>
      </c>
      <c r="Y13" s="80">
        <f>5725500-1468280</f>
        <v>4257220</v>
      </c>
      <c r="Z13" s="80">
        <f>+X13-Y13</f>
        <v>237435</v>
      </c>
      <c r="AA13" s="81"/>
      <c r="AB13" s="78">
        <v>45930</v>
      </c>
      <c r="AC13" s="72">
        <v>45883</v>
      </c>
      <c r="AD13" s="79">
        <f>+IFERROR(AE13/$I13,"-")</f>
        <v>0.5</v>
      </c>
      <c r="AE13" s="80">
        <f>+$I13*지급비율!U40</f>
        <v>22473275</v>
      </c>
      <c r="AF13" s="80">
        <f>29095000-7341400</f>
        <v>21753600</v>
      </c>
      <c r="AG13" s="80">
        <f>+AE13-AF13</f>
        <v>719675</v>
      </c>
      <c r="AH13" s="81"/>
      <c r="AI13" s="72"/>
      <c r="AJ13" s="72"/>
      <c r="AK13" s="79">
        <f>+IFERROR(AL13/$I13,"-")</f>
        <v>0</v>
      </c>
      <c r="AL13" s="80">
        <f>+$I13*지급비율!AB40</f>
        <v>0</v>
      </c>
      <c r="AM13" s="80"/>
      <c r="AN13" s="80">
        <f>+AL13-AM13</f>
        <v>0</v>
      </c>
      <c r="AO13" s="81"/>
      <c r="AP13" s="72"/>
      <c r="AQ13" s="72"/>
      <c r="AR13" s="79"/>
      <c r="AS13" s="80">
        <f>+$I13*지급비율!AI40</f>
        <v>0</v>
      </c>
      <c r="AT13" s="80"/>
      <c r="AU13" s="80">
        <f>+AS13-AT13</f>
        <v>0</v>
      </c>
      <c r="AV13" s="81"/>
      <c r="AW13" s="72"/>
      <c r="AX13" s="72"/>
      <c r="AY13" s="79"/>
      <c r="AZ13" s="80">
        <f>+$I13*지급비율!AP40</f>
        <v>0</v>
      </c>
      <c r="BA13" s="80"/>
      <c r="BB13" s="80">
        <f>+AZ13-BA13</f>
        <v>0</v>
      </c>
      <c r="BC13" s="81"/>
      <c r="BD13" s="72"/>
      <c r="BE13" s="72"/>
      <c r="BF13" s="79"/>
      <c r="BG13" s="80">
        <f>+$I13*지급비율!AW40</f>
        <v>0</v>
      </c>
      <c r="BH13" s="80"/>
      <c r="BI13" s="80">
        <f>+BG13-BH13</f>
        <v>0</v>
      </c>
      <c r="BJ13" s="81"/>
      <c r="BK13" s="78">
        <v>46112</v>
      </c>
      <c r="BL13" s="72"/>
      <c r="BM13" s="79">
        <f t="shared" si="1"/>
        <v>0.1</v>
      </c>
      <c r="BN13" s="80">
        <f>+$I13*지급비율!BD40</f>
        <v>4494655</v>
      </c>
      <c r="BO13" s="80"/>
      <c r="BP13" s="80">
        <f t="shared" si="2"/>
        <v>4494655</v>
      </c>
      <c r="BQ13" s="81"/>
      <c r="BR13" s="73"/>
      <c r="BS13" s="74" t="b">
        <f>+Q13+X13+AE13+AS13+AZ13+BG13+BN13=I13</f>
        <v>1</v>
      </c>
      <c r="BT13" s="74" t="b">
        <f>+R13+Y13+AF13+AT13+BA13+BH13+BO13=K13</f>
        <v>1</v>
      </c>
      <c r="BU13" s="74"/>
      <c r="BV13" s="480"/>
      <c r="BW13" s="54"/>
      <c r="BX13" s="54"/>
      <c r="BY13" s="54"/>
      <c r="BZ13" s="54"/>
      <c r="CA13" s="54"/>
      <c r="CB13" s="54"/>
      <c r="CC13" s="54"/>
      <c r="CD13" s="58"/>
      <c r="CE13" s="58"/>
    </row>
    <row r="14" spans="1:83" ht="16.5" customHeight="1">
      <c r="A14" s="62"/>
      <c r="B14" s="1322"/>
      <c r="C14" s="1323"/>
      <c r="D14" s="1324"/>
      <c r="E14" s="1324"/>
      <c r="F14" s="83" t="s">
        <v>391</v>
      </c>
      <c r="G14" s="82">
        <f>+지급비율!F41/1000*$D$11</f>
        <v>143011750</v>
      </c>
      <c r="H14" s="82">
        <f>+G14*10%</f>
        <v>14301175</v>
      </c>
      <c r="I14" s="82">
        <f>SUM(G14:H14)</f>
        <v>157312925</v>
      </c>
      <c r="J14" s="83">
        <f t="shared" si="0"/>
        <v>0</v>
      </c>
      <c r="K14" s="84">
        <f>+IFERROR(R14+Y14+AF14+AT14+BA14+BH14+BO14,"-")</f>
        <v>0</v>
      </c>
      <c r="L14" s="84">
        <f>+I14-K14</f>
        <v>157312925</v>
      </c>
      <c r="M14" s="1327"/>
      <c r="N14" s="85"/>
      <c r="O14" s="83"/>
      <c r="P14" s="86"/>
      <c r="Q14" s="87">
        <f>+$I14*지급비율!G41</f>
        <v>0</v>
      </c>
      <c r="R14" s="87"/>
      <c r="S14" s="87"/>
      <c r="T14" s="83"/>
      <c r="U14" s="85"/>
      <c r="V14" s="83"/>
      <c r="W14" s="86"/>
      <c r="X14" s="87">
        <f>+$I14*지급비율!N41</f>
        <v>0</v>
      </c>
      <c r="Y14" s="87"/>
      <c r="Z14" s="87"/>
      <c r="AA14" s="83"/>
      <c r="AB14" s="85"/>
      <c r="AC14" s="83"/>
      <c r="AD14" s="86"/>
      <c r="AE14" s="87">
        <f>+$I14*지급비율!U41</f>
        <v>0</v>
      </c>
      <c r="AF14" s="87"/>
      <c r="AG14" s="87"/>
      <c r="AH14" s="83"/>
      <c r="AI14" s="85"/>
      <c r="AJ14" s="83"/>
      <c r="AK14" s="86"/>
      <c r="AL14" s="87">
        <f>+$I14*지급비율!AB41</f>
        <v>0</v>
      </c>
      <c r="AM14" s="87"/>
      <c r="AN14" s="87"/>
      <c r="AO14" s="83"/>
      <c r="AP14" s="85"/>
      <c r="AQ14" s="83"/>
      <c r="AR14" s="86"/>
      <c r="AS14" s="87">
        <f>+$I14*지급비율!AI41</f>
        <v>0</v>
      </c>
      <c r="AT14" s="87"/>
      <c r="AU14" s="87"/>
      <c r="AV14" s="83"/>
      <c r="AW14" s="85"/>
      <c r="AX14" s="83"/>
      <c r="AY14" s="86"/>
      <c r="AZ14" s="87">
        <f>+$I14*지급비율!AP41</f>
        <v>0</v>
      </c>
      <c r="BA14" s="87"/>
      <c r="BB14" s="87"/>
      <c r="BC14" s="83"/>
      <c r="BD14" s="85"/>
      <c r="BE14" s="83"/>
      <c r="BF14" s="86"/>
      <c r="BG14" s="87">
        <f>+$I14*지급비율!AW41</f>
        <v>0</v>
      </c>
      <c r="BH14" s="87"/>
      <c r="BI14" s="87"/>
      <c r="BJ14" s="83"/>
      <c r="BK14" s="85">
        <v>46112</v>
      </c>
      <c r="BL14" s="83"/>
      <c r="BM14" s="86">
        <f t="shared" si="1"/>
        <v>1</v>
      </c>
      <c r="BN14" s="87">
        <f>+$I14*지급비율!BD41</f>
        <v>157312925</v>
      </c>
      <c r="BO14" s="87"/>
      <c r="BP14" s="87">
        <f t="shared" si="2"/>
        <v>157312925</v>
      </c>
      <c r="BQ14" s="83"/>
      <c r="BR14" s="88"/>
      <c r="BS14" s="89" t="b">
        <f>+Q14+X14+AE14+AS14+AZ14+BG14+BN14=I14</f>
        <v>1</v>
      </c>
      <c r="BT14" s="90" t="b">
        <f>+R14+Y14+AF14+AT14+BA14+BH14+BO14=K14</f>
        <v>1</v>
      </c>
      <c r="BU14" s="90"/>
      <c r="BV14" s="54"/>
      <c r="BW14" s="54"/>
      <c r="BX14" s="54"/>
      <c r="BY14" s="54"/>
      <c r="BZ14" s="54"/>
      <c r="CA14" s="54"/>
      <c r="CB14" s="54"/>
      <c r="CC14" s="54"/>
      <c r="CD14" s="58"/>
      <c r="CE14" s="58"/>
    </row>
    <row r="15" spans="1:83" ht="16.5" customHeight="1">
      <c r="A15" s="62"/>
      <c r="B15" s="1322"/>
      <c r="C15" s="1323"/>
      <c r="D15" s="1324"/>
      <c r="E15" s="1324"/>
      <c r="F15" s="91" t="s">
        <v>392</v>
      </c>
      <c r="G15" s="92">
        <f>SUM(G11:G14)</f>
        <v>1327966250</v>
      </c>
      <c r="H15" s="92">
        <f>SUM(H11:H14)</f>
        <v>132796625</v>
      </c>
      <c r="I15" s="92">
        <f>SUM(I11:I14)</f>
        <v>1460762875</v>
      </c>
      <c r="J15" s="91">
        <f t="shared" si="0"/>
        <v>0.21693366899127964</v>
      </c>
      <c r="K15" s="92">
        <f>SUM(K11:K14)</f>
        <v>316888650</v>
      </c>
      <c r="L15" s="92">
        <f>SUM(L11:L14)</f>
        <v>1143874225</v>
      </c>
      <c r="M15" s="419">
        <v>185150000</v>
      </c>
      <c r="N15" s="93"/>
      <c r="O15" s="91"/>
      <c r="P15" s="94">
        <f>+IFERROR(Q15/$I15,"-")</f>
        <v>6.4615384615384616E-2</v>
      </c>
      <c r="Q15" s="92">
        <f>SUM(Q11:Q14)</f>
        <v>94387755</v>
      </c>
      <c r="R15" s="170">
        <f>SUM(R11:R14)</f>
        <v>89401620</v>
      </c>
      <c r="S15" s="95">
        <f>+Q15-R15</f>
        <v>4986135</v>
      </c>
      <c r="T15" s="91"/>
      <c r="U15" s="93"/>
      <c r="V15" s="91"/>
      <c r="W15" s="94">
        <f>+IFERROR(X15/$I15,"-")</f>
        <v>2.1538461538461538E-2</v>
      </c>
      <c r="X15" s="92">
        <f>SUM(X11:X14)</f>
        <v>31462585</v>
      </c>
      <c r="Y15" s="170">
        <f>SUM(Y11:Y14)</f>
        <v>72891830</v>
      </c>
      <c r="Z15" s="95">
        <f>+X15-Y15</f>
        <v>-41429245</v>
      </c>
      <c r="AA15" s="91"/>
      <c r="AB15" s="93"/>
      <c r="AC15" s="91"/>
      <c r="AD15" s="94">
        <f>+IFERROR(AE15/$I15,"-")</f>
        <v>0.44615384615384618</v>
      </c>
      <c r="AE15" s="92">
        <f>SUM(AE11:AE14)</f>
        <v>651724975</v>
      </c>
      <c r="AF15" s="170">
        <f>SUM(AF11:AF14)</f>
        <v>154595200</v>
      </c>
      <c r="AG15" s="95">
        <f>+AE15-AF15</f>
        <v>497129775</v>
      </c>
      <c r="AH15" s="91"/>
      <c r="AI15" s="93"/>
      <c r="AJ15" s="91"/>
      <c r="AK15" s="94">
        <f>+IFERROR(AL15/$I15,"-")</f>
        <v>0</v>
      </c>
      <c r="AL15" s="92">
        <f>SUM(AL11:AL14)</f>
        <v>0</v>
      </c>
      <c r="AM15" s="92">
        <f>SUM(AM11:AM14)</f>
        <v>0</v>
      </c>
      <c r="AN15" s="95">
        <f>+AL15-AM15</f>
        <v>0</v>
      </c>
      <c r="AO15" s="91"/>
      <c r="AP15" s="93"/>
      <c r="AQ15" s="91"/>
      <c r="AR15" s="94">
        <f>+IFERROR(AS15/$I15,"-")</f>
        <v>0</v>
      </c>
      <c r="AS15" s="92">
        <f>SUM(AS11:AS14)</f>
        <v>0</v>
      </c>
      <c r="AT15" s="92">
        <f>SUM(AT11:AT14)</f>
        <v>0</v>
      </c>
      <c r="AU15" s="95">
        <f>+AS15-AT15</f>
        <v>0</v>
      </c>
      <c r="AV15" s="91"/>
      <c r="AW15" s="93"/>
      <c r="AX15" s="91"/>
      <c r="AY15" s="94">
        <f>+IFERROR(AZ15/$I15,"-")</f>
        <v>0</v>
      </c>
      <c r="AZ15" s="92">
        <f>SUM(AZ11:AZ14)</f>
        <v>0</v>
      </c>
      <c r="BA15" s="92">
        <f>SUM(BA11:BA14)</f>
        <v>0</v>
      </c>
      <c r="BB15" s="95">
        <f>+AZ15-BA15</f>
        <v>0</v>
      </c>
      <c r="BC15" s="91"/>
      <c r="BD15" s="93"/>
      <c r="BE15" s="91"/>
      <c r="BF15" s="94">
        <f>+IFERROR(BG15/$I15,"-")</f>
        <v>0.27076923076923076</v>
      </c>
      <c r="BG15" s="92">
        <f>SUM(BG11:BG14)</f>
        <v>395529640</v>
      </c>
      <c r="BH15" s="92">
        <f>SUM(BH11:BH14)</f>
        <v>0</v>
      </c>
      <c r="BI15" s="95">
        <f>+BG15-BH15</f>
        <v>395529640</v>
      </c>
      <c r="BJ15" s="91"/>
      <c r="BK15" s="93"/>
      <c r="BL15" s="91"/>
      <c r="BM15" s="94">
        <f t="shared" si="1"/>
        <v>0.19692307692307692</v>
      </c>
      <c r="BN15" s="92">
        <f>SUM(BN11:BN14)</f>
        <v>287657920</v>
      </c>
      <c r="BO15" s="92">
        <f>SUM(BO11:BO14)</f>
        <v>0</v>
      </c>
      <c r="BP15" s="95">
        <f t="shared" si="2"/>
        <v>287657920</v>
      </c>
      <c r="BQ15" s="91"/>
      <c r="BR15" s="88"/>
      <c r="BS15" s="96"/>
      <c r="BT15" s="97"/>
      <c r="BU15" s="97"/>
      <c r="BV15" s="54"/>
      <c r="BW15" s="54"/>
      <c r="BX15" s="54"/>
      <c r="BY15" s="54"/>
      <c r="BZ15" s="54"/>
      <c r="CA15" s="54"/>
      <c r="CB15" s="54"/>
      <c r="CC15" s="54"/>
      <c r="CD15" s="58"/>
      <c r="CE15" s="58"/>
    </row>
    <row r="16" spans="1:83" ht="16.5" customHeight="1">
      <c r="A16" s="62"/>
      <c r="B16" s="1322">
        <f>+B11+1</f>
        <v>2</v>
      </c>
      <c r="C16" s="1323" t="s">
        <v>833</v>
      </c>
      <c r="D16" s="1324">
        <v>240.69</v>
      </c>
      <c r="E16" s="1324" t="s">
        <v>387</v>
      </c>
      <c r="F16" s="63" t="s">
        <v>388</v>
      </c>
      <c r="G16" s="76">
        <f>+지급비율!F38/1000*$D$16</f>
        <v>264759000</v>
      </c>
      <c r="H16" s="64">
        <f>+G16*10%</f>
        <v>26475900</v>
      </c>
      <c r="I16" s="64">
        <f>SUM(G16:H16)</f>
        <v>291234900</v>
      </c>
      <c r="J16" s="65">
        <f t="shared" si="0"/>
        <v>0.1782086556247208</v>
      </c>
      <c r="K16" s="66">
        <f>+IFERROR(R16+Y16+AF16+AT16+BA16+BH16+BO16,"-")</f>
        <v>51900580</v>
      </c>
      <c r="L16" s="66">
        <f>+I16-K16</f>
        <v>239334320</v>
      </c>
      <c r="M16" s="1325" t="s">
        <v>265</v>
      </c>
      <c r="N16" s="67"/>
      <c r="O16" s="68"/>
      <c r="P16" s="69"/>
      <c r="Q16" s="70">
        <f>+$I16*지급비율!G38</f>
        <v>0</v>
      </c>
      <c r="R16" s="70"/>
      <c r="S16" s="70">
        <f>+Q16-R16</f>
        <v>0</v>
      </c>
      <c r="T16" s="71"/>
      <c r="U16" s="67"/>
      <c r="V16" s="68">
        <v>45975</v>
      </c>
      <c r="W16" s="69"/>
      <c r="X16" s="70"/>
      <c r="Y16" s="70">
        <f>44935000+4408640+2556940</f>
        <v>51900580</v>
      </c>
      <c r="Z16" s="70">
        <f>+X16-Y16</f>
        <v>-51900580</v>
      </c>
      <c r="AA16" s="1051" t="s">
        <v>832</v>
      </c>
      <c r="AB16" s="67">
        <f>+EDATE(AI16,0)</f>
        <v>45989</v>
      </c>
      <c r="AC16" s="72"/>
      <c r="AD16" s="69">
        <f>+IFERROR(AE16/$I16,"-")</f>
        <v>0.5</v>
      </c>
      <c r="AE16" s="70">
        <f>+$I16*지급비율!U38</f>
        <v>145617450</v>
      </c>
      <c r="AF16" s="70"/>
      <c r="AG16" s="70">
        <f>+AE16-AF16</f>
        <v>145617450</v>
      </c>
      <c r="AH16" s="71"/>
      <c r="AI16" s="67">
        <f>+EDATE(AP16,-1)</f>
        <v>45989</v>
      </c>
      <c r="AJ16" s="72"/>
      <c r="AK16" s="69">
        <f>+IFERROR(AL16/$I16,"-")</f>
        <v>0</v>
      </c>
      <c r="AL16" s="70">
        <f>+$I16*지급비율!AB38</f>
        <v>0</v>
      </c>
      <c r="AM16" s="70"/>
      <c r="AN16" s="70">
        <f>+AL16-AM16</f>
        <v>0</v>
      </c>
      <c r="AO16" s="71"/>
      <c r="AP16" s="67">
        <f>+EDATE(AW16,-1)</f>
        <v>46019</v>
      </c>
      <c r="AQ16" s="68"/>
      <c r="AR16" s="69">
        <f>+IFERROR(AS16/$I16,"-")</f>
        <v>0</v>
      </c>
      <c r="AS16" s="70">
        <f>+$I16*지급비율!AI38</f>
        <v>0</v>
      </c>
      <c r="AT16" s="70"/>
      <c r="AU16" s="70">
        <f>+AS16-AT16</f>
        <v>0</v>
      </c>
      <c r="AV16" s="71"/>
      <c r="AW16" s="67">
        <f>+EDATE(BD16,-1)</f>
        <v>46050</v>
      </c>
      <c r="AX16" s="67"/>
      <c r="AY16" s="69">
        <f>+IFERROR(AZ16/$I16,"-")</f>
        <v>0</v>
      </c>
      <c r="AZ16" s="70">
        <f>+$I16*지급비율!AP38</f>
        <v>0</v>
      </c>
      <c r="BA16" s="70"/>
      <c r="BB16" s="70">
        <f>+AZ16-BA16</f>
        <v>0</v>
      </c>
      <c r="BC16" s="71"/>
      <c r="BD16" s="67">
        <f>+EDATE(BK16,-1)</f>
        <v>46081</v>
      </c>
      <c r="BE16" s="67"/>
      <c r="BF16" s="69">
        <f>+IFERROR(BG16/$I16,"-")</f>
        <v>0.4</v>
      </c>
      <c r="BG16" s="70">
        <f>+$I16*지급비율!AW38</f>
        <v>116493960</v>
      </c>
      <c r="BH16" s="70"/>
      <c r="BI16" s="70">
        <f>+BG16-BH16</f>
        <v>116493960</v>
      </c>
      <c r="BJ16" s="71"/>
      <c r="BK16" s="68">
        <v>46112</v>
      </c>
      <c r="BL16" s="67"/>
      <c r="BM16" s="69">
        <f t="shared" si="1"/>
        <v>0.1</v>
      </c>
      <c r="BN16" s="70">
        <f>+$I16*지급비율!BD38</f>
        <v>29123490</v>
      </c>
      <c r="BO16" s="70"/>
      <c r="BP16" s="70">
        <f t="shared" si="2"/>
        <v>29123490</v>
      </c>
      <c r="BQ16" s="71"/>
      <c r="BR16" s="73"/>
      <c r="BS16" s="74" t="b">
        <f>+Q16+X16+AE16+AS16+AZ16+BG16+BN16=I16</f>
        <v>1</v>
      </c>
      <c r="BT16" s="74" t="b">
        <f>+R16+Y16+AF16+AT16+BA16+BH16+BO16=K16</f>
        <v>1</v>
      </c>
      <c r="BU16" s="74"/>
      <c r="BV16" s="54"/>
      <c r="BW16" s="54"/>
      <c r="BX16" s="54"/>
      <c r="BY16" s="54"/>
      <c r="BZ16" s="54"/>
      <c r="CA16" s="54"/>
      <c r="CB16" s="54"/>
      <c r="CC16" s="54"/>
      <c r="CD16" s="58"/>
      <c r="CE16" s="58"/>
    </row>
    <row r="17" spans="1:83" ht="16.5" customHeight="1">
      <c r="A17" s="62"/>
      <c r="B17" s="1322"/>
      <c r="C17" s="1323"/>
      <c r="D17" s="1324"/>
      <c r="E17" s="1324"/>
      <c r="F17" s="75" t="s">
        <v>389</v>
      </c>
      <c r="G17" s="76">
        <f>+지급비율!F39/1000*$D$16</f>
        <v>72207000</v>
      </c>
      <c r="H17" s="76">
        <f>+G17*10%</f>
        <v>7220700</v>
      </c>
      <c r="I17" s="76">
        <f>SUM(G17:H17)</f>
        <v>79427700</v>
      </c>
      <c r="J17" s="75">
        <f t="shared" si="0"/>
        <v>0.99823008849557526</v>
      </c>
      <c r="K17" s="77">
        <f>+IFERROR(R17+Y17+AF17+AT17+BA17+BH17+BO17,"-")</f>
        <v>79287120</v>
      </c>
      <c r="L17" s="77">
        <f>+I17-K17</f>
        <v>140580</v>
      </c>
      <c r="M17" s="1326"/>
      <c r="N17" s="78">
        <f>+O17</f>
        <v>45714</v>
      </c>
      <c r="O17" s="78">
        <v>45714</v>
      </c>
      <c r="P17" s="79">
        <f>+IFERROR(Q17/$I17,"-")</f>
        <v>0.3</v>
      </c>
      <c r="Q17" s="80">
        <f>+$I17*지급비율!G39</f>
        <v>23828310</v>
      </c>
      <c r="R17" s="80">
        <v>26429040</v>
      </c>
      <c r="S17" s="80">
        <f>+Q17-R17</f>
        <v>-2600730</v>
      </c>
      <c r="T17" s="81"/>
      <c r="U17" s="78">
        <v>45826</v>
      </c>
      <c r="V17" s="78">
        <v>45826</v>
      </c>
      <c r="W17" s="79">
        <f>+IFERROR(X17/$I17,"-")</f>
        <v>0.1</v>
      </c>
      <c r="X17" s="80">
        <f>+$I17*지급비율!N39</f>
        <v>7942770</v>
      </c>
      <c r="Y17" s="80">
        <v>8809680</v>
      </c>
      <c r="Z17" s="80">
        <f>+X17-Y17</f>
        <v>-866910</v>
      </c>
      <c r="AA17" s="81"/>
      <c r="AB17" s="78">
        <v>45930</v>
      </c>
      <c r="AC17" s="78">
        <v>45883</v>
      </c>
      <c r="AD17" s="79">
        <f>+IFERROR(AE17/$I17,"-")</f>
        <v>0.5</v>
      </c>
      <c r="AE17" s="80">
        <f>+$I17*지급비율!U39</f>
        <v>39713850</v>
      </c>
      <c r="AF17" s="80">
        <v>44048400</v>
      </c>
      <c r="AG17" s="80">
        <f>+AE17-AF17</f>
        <v>-4334550</v>
      </c>
      <c r="AH17" s="81"/>
      <c r="AI17" s="78"/>
      <c r="AJ17" s="78"/>
      <c r="AK17" s="79">
        <f>+IFERROR(AL17/$I17,"-")</f>
        <v>0</v>
      </c>
      <c r="AL17" s="80">
        <f>+$I17*지급비율!AB39</f>
        <v>0</v>
      </c>
      <c r="AM17" s="80"/>
      <c r="AN17" s="80">
        <f>+AL17-AM17</f>
        <v>0</v>
      </c>
      <c r="AO17" s="81"/>
      <c r="AP17" s="78"/>
      <c r="AQ17" s="78"/>
      <c r="AR17" s="79"/>
      <c r="AS17" s="80">
        <f>+$I17*지급비율!AI39</f>
        <v>0</v>
      </c>
      <c r="AT17" s="80"/>
      <c r="AU17" s="80">
        <f>+AS17-AT17</f>
        <v>0</v>
      </c>
      <c r="AV17" s="81"/>
      <c r="AW17" s="78"/>
      <c r="AX17" s="78"/>
      <c r="AY17" s="79"/>
      <c r="AZ17" s="80">
        <f>+$I17*지급비율!AP39</f>
        <v>0</v>
      </c>
      <c r="BA17" s="80"/>
      <c r="BB17" s="80">
        <f>+AZ17-BA17</f>
        <v>0</v>
      </c>
      <c r="BC17" s="81"/>
      <c r="BD17" s="78"/>
      <c r="BE17" s="78"/>
      <c r="BF17" s="79"/>
      <c r="BG17" s="80">
        <f>+$I17*지급비율!AW39</f>
        <v>0</v>
      </c>
      <c r="BH17" s="80"/>
      <c r="BI17" s="80">
        <f>+BG17-BH17</f>
        <v>0</v>
      </c>
      <c r="BJ17" s="81"/>
      <c r="BK17" s="78">
        <v>46112</v>
      </c>
      <c r="BL17" s="78"/>
      <c r="BM17" s="79">
        <f t="shared" si="1"/>
        <v>0.1</v>
      </c>
      <c r="BN17" s="80">
        <f>+$I17*지급비율!BD39</f>
        <v>7942770</v>
      </c>
      <c r="BO17" s="80"/>
      <c r="BP17" s="80">
        <f t="shared" si="2"/>
        <v>7942770</v>
      </c>
      <c r="BQ17" s="81"/>
      <c r="BR17" s="73"/>
      <c r="BS17" s="74" t="b">
        <f>+Q17+X17+AE17+AS17+AZ17+BG17+BN17=I17</f>
        <v>1</v>
      </c>
      <c r="BT17" s="74" t="b">
        <f>+R17+Y17+AF17+AT17+BA17+BH17+BO17=K17</f>
        <v>1</v>
      </c>
      <c r="BU17" s="74" t="b">
        <f>+BG17+BG18+AZ17+AZ18+AS17+AS18+AE17+AE18+X17+X18+Q17+Q18+BN17+BN18=([5]지급비율!$F$35+[5]지급비율!$F$36)*1.1*D16/1000</f>
        <v>1</v>
      </c>
      <c r="BV17" s="480"/>
      <c r="BW17" s="54"/>
      <c r="BX17" s="54"/>
      <c r="BY17" s="54"/>
      <c r="BZ17" s="54"/>
      <c r="CA17" s="54"/>
      <c r="CB17" s="54"/>
      <c r="CC17" s="54"/>
      <c r="CD17" s="58"/>
      <c r="CE17" s="58"/>
    </row>
    <row r="18" spans="1:83" ht="16.5" customHeight="1">
      <c r="A18" s="62"/>
      <c r="B18" s="1322"/>
      <c r="C18" s="1323"/>
      <c r="D18" s="1324"/>
      <c r="E18" s="1324"/>
      <c r="F18" s="75" t="s">
        <v>390</v>
      </c>
      <c r="G18" s="76">
        <f>+지급비율!F40/1000*$D$16</f>
        <v>12034500</v>
      </c>
      <c r="H18" s="76">
        <f>+G18*10%</f>
        <v>1203450</v>
      </c>
      <c r="I18" s="82">
        <f>SUM(G18:H18)</f>
        <v>13237950</v>
      </c>
      <c r="J18" s="75">
        <f t="shared" si="0"/>
        <v>0.99823008849557526</v>
      </c>
      <c r="K18" s="77">
        <f>+IFERROR(R18+Y18+AF18+AT18+BA18+BH18+BO18,"-")</f>
        <v>13214520</v>
      </c>
      <c r="L18" s="77">
        <f>+I18-K18</f>
        <v>23430</v>
      </c>
      <c r="M18" s="1326"/>
      <c r="N18" s="78">
        <f>+O18</f>
        <v>45714</v>
      </c>
      <c r="O18" s="72">
        <f>O17</f>
        <v>45714</v>
      </c>
      <c r="P18" s="79">
        <f>+IFERROR(Q18/$I18,"-")</f>
        <v>0.3</v>
      </c>
      <c r="Q18" s="80">
        <f>+$I18*지급비율!G40</f>
        <v>3971385</v>
      </c>
      <c r="R18" s="80">
        <v>4404840</v>
      </c>
      <c r="S18" s="80">
        <f>+Q18-R18</f>
        <v>-433455</v>
      </c>
      <c r="T18" s="81"/>
      <c r="U18" s="78">
        <v>45826</v>
      </c>
      <c r="V18" s="78">
        <v>45826</v>
      </c>
      <c r="W18" s="79">
        <f>+IFERROR(X18/$I18,"-")</f>
        <v>0.1</v>
      </c>
      <c r="X18" s="80">
        <f>+$I18*지급비율!N40</f>
        <v>1323795</v>
      </c>
      <c r="Y18" s="80">
        <v>1468280</v>
      </c>
      <c r="Z18" s="80">
        <f>+X18-Y18</f>
        <v>-144485</v>
      </c>
      <c r="AA18" s="81"/>
      <c r="AB18" s="78">
        <v>45930</v>
      </c>
      <c r="AC18" s="72">
        <v>45883</v>
      </c>
      <c r="AD18" s="79">
        <f>+IFERROR(AE18/$I18,"-")</f>
        <v>0.5</v>
      </c>
      <c r="AE18" s="80">
        <f>+$I18*지급비율!U40</f>
        <v>6618975</v>
      </c>
      <c r="AF18" s="80">
        <v>7341400</v>
      </c>
      <c r="AG18" s="80">
        <f>+AE18-AF18</f>
        <v>-722425</v>
      </c>
      <c r="AH18" s="81"/>
      <c r="AI18" s="72"/>
      <c r="AJ18" s="72"/>
      <c r="AK18" s="79">
        <f>+IFERROR(AL18/$I18,"-")</f>
        <v>0</v>
      </c>
      <c r="AL18" s="80">
        <f>+$I18*지급비율!AB40</f>
        <v>0</v>
      </c>
      <c r="AM18" s="80"/>
      <c r="AN18" s="80">
        <f>+AL18-AM18</f>
        <v>0</v>
      </c>
      <c r="AO18" s="81"/>
      <c r="AP18" s="72"/>
      <c r="AQ18" s="72"/>
      <c r="AR18" s="79"/>
      <c r="AS18" s="80">
        <f>+$I18*지급비율!AI40</f>
        <v>0</v>
      </c>
      <c r="AT18" s="80"/>
      <c r="AU18" s="80">
        <f>+AS18-AT18</f>
        <v>0</v>
      </c>
      <c r="AV18" s="81"/>
      <c r="AW18" s="72"/>
      <c r="AX18" s="72"/>
      <c r="AY18" s="79"/>
      <c r="AZ18" s="80">
        <f>+$I18*지급비율!AP40</f>
        <v>0</v>
      </c>
      <c r="BA18" s="80"/>
      <c r="BB18" s="80">
        <f>+AZ18-BA18</f>
        <v>0</v>
      </c>
      <c r="BC18" s="81"/>
      <c r="BD18" s="72"/>
      <c r="BE18" s="72"/>
      <c r="BF18" s="79"/>
      <c r="BG18" s="80">
        <f>+$I18*지급비율!AW40</f>
        <v>0</v>
      </c>
      <c r="BH18" s="80"/>
      <c r="BI18" s="80">
        <f>+BG18-BH18</f>
        <v>0</v>
      </c>
      <c r="BJ18" s="81"/>
      <c r="BK18" s="78">
        <v>46112</v>
      </c>
      <c r="BL18" s="72"/>
      <c r="BM18" s="79">
        <f t="shared" si="1"/>
        <v>0.1</v>
      </c>
      <c r="BN18" s="80">
        <f>+$I18*지급비율!BD40</f>
        <v>1323795</v>
      </c>
      <c r="BO18" s="80"/>
      <c r="BP18" s="80">
        <f t="shared" si="2"/>
        <v>1323795</v>
      </c>
      <c r="BQ18" s="81"/>
      <c r="BR18" s="73"/>
      <c r="BS18" s="74" t="b">
        <f>+Q18+X18+AE18+AS18+AZ18+BG18+BN18=I18</f>
        <v>1</v>
      </c>
      <c r="BT18" s="74" t="b">
        <f>+R18+Y18+AF18+AT18+BA18+BH18+BO18=K18</f>
        <v>1</v>
      </c>
      <c r="BU18" s="74"/>
      <c r="BV18" s="480"/>
      <c r="BW18" s="54"/>
      <c r="BX18" s="54"/>
      <c r="BY18" s="54"/>
      <c r="BZ18" s="54"/>
      <c r="CA18" s="54"/>
      <c r="CB18" s="54"/>
      <c r="CC18" s="54"/>
      <c r="CD18" s="58"/>
      <c r="CE18" s="58"/>
    </row>
    <row r="19" spans="1:83" ht="16.5" customHeight="1">
      <c r="A19" s="62"/>
      <c r="B19" s="1322"/>
      <c r="C19" s="1323"/>
      <c r="D19" s="1324"/>
      <c r="E19" s="1324"/>
      <c r="F19" s="83" t="s">
        <v>391</v>
      </c>
      <c r="G19" s="82">
        <f>+지급비율!F41/1000*$D$16</f>
        <v>42120750</v>
      </c>
      <c r="H19" s="82">
        <f>+G19*10%</f>
        <v>4212075</v>
      </c>
      <c r="I19" s="82">
        <f>SUM(G19:H19)</f>
        <v>46332825</v>
      </c>
      <c r="J19" s="83">
        <f t="shared" si="0"/>
        <v>0</v>
      </c>
      <c r="K19" s="84">
        <f>+IFERROR(R19+Y19+AF19+AT19+BA19+BH19+BO19,"-")</f>
        <v>0</v>
      </c>
      <c r="L19" s="84">
        <f>+I19-K19</f>
        <v>46332825</v>
      </c>
      <c r="M19" s="1327"/>
      <c r="N19" s="85"/>
      <c r="O19" s="83"/>
      <c r="P19" s="86"/>
      <c r="Q19" s="87">
        <f>+$I19*지급비율!G41</f>
        <v>0</v>
      </c>
      <c r="R19" s="87"/>
      <c r="S19" s="87"/>
      <c r="T19" s="83"/>
      <c r="U19" s="85"/>
      <c r="V19" s="83"/>
      <c r="W19" s="86"/>
      <c r="X19" s="87">
        <f>+$I19*지급비율!N41</f>
        <v>0</v>
      </c>
      <c r="Y19" s="87"/>
      <c r="Z19" s="87"/>
      <c r="AA19" s="83"/>
      <c r="AB19" s="85"/>
      <c r="AC19" s="83"/>
      <c r="AD19" s="86"/>
      <c r="AE19" s="87">
        <f>+$I19*지급비율!U41</f>
        <v>0</v>
      </c>
      <c r="AF19" s="87"/>
      <c r="AG19" s="87"/>
      <c r="AH19" s="83"/>
      <c r="AI19" s="85"/>
      <c r="AJ19" s="83"/>
      <c r="AK19" s="86"/>
      <c r="AL19" s="87">
        <f>+$I19*지급비율!AB41</f>
        <v>0</v>
      </c>
      <c r="AM19" s="87"/>
      <c r="AN19" s="87"/>
      <c r="AO19" s="83"/>
      <c r="AP19" s="85"/>
      <c r="AQ19" s="83"/>
      <c r="AR19" s="86"/>
      <c r="AS19" s="87">
        <f>+$I19*지급비율!AI41</f>
        <v>0</v>
      </c>
      <c r="AT19" s="87"/>
      <c r="AU19" s="87"/>
      <c r="AV19" s="83"/>
      <c r="AW19" s="85"/>
      <c r="AX19" s="83"/>
      <c r="AY19" s="86"/>
      <c r="AZ19" s="87">
        <f>+$I19*지급비율!AP41</f>
        <v>0</v>
      </c>
      <c r="BA19" s="87"/>
      <c r="BB19" s="87"/>
      <c r="BC19" s="83"/>
      <c r="BD19" s="85"/>
      <c r="BE19" s="83"/>
      <c r="BF19" s="86"/>
      <c r="BG19" s="87">
        <f>+$I19*지급비율!AW41</f>
        <v>0</v>
      </c>
      <c r="BH19" s="87"/>
      <c r="BI19" s="87"/>
      <c r="BJ19" s="83"/>
      <c r="BK19" s="85">
        <v>46112</v>
      </c>
      <c r="BL19" s="83"/>
      <c r="BM19" s="86">
        <f t="shared" si="1"/>
        <v>1</v>
      </c>
      <c r="BN19" s="87">
        <f>+$I19*지급비율!BD41</f>
        <v>46332825</v>
      </c>
      <c r="BO19" s="87"/>
      <c r="BP19" s="87">
        <f t="shared" si="2"/>
        <v>46332825</v>
      </c>
      <c r="BQ19" s="83"/>
      <c r="BR19" s="88"/>
      <c r="BS19" s="89" t="b">
        <f>+Q19+X19+AE19+AS19+AZ19+BG19+BN19=I19</f>
        <v>1</v>
      </c>
      <c r="BT19" s="90" t="b">
        <f>+R19+Y19+AF19+AT19+BA19+BH19+BO19=K19</f>
        <v>1</v>
      </c>
      <c r="BU19" s="90"/>
      <c r="BV19" s="54"/>
      <c r="BW19" s="54"/>
      <c r="BX19" s="54"/>
      <c r="BY19" s="54"/>
      <c r="BZ19" s="54"/>
      <c r="CA19" s="54"/>
      <c r="CB19" s="54"/>
      <c r="CC19" s="54"/>
      <c r="CD19" s="58"/>
      <c r="CE19" s="58"/>
    </row>
    <row r="20" spans="1:83" ht="16.5" customHeight="1">
      <c r="A20" s="62"/>
      <c r="B20" s="1322"/>
      <c r="C20" s="1323"/>
      <c r="D20" s="1324"/>
      <c r="E20" s="1324"/>
      <c r="F20" s="91" t="s">
        <v>392</v>
      </c>
      <c r="G20" s="92">
        <f>SUM(G16:G19)</f>
        <v>391121250</v>
      </c>
      <c r="H20" s="92">
        <f>SUM(H16:H19)</f>
        <v>39112125</v>
      </c>
      <c r="I20" s="92">
        <f>SUM(I16:I19)</f>
        <v>430233375</v>
      </c>
      <c r="J20" s="91">
        <f t="shared" si="0"/>
        <v>0.33563695517578107</v>
      </c>
      <c r="K20" s="92">
        <f>SUM(K16:K19)</f>
        <v>144402220</v>
      </c>
      <c r="L20" s="92">
        <f>SUM(L16:L19)</f>
        <v>285831155</v>
      </c>
      <c r="M20" s="419">
        <v>185150000</v>
      </c>
      <c r="N20" s="93"/>
      <c r="O20" s="91"/>
      <c r="P20" s="94">
        <f>+IFERROR(Q20/$I20,"-")</f>
        <v>6.4615384615384616E-2</v>
      </c>
      <c r="Q20" s="92">
        <f>SUM(Q16:Q19)</f>
        <v>27799695</v>
      </c>
      <c r="R20" s="170">
        <f>SUM(R16:R19)</f>
        <v>30833880</v>
      </c>
      <c r="S20" s="95">
        <f>+Q20-R20</f>
        <v>-3034185</v>
      </c>
      <c r="T20" s="91"/>
      <c r="U20" s="93"/>
      <c r="V20" s="91"/>
      <c r="W20" s="94">
        <f>+IFERROR(X20/$I20,"-")</f>
        <v>2.1538461538461538E-2</v>
      </c>
      <c r="X20" s="92">
        <f>SUM(X16:X19)</f>
        <v>9266565</v>
      </c>
      <c r="Y20" s="170">
        <f>SUM(Y16:Y19)</f>
        <v>62178540</v>
      </c>
      <c r="Z20" s="95">
        <f>+X20-Y20</f>
        <v>-52911975</v>
      </c>
      <c r="AA20" s="91"/>
      <c r="AB20" s="93"/>
      <c r="AC20" s="91"/>
      <c r="AD20" s="94">
        <f>+IFERROR(AE20/$I20,"-")</f>
        <v>0.44615384615384618</v>
      </c>
      <c r="AE20" s="92">
        <f>SUM(AE16:AE19)</f>
        <v>191950275</v>
      </c>
      <c r="AF20" s="170">
        <f>SUM(AF16:AF19)</f>
        <v>51389800</v>
      </c>
      <c r="AG20" s="95">
        <f>+AE20-AF20</f>
        <v>140560475</v>
      </c>
      <c r="AH20" s="91"/>
      <c r="AI20" s="93"/>
      <c r="AJ20" s="91"/>
      <c r="AK20" s="94">
        <f>+IFERROR(AL20/$I20,"-")</f>
        <v>0</v>
      </c>
      <c r="AL20" s="92">
        <f>SUM(AL16:AL19)</f>
        <v>0</v>
      </c>
      <c r="AM20" s="92">
        <f>SUM(AM16:AM19)</f>
        <v>0</v>
      </c>
      <c r="AN20" s="95">
        <f>+AL20-AM20</f>
        <v>0</v>
      </c>
      <c r="AO20" s="91"/>
      <c r="AP20" s="93"/>
      <c r="AQ20" s="91"/>
      <c r="AR20" s="94">
        <f>+IFERROR(AS20/$I20,"-")</f>
        <v>0</v>
      </c>
      <c r="AS20" s="92">
        <f>SUM(AS16:AS19)</f>
        <v>0</v>
      </c>
      <c r="AT20" s="92">
        <f>SUM(AT16:AT19)</f>
        <v>0</v>
      </c>
      <c r="AU20" s="95">
        <f>+AS20-AT20</f>
        <v>0</v>
      </c>
      <c r="AV20" s="91"/>
      <c r="AW20" s="93"/>
      <c r="AX20" s="91"/>
      <c r="AY20" s="94">
        <f>+IFERROR(AZ20/$I20,"-")</f>
        <v>0</v>
      </c>
      <c r="AZ20" s="92">
        <f>SUM(AZ16:AZ19)</f>
        <v>0</v>
      </c>
      <c r="BA20" s="92">
        <f>SUM(BA16:BA19)</f>
        <v>0</v>
      </c>
      <c r="BB20" s="95">
        <f>+AZ20-BA20</f>
        <v>0</v>
      </c>
      <c r="BC20" s="91"/>
      <c r="BD20" s="93"/>
      <c r="BE20" s="91"/>
      <c r="BF20" s="94">
        <f>+IFERROR(BG20/$I20,"-")</f>
        <v>0.27076923076923076</v>
      </c>
      <c r="BG20" s="92">
        <f>SUM(BG16:BG19)</f>
        <v>116493960</v>
      </c>
      <c r="BH20" s="92">
        <f>SUM(BH16:BH19)</f>
        <v>0</v>
      </c>
      <c r="BI20" s="95">
        <f>+BG20-BH20</f>
        <v>116493960</v>
      </c>
      <c r="BJ20" s="91"/>
      <c r="BK20" s="93"/>
      <c r="BL20" s="91"/>
      <c r="BM20" s="94">
        <f t="shared" si="1"/>
        <v>0.19692307692307692</v>
      </c>
      <c r="BN20" s="92">
        <f>SUM(BN16:BN19)</f>
        <v>84722880</v>
      </c>
      <c r="BO20" s="92">
        <f>SUM(BO16:BO19)</f>
        <v>0</v>
      </c>
      <c r="BP20" s="95">
        <f t="shared" si="2"/>
        <v>84722880</v>
      </c>
      <c r="BQ20" s="91"/>
      <c r="BR20" s="88"/>
      <c r="BS20" s="96"/>
      <c r="BT20" s="97"/>
      <c r="BU20" s="97"/>
      <c r="BV20" s="54"/>
      <c r="BW20" s="54"/>
      <c r="BX20" s="54"/>
      <c r="BY20" s="54"/>
      <c r="BZ20" s="54"/>
      <c r="CA20" s="54"/>
      <c r="CB20" s="54"/>
      <c r="CC20" s="54"/>
      <c r="CD20" s="58"/>
      <c r="CE20" s="58"/>
    </row>
    <row r="21" spans="1:83" ht="16.5" customHeight="1">
      <c r="A21" s="62"/>
      <c r="B21" s="1322">
        <f t="shared" ref="B21" si="3">+B16+1</f>
        <v>3</v>
      </c>
      <c r="C21" s="1328" t="s">
        <v>393</v>
      </c>
      <c r="D21" s="1329">
        <v>386.24</v>
      </c>
      <c r="E21" s="1324" t="s">
        <v>387</v>
      </c>
      <c r="F21" s="65" t="s">
        <v>388</v>
      </c>
      <c r="G21" s="76">
        <f>+지급비율!F38/1000*$D$21</f>
        <v>424864000</v>
      </c>
      <c r="H21" s="98">
        <f>+G21*10%</f>
        <v>42486400</v>
      </c>
      <c r="I21" s="98">
        <f>SUM(G21:H21)</f>
        <v>467350400</v>
      </c>
      <c r="J21" s="83">
        <f t="shared" ref="J21:J47" si="4">+IFERROR(K21/I21,"-")</f>
        <v>0.13075814207070327</v>
      </c>
      <c r="K21" s="84">
        <f>+IFERROR(R21+Y21+AF21+AT21+BA21+BH21+BO21,"-")</f>
        <v>61109870</v>
      </c>
      <c r="L21" s="99">
        <f>+I21-K21</f>
        <v>406240530</v>
      </c>
      <c r="M21" s="446"/>
      <c r="N21" s="68"/>
      <c r="O21" s="68"/>
      <c r="P21" s="69"/>
      <c r="Q21" s="70"/>
      <c r="R21" s="70"/>
      <c r="S21" s="87">
        <f>+Q21-R21</f>
        <v>0</v>
      </c>
      <c r="T21" s="71"/>
      <c r="U21" s="68"/>
      <c r="V21" s="68">
        <v>45975</v>
      </c>
      <c r="W21" s="86"/>
      <c r="X21" s="70"/>
      <c r="Y21" s="70">
        <f>4081000+51347700+2646180+3034990</f>
        <v>61109870</v>
      </c>
      <c r="Z21" s="70">
        <f>+X21-Y21</f>
        <v>-61109870</v>
      </c>
      <c r="AA21" s="1051" t="s">
        <v>832</v>
      </c>
      <c r="AB21" s="68">
        <f>+EDATE(AI21,-1)</f>
        <v>45990</v>
      </c>
      <c r="AC21" s="68"/>
      <c r="AD21" s="69">
        <f>+IFERROR(AE21/$I21,"-")</f>
        <v>0.5</v>
      </c>
      <c r="AE21" s="70">
        <f>+$I21*지급비율!U38</f>
        <v>233675200</v>
      </c>
      <c r="AF21" s="70"/>
      <c r="AG21" s="70">
        <f>+AE21-AF21</f>
        <v>233675200</v>
      </c>
      <c r="AH21" s="71"/>
      <c r="AI21" s="68">
        <f>+EDATE(AP21,-1)</f>
        <v>46020</v>
      </c>
      <c r="AJ21" s="68"/>
      <c r="AK21" s="69">
        <f>+IFERROR(AL21/$I21,"-")</f>
        <v>0</v>
      </c>
      <c r="AL21" s="70">
        <f>+$I21*지급비율!AB38</f>
        <v>0</v>
      </c>
      <c r="AM21" s="70"/>
      <c r="AN21" s="70">
        <f>+AL21-AM21</f>
        <v>0</v>
      </c>
      <c r="AO21" s="71"/>
      <c r="AP21" s="68">
        <f>+EDATE(AW21,-1)+1</f>
        <v>46051</v>
      </c>
      <c r="AQ21" s="68"/>
      <c r="AR21" s="100">
        <f>+IFERROR(AS21/$I21,"-")</f>
        <v>0</v>
      </c>
      <c r="AS21" s="70">
        <f>+$I21*지급비율!AI38</f>
        <v>0</v>
      </c>
      <c r="AT21" s="70"/>
      <c r="AU21" s="70">
        <f>+AS21-AT21</f>
        <v>0</v>
      </c>
      <c r="AV21" s="71"/>
      <c r="AW21" s="68">
        <f>+EDATE(BD21,-1)</f>
        <v>46081</v>
      </c>
      <c r="AX21" s="68"/>
      <c r="AY21" s="69">
        <f>+IFERROR(AZ21/$I21,"-")</f>
        <v>0</v>
      </c>
      <c r="AZ21" s="70">
        <f>+$I21*지급비율!AP38</f>
        <v>0</v>
      </c>
      <c r="BA21" s="70"/>
      <c r="BB21" s="70">
        <f>+AZ21-BA21</f>
        <v>0</v>
      </c>
      <c r="BC21" s="71"/>
      <c r="BD21" s="68">
        <f>+EDATE(BK21,-1)</f>
        <v>46111</v>
      </c>
      <c r="BE21" s="68"/>
      <c r="BF21" s="69">
        <f>+IFERROR(BG21/$I21,"-")</f>
        <v>0.4</v>
      </c>
      <c r="BG21" s="70">
        <f>+$I21*지급비율!AW38</f>
        <v>186940160</v>
      </c>
      <c r="BH21" s="70"/>
      <c r="BI21" s="70">
        <f>+BG21-BH21</f>
        <v>186940160</v>
      </c>
      <c r="BJ21" s="71"/>
      <c r="BK21" s="68">
        <v>46142</v>
      </c>
      <c r="BL21" s="68"/>
      <c r="BM21" s="69">
        <f t="shared" ref="BM21:BM47" si="5">+IFERROR(BN21/$I21,"-")</f>
        <v>0.1</v>
      </c>
      <c r="BN21" s="70">
        <f>+$I21*지급비율!BD38</f>
        <v>46735040</v>
      </c>
      <c r="BO21" s="70"/>
      <c r="BP21" s="70">
        <f t="shared" ref="BP21:BP47" si="6">+BN21-BO21</f>
        <v>46735040</v>
      </c>
      <c r="BQ21" s="71"/>
      <c r="BR21" s="73"/>
      <c r="BS21" s="74" t="b">
        <f>+Q21+X21+AE21+AS21+AZ21+BG21+BN21=I21</f>
        <v>1</v>
      </c>
      <c r="BT21" s="74" t="b">
        <f>+R21+Y21+AF21+AT21+BA21+BH21+BO21=K21</f>
        <v>1</v>
      </c>
      <c r="BU21" s="74"/>
      <c r="BV21" s="54"/>
      <c r="BW21" s="54"/>
      <c r="BX21" s="54"/>
      <c r="BY21" s="54"/>
      <c r="BZ21" s="54"/>
      <c r="CA21" s="54"/>
      <c r="CB21" s="54"/>
      <c r="CC21" s="54"/>
      <c r="CD21" s="58"/>
      <c r="CE21" s="58"/>
    </row>
    <row r="22" spans="1:83" ht="16.5" customHeight="1">
      <c r="A22" s="62"/>
      <c r="B22" s="1322"/>
      <c r="C22" s="1328"/>
      <c r="D22" s="1329"/>
      <c r="E22" s="1324"/>
      <c r="F22" s="75" t="s">
        <v>389</v>
      </c>
      <c r="G22" s="76">
        <f>+지급비율!F39/1000*$D$21</f>
        <v>115872000</v>
      </c>
      <c r="H22" s="76">
        <f>+G22*10%</f>
        <v>11587200</v>
      </c>
      <c r="I22" s="76">
        <f>SUM(G22:H22)</f>
        <v>127459200</v>
      </c>
      <c r="J22" s="75">
        <f t="shared" si="4"/>
        <v>0.8959368958851146</v>
      </c>
      <c r="K22" s="77">
        <f>+IFERROR(R22+Y22+AF22+AT22+BA22+BH22+BO22,"-")</f>
        <v>114195400</v>
      </c>
      <c r="L22" s="77">
        <f>+I22-K22</f>
        <v>13263800</v>
      </c>
      <c r="M22" s="447"/>
      <c r="N22" s="78">
        <f>+O22</f>
        <v>45730</v>
      </c>
      <c r="O22" s="78">
        <v>45730</v>
      </c>
      <c r="P22" s="79">
        <f>+IFERROR(Q22/$I22,"-")</f>
        <v>0.3</v>
      </c>
      <c r="Q22" s="80">
        <f>+$I22*[5]지급비율!G$35</f>
        <v>38237760</v>
      </c>
      <c r="R22" s="80">
        <v>40194000</v>
      </c>
      <c r="S22" s="80">
        <f>+Q22-R22</f>
        <v>-1956240</v>
      </c>
      <c r="T22" s="81"/>
      <c r="U22" s="78">
        <v>45826</v>
      </c>
      <c r="V22" s="78">
        <v>45826</v>
      </c>
      <c r="W22" s="79">
        <f>+IFERROR(X22/$I22,"-")</f>
        <v>0.1</v>
      </c>
      <c r="X22" s="80">
        <f>+$I22*지급비율!N39</f>
        <v>12745920</v>
      </c>
      <c r="Y22" s="80">
        <v>13398000</v>
      </c>
      <c r="Z22" s="80">
        <f>+X22-Y22</f>
        <v>-652080</v>
      </c>
      <c r="AA22" s="81"/>
      <c r="AB22" s="78">
        <v>45855</v>
      </c>
      <c r="AC22" s="78">
        <v>45867</v>
      </c>
      <c r="AD22" s="79">
        <f>+IFERROR(AE22/$I22,"-")</f>
        <v>0.5</v>
      </c>
      <c r="AE22" s="80">
        <f>+$I22*지급비율!U39</f>
        <v>63729600</v>
      </c>
      <c r="AF22" s="80">
        <f>41426000-10621600+29799000</f>
        <v>60603400</v>
      </c>
      <c r="AG22" s="80">
        <f>+AE22-AF22</f>
        <v>3126200</v>
      </c>
      <c r="AH22" s="81"/>
      <c r="AI22" s="78"/>
      <c r="AJ22" s="78"/>
      <c r="AK22" s="79">
        <f>+IFERROR(AL22/$I22,"-")</f>
        <v>0</v>
      </c>
      <c r="AL22" s="80">
        <f>+$I22*지급비율!AB39</f>
        <v>0</v>
      </c>
      <c r="AM22" s="80"/>
      <c r="AN22" s="80">
        <f>+AL22-AM22</f>
        <v>0</v>
      </c>
      <c r="AO22" s="81"/>
      <c r="AP22" s="78"/>
      <c r="AQ22" s="78"/>
      <c r="AR22" s="79"/>
      <c r="AS22" s="80">
        <f>+$I22*지급비율!AI39</f>
        <v>0</v>
      </c>
      <c r="AT22" s="80"/>
      <c r="AU22" s="80">
        <f>+AS22-AT22</f>
        <v>0</v>
      </c>
      <c r="AV22" s="81"/>
      <c r="AW22" s="78"/>
      <c r="AX22" s="78"/>
      <c r="AY22" s="79"/>
      <c r="AZ22" s="80">
        <f>+$I22*지급비율!AP39</f>
        <v>0</v>
      </c>
      <c r="BA22" s="80"/>
      <c r="BB22" s="80">
        <f>+AZ22-BA22</f>
        <v>0</v>
      </c>
      <c r="BC22" s="81"/>
      <c r="BD22" s="78"/>
      <c r="BE22" s="78"/>
      <c r="BF22" s="79"/>
      <c r="BG22" s="80">
        <f>+$I22*지급비율!AW39</f>
        <v>0</v>
      </c>
      <c r="BH22" s="80"/>
      <c r="BI22" s="80">
        <f>+BG22-BH22</f>
        <v>0</v>
      </c>
      <c r="BJ22" s="81"/>
      <c r="BK22" s="78">
        <v>46142</v>
      </c>
      <c r="BL22" s="78"/>
      <c r="BM22" s="79">
        <f t="shared" si="5"/>
        <v>0.1</v>
      </c>
      <c r="BN22" s="80">
        <f>+$I22*지급비율!BD39</f>
        <v>12745920</v>
      </c>
      <c r="BO22" s="80"/>
      <c r="BP22" s="80">
        <f t="shared" si="6"/>
        <v>12745920</v>
      </c>
      <c r="BQ22" s="81"/>
      <c r="BR22" s="73"/>
      <c r="BS22" s="74" t="b">
        <f>+Q22+X22+AE22+AS22+AZ22+BG22+BN22=I22</f>
        <v>1</v>
      </c>
      <c r="BT22" s="74" t="b">
        <f>+R22+Y22+AF22+AT22+BA22+BH22+BO22=K22</f>
        <v>1</v>
      </c>
      <c r="BU22" s="74" t="b">
        <f>+BG22+BG23+AZ22+AZ23+AS22+AS23+AE22+AE23+X22+X23+Q22+Q23+BN22+BN23=([5]지급비율!$F$35+[5]지급비율!$F$36)*1.1*D21/1000</f>
        <v>1</v>
      </c>
      <c r="BV22" s="54"/>
      <c r="BW22" s="54"/>
      <c r="BX22" s="54"/>
      <c r="BY22" s="54"/>
      <c r="BZ22" s="54"/>
      <c r="CA22" s="54"/>
      <c r="CB22" s="54"/>
      <c r="CC22" s="54"/>
      <c r="CD22" s="58"/>
      <c r="CE22" s="58"/>
    </row>
    <row r="23" spans="1:83" ht="16.5" customHeight="1">
      <c r="A23" s="62"/>
      <c r="B23" s="1322"/>
      <c r="C23" s="1328"/>
      <c r="D23" s="1329"/>
      <c r="E23" s="1324"/>
      <c r="F23" s="75" t="s">
        <v>390</v>
      </c>
      <c r="G23" s="76">
        <f>+지급비율!F40/1000*$D$21</f>
        <v>19312000</v>
      </c>
      <c r="H23" s="76">
        <f>+G23*10%</f>
        <v>1931200</v>
      </c>
      <c r="I23" s="76">
        <f>SUM(G23:H23)</f>
        <v>21243200</v>
      </c>
      <c r="J23" s="75">
        <f t="shared" si="4"/>
        <v>0.92046396023198007</v>
      </c>
      <c r="K23" s="77">
        <f>+IFERROR(R23+Y23+AF23+AT23+BA23+BH23+BO23,"-")</f>
        <v>19553600</v>
      </c>
      <c r="L23" s="77">
        <f>+I23-K23</f>
        <v>1689600</v>
      </c>
      <c r="M23" s="447"/>
      <c r="N23" s="78">
        <f>+O23</f>
        <v>45730</v>
      </c>
      <c r="O23" s="72">
        <f>O22</f>
        <v>45730</v>
      </c>
      <c r="P23" s="79">
        <f>+IFERROR(Q23/$I23,"-")</f>
        <v>0.3</v>
      </c>
      <c r="Q23" s="80">
        <f>+$I23*[5]지급비율!G$36</f>
        <v>6372960</v>
      </c>
      <c r="R23" s="80">
        <v>6699000.0000000009</v>
      </c>
      <c r="S23" s="80">
        <f>+Q23-R23</f>
        <v>-326040.00000000093</v>
      </c>
      <c r="T23" s="81"/>
      <c r="U23" s="78">
        <v>45826</v>
      </c>
      <c r="V23" s="78">
        <v>45826</v>
      </c>
      <c r="W23" s="79">
        <f>+IFERROR(X23/$I23,"-")</f>
        <v>0.1</v>
      </c>
      <c r="X23" s="80">
        <f>+$I23*지급비율!N40</f>
        <v>2124320</v>
      </c>
      <c r="Y23" s="80">
        <v>2233000</v>
      </c>
      <c r="Z23" s="80">
        <f>+X23-Y23</f>
        <v>-108680</v>
      </c>
      <c r="AA23" s="81"/>
      <c r="AB23" s="78">
        <v>45855</v>
      </c>
      <c r="AC23" s="78">
        <v>45867</v>
      </c>
      <c r="AD23" s="79">
        <f>+IFERROR(AE23/$I23,"-")</f>
        <v>0.5</v>
      </c>
      <c r="AE23" s="80">
        <f>+$I23*지급비율!U40</f>
        <v>10621600</v>
      </c>
      <c r="AF23" s="80">
        <v>10621600</v>
      </c>
      <c r="AG23" s="80">
        <f>+AE23-AF23</f>
        <v>0</v>
      </c>
      <c r="AH23" s="81"/>
      <c r="AI23" s="72"/>
      <c r="AJ23" s="72"/>
      <c r="AK23" s="79">
        <f>+IFERROR(AL23/$I23,"-")</f>
        <v>0</v>
      </c>
      <c r="AL23" s="80">
        <f>+$I23*지급비율!AB40</f>
        <v>0</v>
      </c>
      <c r="AM23" s="80"/>
      <c r="AN23" s="80">
        <f>+AL23-AM23</f>
        <v>0</v>
      </c>
      <c r="AO23" s="81"/>
      <c r="AP23" s="72"/>
      <c r="AQ23" s="72"/>
      <c r="AR23" s="79"/>
      <c r="AS23" s="80">
        <f>+$I23*지급비율!AI40</f>
        <v>0</v>
      </c>
      <c r="AT23" s="80"/>
      <c r="AU23" s="80">
        <f>+AS23-AT23</f>
        <v>0</v>
      </c>
      <c r="AV23" s="81"/>
      <c r="AW23" s="72"/>
      <c r="AX23" s="72"/>
      <c r="AY23" s="79"/>
      <c r="AZ23" s="80">
        <f>+$I23*지급비율!AP40</f>
        <v>0</v>
      </c>
      <c r="BA23" s="80"/>
      <c r="BB23" s="80">
        <f>+AZ23-BA23</f>
        <v>0</v>
      </c>
      <c r="BC23" s="81"/>
      <c r="BD23" s="72"/>
      <c r="BE23" s="72"/>
      <c r="BF23" s="79"/>
      <c r="BG23" s="80">
        <f>+$I23*지급비율!AW40</f>
        <v>0</v>
      </c>
      <c r="BH23" s="80"/>
      <c r="BI23" s="80">
        <f>+BG23-BH23</f>
        <v>0</v>
      </c>
      <c r="BJ23" s="81"/>
      <c r="BK23" s="78">
        <v>46142</v>
      </c>
      <c r="BL23" s="72"/>
      <c r="BM23" s="79">
        <f t="shared" si="5"/>
        <v>0.1</v>
      </c>
      <c r="BN23" s="80">
        <f>+$I23*지급비율!BD40</f>
        <v>2124320</v>
      </c>
      <c r="BO23" s="80"/>
      <c r="BP23" s="80">
        <f t="shared" si="6"/>
        <v>2124320</v>
      </c>
      <c r="BQ23" s="81"/>
      <c r="BR23" s="73"/>
      <c r="BS23" s="74" t="b">
        <f>+Q23+X23+AE23+AS23+AZ23+BG23+BN23=I23</f>
        <v>1</v>
      </c>
      <c r="BT23" s="74" t="b">
        <f>+R23+Y23+AF23+AT23+BA23+BH23+BO23=K23</f>
        <v>1</v>
      </c>
      <c r="BU23" s="74"/>
      <c r="BV23" s="54"/>
      <c r="BW23" s="54"/>
      <c r="BX23" s="54"/>
      <c r="BY23" s="54"/>
      <c r="BZ23" s="54"/>
      <c r="CA23" s="54"/>
      <c r="CB23" s="54"/>
      <c r="CC23" s="54"/>
      <c r="CD23" s="58"/>
      <c r="CE23" s="58"/>
    </row>
    <row r="24" spans="1:83" ht="16.5" customHeight="1">
      <c r="A24" s="62"/>
      <c r="B24" s="1322"/>
      <c r="C24" s="1328"/>
      <c r="D24" s="1329"/>
      <c r="E24" s="1324"/>
      <c r="F24" s="101" t="s">
        <v>391</v>
      </c>
      <c r="G24" s="102">
        <f>+지급비율!F41/1000*$D$21</f>
        <v>67592000</v>
      </c>
      <c r="H24" s="102">
        <f>+G24*0.1</f>
        <v>6759200</v>
      </c>
      <c r="I24" s="102">
        <f>SUM(G24:H24)</f>
        <v>74351200</v>
      </c>
      <c r="J24" s="101">
        <f t="shared" si="4"/>
        <v>0</v>
      </c>
      <c r="K24" s="103">
        <f>+IFERROR(R24+Y24+AF24+AT24+BA24+BH24+BO24,"-")</f>
        <v>0</v>
      </c>
      <c r="L24" s="103">
        <f>+I24-K24</f>
        <v>74351200</v>
      </c>
      <c r="M24" s="448"/>
      <c r="N24" s="85"/>
      <c r="O24" s="83"/>
      <c r="P24" s="86"/>
      <c r="Q24" s="87"/>
      <c r="R24" s="87"/>
      <c r="S24" s="87"/>
      <c r="T24" s="83"/>
      <c r="U24" s="85"/>
      <c r="V24" s="83"/>
      <c r="W24" s="86"/>
      <c r="X24" s="87">
        <f>+$I24*지급비율!N41</f>
        <v>0</v>
      </c>
      <c r="Y24" s="87"/>
      <c r="Z24" s="87"/>
      <c r="AA24" s="83"/>
      <c r="AB24" s="85"/>
      <c r="AC24" s="83"/>
      <c r="AD24" s="86"/>
      <c r="AE24" s="87">
        <f>+$I24*지급비율!U41</f>
        <v>0</v>
      </c>
      <c r="AF24" s="87"/>
      <c r="AG24" s="87"/>
      <c r="AH24" s="83"/>
      <c r="AI24" s="85"/>
      <c r="AJ24" s="83"/>
      <c r="AK24" s="86"/>
      <c r="AL24" s="106">
        <f>+$I24*지급비율!AB41</f>
        <v>0</v>
      </c>
      <c r="AM24" s="87"/>
      <c r="AN24" s="87"/>
      <c r="AO24" s="83"/>
      <c r="AP24" s="85"/>
      <c r="AQ24" s="83"/>
      <c r="AR24" s="86"/>
      <c r="AS24" s="106">
        <f>+$I24*지급비율!AI41</f>
        <v>0</v>
      </c>
      <c r="AT24" s="87"/>
      <c r="AU24" s="87"/>
      <c r="AV24" s="83"/>
      <c r="AW24" s="85"/>
      <c r="AX24" s="83"/>
      <c r="AY24" s="86"/>
      <c r="AZ24" s="106">
        <f>+$I24*지급비율!AP41</f>
        <v>0</v>
      </c>
      <c r="BA24" s="87"/>
      <c r="BB24" s="87"/>
      <c r="BC24" s="83"/>
      <c r="BD24" s="85"/>
      <c r="BE24" s="83"/>
      <c r="BF24" s="86"/>
      <c r="BG24" s="106">
        <f>+$I24*지급비율!AW41</f>
        <v>0</v>
      </c>
      <c r="BH24" s="87"/>
      <c r="BI24" s="87"/>
      <c r="BJ24" s="83"/>
      <c r="BK24" s="104">
        <v>46142</v>
      </c>
      <c r="BL24" s="101"/>
      <c r="BM24" s="105">
        <f t="shared" si="5"/>
        <v>1</v>
      </c>
      <c r="BN24" s="106">
        <f>+$I24*지급비율!BD41</f>
        <v>74351200</v>
      </c>
      <c r="BO24" s="106"/>
      <c r="BP24" s="106">
        <f t="shared" si="6"/>
        <v>74351200</v>
      </c>
      <c r="BQ24" s="101"/>
      <c r="BR24" s="88"/>
      <c r="BS24" s="89" t="b">
        <f>+Q24+X24+AE24+AS24+AZ24+BG24+BN24=I24</f>
        <v>1</v>
      </c>
      <c r="BT24" s="90" t="b">
        <f>+R24+Y24+AF24+AT24+BA24+BH24+BO24=K24</f>
        <v>1</v>
      </c>
      <c r="BU24" s="90"/>
      <c r="BV24" s="54"/>
      <c r="BW24" s="54"/>
      <c r="BX24" s="54"/>
      <c r="BY24" s="54"/>
      <c r="BZ24" s="54"/>
      <c r="CA24" s="54"/>
      <c r="CB24" s="54"/>
      <c r="CC24" s="54"/>
      <c r="CD24" s="58"/>
      <c r="CE24" s="58"/>
    </row>
    <row r="25" spans="1:83" ht="16.5" customHeight="1">
      <c r="A25" s="62"/>
      <c r="B25" s="1322"/>
      <c r="C25" s="1328"/>
      <c r="D25" s="1329"/>
      <c r="E25" s="1324"/>
      <c r="F25" s="91" t="s">
        <v>392</v>
      </c>
      <c r="G25" s="92">
        <f>SUM(G21:G24)</f>
        <v>627640000</v>
      </c>
      <c r="H25" s="92">
        <f>SUM(H21:H24)</f>
        <v>62764000</v>
      </c>
      <c r="I25" s="92">
        <f>SUM(I21:I24)</f>
        <v>690404000</v>
      </c>
      <c r="J25" s="91">
        <f t="shared" si="4"/>
        <v>0.28223890649532735</v>
      </c>
      <c r="K25" s="92">
        <f>SUM(K21:K24)</f>
        <v>194858870</v>
      </c>
      <c r="L25" s="92">
        <f>SUM(L21:L24)</f>
        <v>495545130</v>
      </c>
      <c r="M25" s="419"/>
      <c r="N25" s="93"/>
      <c r="O25" s="91"/>
      <c r="P25" s="94">
        <f>+IFERROR(Q25/$I25,"-")</f>
        <v>6.4615384615384616E-2</v>
      </c>
      <c r="Q25" s="92">
        <f>SUM(Q21:Q24)</f>
        <v>44610720</v>
      </c>
      <c r="R25" s="170">
        <f>SUM(R21:R24)</f>
        <v>46893000</v>
      </c>
      <c r="S25" s="95">
        <f>+Q25-R25</f>
        <v>-2282280</v>
      </c>
      <c r="T25" s="91"/>
      <c r="U25" s="93"/>
      <c r="V25" s="91"/>
      <c r="W25" s="94">
        <f>+IFERROR(X25/$I25,"-")</f>
        <v>2.1538461538461538E-2</v>
      </c>
      <c r="X25" s="92">
        <f>SUM(X21:X24)</f>
        <v>14870240</v>
      </c>
      <c r="Y25" s="170">
        <f>SUM(Y21:Y24)</f>
        <v>76740870</v>
      </c>
      <c r="Z25" s="95">
        <f>+X25-Y25</f>
        <v>-61870630</v>
      </c>
      <c r="AA25" s="91"/>
      <c r="AB25" s="93"/>
      <c r="AC25" s="91"/>
      <c r="AD25" s="94">
        <f>+IFERROR(AE25/$I25,"-")</f>
        <v>0.44615384615384618</v>
      </c>
      <c r="AE25" s="92">
        <f>SUM(AE21:AE24)</f>
        <v>308026400</v>
      </c>
      <c r="AF25" s="170">
        <f>SUM(AF21:AF24)</f>
        <v>71225000</v>
      </c>
      <c r="AG25" s="95">
        <f>+AE25-AF25</f>
        <v>236801400</v>
      </c>
      <c r="AH25" s="91"/>
      <c r="AI25" s="93"/>
      <c r="AJ25" s="91"/>
      <c r="AK25" s="94">
        <f>+IFERROR(AL25/$I25,"-")</f>
        <v>0</v>
      </c>
      <c r="AL25" s="92">
        <f>SUM(AL21:AL24)</f>
        <v>0</v>
      </c>
      <c r="AM25" s="92">
        <f>SUM(AM21:AM24)</f>
        <v>0</v>
      </c>
      <c r="AN25" s="95">
        <f>+AL25-AM25</f>
        <v>0</v>
      </c>
      <c r="AO25" s="91"/>
      <c r="AP25" s="93"/>
      <c r="AQ25" s="91"/>
      <c r="AR25" s="94">
        <f>+IFERROR(AS25/$I25,"-")</f>
        <v>0</v>
      </c>
      <c r="AS25" s="92">
        <f>SUM(AS21:AS24)</f>
        <v>0</v>
      </c>
      <c r="AT25" s="92">
        <f>SUM(AT21:AT24)</f>
        <v>0</v>
      </c>
      <c r="AU25" s="95">
        <f>+AS25-AT25</f>
        <v>0</v>
      </c>
      <c r="AV25" s="91"/>
      <c r="AW25" s="93"/>
      <c r="AX25" s="91"/>
      <c r="AY25" s="94">
        <f>+IFERROR(AZ25/$I25,"-")</f>
        <v>0</v>
      </c>
      <c r="AZ25" s="92">
        <f>SUM(AZ21:AZ24)</f>
        <v>0</v>
      </c>
      <c r="BA25" s="92">
        <f>SUM(BA21:BA24)</f>
        <v>0</v>
      </c>
      <c r="BB25" s="95">
        <f>+AZ25-BA25</f>
        <v>0</v>
      </c>
      <c r="BC25" s="91"/>
      <c r="BD25" s="93"/>
      <c r="BE25" s="91"/>
      <c r="BF25" s="94">
        <f>+IFERROR(BG25/$I25,"-")</f>
        <v>0.27076923076923076</v>
      </c>
      <c r="BG25" s="92">
        <f>SUM(BG21:BG24)</f>
        <v>186940160</v>
      </c>
      <c r="BH25" s="92">
        <f>SUM(BH21:BH24)</f>
        <v>0</v>
      </c>
      <c r="BI25" s="95">
        <f>+BG25-BH25</f>
        <v>186940160</v>
      </c>
      <c r="BJ25" s="91"/>
      <c r="BK25" s="93"/>
      <c r="BL25" s="91"/>
      <c r="BM25" s="94">
        <f t="shared" si="5"/>
        <v>0.19692307692307692</v>
      </c>
      <c r="BN25" s="92">
        <f>SUM(BN21:BN24)</f>
        <v>135956480</v>
      </c>
      <c r="BO25" s="92">
        <f>SUM(BO21:BO24)</f>
        <v>0</v>
      </c>
      <c r="BP25" s="95">
        <f t="shared" si="6"/>
        <v>135956480</v>
      </c>
      <c r="BQ25" s="91"/>
      <c r="BR25" s="88"/>
      <c r="BS25" s="96"/>
      <c r="BT25" s="97"/>
      <c r="BU25" s="97"/>
      <c r="BV25" s="54"/>
      <c r="BW25" s="54"/>
      <c r="BX25" s="54"/>
      <c r="BY25" s="54"/>
      <c r="BZ25" s="54"/>
      <c r="CA25" s="54"/>
      <c r="CB25" s="54"/>
      <c r="CC25" s="54"/>
      <c r="CD25" s="58"/>
      <c r="CE25" s="58"/>
    </row>
    <row r="26" spans="1:83" ht="16.5" customHeight="1">
      <c r="A26" s="107"/>
      <c r="B26" s="1322">
        <f t="shared" ref="B26" si="7">+B21+1</f>
        <v>4</v>
      </c>
      <c r="C26" s="1328" t="s">
        <v>394</v>
      </c>
      <c r="D26" s="1329">
        <f>+'[5]DG-PV Organic'!O29</f>
        <v>210</v>
      </c>
      <c r="E26" s="1324" t="s">
        <v>387</v>
      </c>
      <c r="F26" s="63" t="s">
        <v>388</v>
      </c>
      <c r="G26" s="76">
        <f>+지급비율!F46/1000*$D$26</f>
        <v>231000000</v>
      </c>
      <c r="H26" s="64">
        <f>+G26*10%</f>
        <v>23100000</v>
      </c>
      <c r="I26" s="64">
        <f>SUM(G26:H26)</f>
        <v>254100000</v>
      </c>
      <c r="J26" s="65">
        <f t="shared" si="4"/>
        <v>0.13475316804407714</v>
      </c>
      <c r="K26" s="70">
        <f>+IFERROR(R26+Y26+AF26+AT26+BA26+BH26+BO26,"-")</f>
        <v>34240780</v>
      </c>
      <c r="L26" s="70">
        <f>+I26-K26</f>
        <v>219859220</v>
      </c>
      <c r="M26" s="1325" t="s">
        <v>265</v>
      </c>
      <c r="N26" s="67"/>
      <c r="O26" s="68"/>
      <c r="P26" s="69"/>
      <c r="Q26" s="70">
        <f>+$I26*지급비율!G46</f>
        <v>0</v>
      </c>
      <c r="R26" s="70"/>
      <c r="S26" s="70">
        <f>+Q26-R26</f>
        <v>0</v>
      </c>
      <c r="T26" s="71"/>
      <c r="U26" s="67"/>
      <c r="V26" s="68">
        <v>45975</v>
      </c>
      <c r="W26" s="69"/>
      <c r="X26" s="70"/>
      <c r="Y26" s="70">
        <f>27909300+3496350+2835130</f>
        <v>34240780</v>
      </c>
      <c r="Z26" s="70">
        <f>+X26-Y26</f>
        <v>-34240780</v>
      </c>
      <c r="AA26" s="1051" t="s">
        <v>832</v>
      </c>
      <c r="AB26" s="67">
        <f>+EDATE(AI26,0)</f>
        <v>45991</v>
      </c>
      <c r="AC26" s="68"/>
      <c r="AD26" s="69">
        <f>+IFERROR(AE26/$I26,"-")</f>
        <v>0.5</v>
      </c>
      <c r="AE26" s="70">
        <f>+$I26*지급비율!U46</f>
        <v>127050000</v>
      </c>
      <c r="AF26" s="70"/>
      <c r="AG26" s="70">
        <f>+AE26-AF26</f>
        <v>127050000</v>
      </c>
      <c r="AH26" s="71"/>
      <c r="AI26" s="67">
        <f>+EDATE(AP26,-1)</f>
        <v>45991</v>
      </c>
      <c r="AJ26" s="68"/>
      <c r="AK26" s="69">
        <f>+IFERROR(AL26/$I26,"-")</f>
        <v>0</v>
      </c>
      <c r="AL26" s="70">
        <f>+$I26*지급비율!AB46</f>
        <v>0</v>
      </c>
      <c r="AM26" s="70"/>
      <c r="AN26" s="70">
        <f>+AL26-AM26</f>
        <v>0</v>
      </c>
      <c r="AO26" s="71"/>
      <c r="AP26" s="67">
        <f>+EDATE(AW26,-1)</f>
        <v>46022</v>
      </c>
      <c r="AQ26" s="68"/>
      <c r="AR26" s="69">
        <f>+IFERROR(AS26/$I26,"-")</f>
        <v>0</v>
      </c>
      <c r="AS26" s="70">
        <f>+$I26*지급비율!AI46</f>
        <v>0</v>
      </c>
      <c r="AT26" s="70"/>
      <c r="AU26" s="70">
        <f>+AS26-AT26</f>
        <v>0</v>
      </c>
      <c r="AV26" s="71"/>
      <c r="AW26" s="67">
        <f>+EDATE(BD26,-1)+3</f>
        <v>46053</v>
      </c>
      <c r="AX26" s="68"/>
      <c r="AY26" s="69">
        <f>+IFERROR(AZ26/$I26,"-")</f>
        <v>0</v>
      </c>
      <c r="AZ26" s="70">
        <f>+$I26*지급비율!AP46</f>
        <v>0</v>
      </c>
      <c r="BA26" s="70"/>
      <c r="BB26" s="70">
        <f>+AZ26-BA26</f>
        <v>0</v>
      </c>
      <c r="BC26" s="71"/>
      <c r="BD26" s="67">
        <f>+EDATE(BK26,-1)</f>
        <v>46081</v>
      </c>
      <c r="BE26" s="68"/>
      <c r="BF26" s="69">
        <f>+IFERROR(BG26/$I26,"-")</f>
        <v>0.4</v>
      </c>
      <c r="BG26" s="70">
        <f>+$I26*지급비율!AW46</f>
        <v>101640000</v>
      </c>
      <c r="BH26" s="70"/>
      <c r="BI26" s="70">
        <f>+BG26-BH26</f>
        <v>101640000</v>
      </c>
      <c r="BJ26" s="71"/>
      <c r="BK26" s="67">
        <v>46112</v>
      </c>
      <c r="BL26" s="68"/>
      <c r="BM26" s="69">
        <f t="shared" si="5"/>
        <v>0.1</v>
      </c>
      <c r="BN26" s="70">
        <f>+$I26*지급비율!BD46</f>
        <v>25410000</v>
      </c>
      <c r="BO26" s="70"/>
      <c r="BP26" s="70">
        <f t="shared" si="6"/>
        <v>25410000</v>
      </c>
      <c r="BQ26" s="71"/>
      <c r="BR26" s="73"/>
      <c r="BS26" s="74" t="b">
        <f>+Q26+X26+AE26+AS26+AZ26+BG26+BN26=I26</f>
        <v>1</v>
      </c>
      <c r="BT26" s="74" t="b">
        <f>+R26+Y26+AF26+AT26+BA26+BH26+BO26=K26</f>
        <v>1</v>
      </c>
      <c r="BU26" s="74"/>
      <c r="BV26" s="58"/>
      <c r="BW26" s="58"/>
      <c r="BX26" s="58"/>
      <c r="BY26" s="58"/>
      <c r="BZ26" s="58"/>
      <c r="CA26" s="58"/>
      <c r="CB26" s="58"/>
      <c r="CC26" s="58"/>
      <c r="CD26" s="58"/>
      <c r="CE26" s="58"/>
    </row>
    <row r="27" spans="1:83" ht="16.5" customHeight="1">
      <c r="A27" s="107"/>
      <c r="B27" s="1322"/>
      <c r="C27" s="1328"/>
      <c r="D27" s="1329"/>
      <c r="E27" s="1324"/>
      <c r="F27" s="75" t="s">
        <v>389</v>
      </c>
      <c r="G27" s="76">
        <f>+지급비율!F47/1000*$D$26</f>
        <v>63000000</v>
      </c>
      <c r="H27" s="76">
        <f>+G27*10%</f>
        <v>6300000</v>
      </c>
      <c r="I27" s="76">
        <f>SUM(G27:H27)</f>
        <v>69300000</v>
      </c>
      <c r="J27" s="75">
        <f t="shared" si="4"/>
        <v>0.9</v>
      </c>
      <c r="K27" s="80">
        <f>+IFERROR(R27+Y27+AF27+AT27+BA27+BH27+BO27,"-")</f>
        <v>62370000</v>
      </c>
      <c r="L27" s="80">
        <f>+I27-K27</f>
        <v>6930000</v>
      </c>
      <c r="M27" s="1326"/>
      <c r="N27" s="78">
        <f>+O27</f>
        <v>45764</v>
      </c>
      <c r="O27" s="78">
        <v>45764</v>
      </c>
      <c r="P27" s="79">
        <f>+IFERROR(Q27/$I27,"-")</f>
        <v>0.3</v>
      </c>
      <c r="Q27" s="80">
        <f>+$I27*지급비율!G47</f>
        <v>20790000</v>
      </c>
      <c r="R27" s="80">
        <v>20790000</v>
      </c>
      <c r="S27" s="80">
        <f>+Q27-R27</f>
        <v>0</v>
      </c>
      <c r="T27" s="81"/>
      <c r="U27" s="78">
        <v>45855</v>
      </c>
      <c r="V27" s="78">
        <v>45867</v>
      </c>
      <c r="W27" s="79">
        <f>+IFERROR(X27/$I27,"-")</f>
        <v>0.1</v>
      </c>
      <c r="X27" s="80">
        <f>+$I27*지급비율!N47</f>
        <v>6930000</v>
      </c>
      <c r="Y27" s="80">
        <v>6930000</v>
      </c>
      <c r="Z27" s="80">
        <f>+X27-Y27</f>
        <v>0</v>
      </c>
      <c r="AA27" s="161"/>
      <c r="AB27" s="284">
        <v>45991</v>
      </c>
      <c r="AC27" s="284">
        <v>45975</v>
      </c>
      <c r="AD27" s="286">
        <f>+IFERROR(AE27/$I27,"-")</f>
        <v>0.5</v>
      </c>
      <c r="AE27" s="290">
        <f>+$I27*지급비율!U47</f>
        <v>34650000</v>
      </c>
      <c r="AF27" s="290">
        <v>34650000</v>
      </c>
      <c r="AG27" s="290">
        <f>+AE27-AF27</f>
        <v>0</v>
      </c>
      <c r="AH27" s="288"/>
      <c r="AI27" s="78"/>
      <c r="AJ27" s="78"/>
      <c r="AK27" s="79">
        <f>+IFERROR(AL27/$I27,"-")</f>
        <v>0</v>
      </c>
      <c r="AL27" s="80">
        <f>+$I27*지급비율!AB47</f>
        <v>0</v>
      </c>
      <c r="AM27" s="80"/>
      <c r="AN27" s="80">
        <f>+AL27-AM27</f>
        <v>0</v>
      </c>
      <c r="AO27" s="81"/>
      <c r="AP27" s="78"/>
      <c r="AQ27" s="78"/>
      <c r="AR27" s="79"/>
      <c r="AS27" s="80">
        <f>+$I27*지급비율!AI47</f>
        <v>0</v>
      </c>
      <c r="AT27" s="80"/>
      <c r="AU27" s="80">
        <f>+AS27-AT27</f>
        <v>0</v>
      </c>
      <c r="AV27" s="81"/>
      <c r="AW27" s="78"/>
      <c r="AX27" s="78"/>
      <c r="AY27" s="79"/>
      <c r="AZ27" s="80">
        <f>+$I27*지급비율!AP47</f>
        <v>0</v>
      </c>
      <c r="BA27" s="80"/>
      <c r="BB27" s="80">
        <f>+AZ27-BA27</f>
        <v>0</v>
      </c>
      <c r="BC27" s="81"/>
      <c r="BD27" s="78"/>
      <c r="BE27" s="78"/>
      <c r="BF27" s="79"/>
      <c r="BG27" s="80">
        <f>+$I27*지급비율!AW47</f>
        <v>0</v>
      </c>
      <c r="BH27" s="80"/>
      <c r="BI27" s="80">
        <f>+BG27-BH27</f>
        <v>0</v>
      </c>
      <c r="BJ27" s="81"/>
      <c r="BK27" s="68">
        <v>46112</v>
      </c>
      <c r="BL27" s="78"/>
      <c r="BM27" s="79">
        <f t="shared" si="5"/>
        <v>0.1</v>
      </c>
      <c r="BN27" s="80">
        <f>+$I27*지급비율!BD47</f>
        <v>6930000</v>
      </c>
      <c r="BO27" s="80"/>
      <c r="BP27" s="80">
        <f t="shared" si="6"/>
        <v>6930000</v>
      </c>
      <c r="BQ27" s="81"/>
      <c r="BR27" s="73"/>
      <c r="BS27" s="74" t="b">
        <f>+Q27+X27+AE27+AS27+AZ27+BG27+BN27=I27</f>
        <v>1</v>
      </c>
      <c r="BT27" s="74" t="b">
        <f>+R27+Y27+AF27+AT27+BA27+BH27+BO27=K27</f>
        <v>1</v>
      </c>
      <c r="BU27" s="74" t="b">
        <f>+BG27+BG28+AZ27+AZ28+AS27+AS28+AE27+AE28+X27+X28+Q27+Q28+BN27+BN28=([5]지급비율!$F$39+[5]지급비율!$F$40)*1.1*D26/1000</f>
        <v>1</v>
      </c>
      <c r="BV27" s="58"/>
      <c r="BW27" s="58"/>
      <c r="BX27" s="58"/>
      <c r="BY27" s="58"/>
      <c r="BZ27" s="58"/>
      <c r="CA27" s="58"/>
      <c r="CB27" s="58"/>
      <c r="CC27" s="58"/>
      <c r="CD27" s="58"/>
      <c r="CE27" s="58"/>
    </row>
    <row r="28" spans="1:83" ht="16.5" customHeight="1">
      <c r="A28" s="107"/>
      <c r="B28" s="1322"/>
      <c r="C28" s="1328"/>
      <c r="D28" s="1329"/>
      <c r="E28" s="1324"/>
      <c r="F28" s="75" t="s">
        <v>390</v>
      </c>
      <c r="G28" s="76">
        <f>+지급비율!F48/1000*$D$26</f>
        <v>31500000</v>
      </c>
      <c r="H28" s="76">
        <f>+G28*10%</f>
        <v>3150000</v>
      </c>
      <c r="I28" s="76">
        <f>SUM(G28:H28)</f>
        <v>34650000</v>
      </c>
      <c r="J28" s="75">
        <f t="shared" si="4"/>
        <v>0.9</v>
      </c>
      <c r="K28" s="80">
        <f>+IFERROR(R28+Y28+AF28+AT28+BA28+BH28+BO28,"-")</f>
        <v>31185000</v>
      </c>
      <c r="L28" s="80">
        <f>+I28-K28</f>
        <v>3465000</v>
      </c>
      <c r="M28" s="1326"/>
      <c r="N28" s="72">
        <f>+O28</f>
        <v>45764</v>
      </c>
      <c r="O28" s="72">
        <f>O27</f>
        <v>45764</v>
      </c>
      <c r="P28" s="79">
        <f>+IFERROR(Q28/$I28,"-")</f>
        <v>0.3</v>
      </c>
      <c r="Q28" s="80">
        <f>+$I28*지급비율!G48</f>
        <v>10395000</v>
      </c>
      <c r="R28" s="80">
        <v>10395000</v>
      </c>
      <c r="S28" s="80">
        <f>+Q28-R28</f>
        <v>0</v>
      </c>
      <c r="T28" s="81"/>
      <c r="U28" s="78">
        <v>45855</v>
      </c>
      <c r="V28" s="78">
        <v>45867</v>
      </c>
      <c r="W28" s="79">
        <f>+IFERROR(X28/$I28,"-")</f>
        <v>0.1</v>
      </c>
      <c r="X28" s="80">
        <f>+$I28*지급비율!N48</f>
        <v>3465000</v>
      </c>
      <c r="Y28" s="80">
        <v>3465000</v>
      </c>
      <c r="Z28" s="80">
        <f>+X28-Y28</f>
        <v>0</v>
      </c>
      <c r="AA28" s="81"/>
      <c r="AB28" s="284">
        <v>45991</v>
      </c>
      <c r="AC28" s="285">
        <v>45975</v>
      </c>
      <c r="AD28" s="286">
        <f>+IFERROR(AE28/$I28,"-")</f>
        <v>0.5</v>
      </c>
      <c r="AE28" s="290">
        <f>+$I28*지급비율!U48</f>
        <v>17325000</v>
      </c>
      <c r="AF28" s="290">
        <v>17325000</v>
      </c>
      <c r="AG28" s="290">
        <f>+AE28-AF28</f>
        <v>0</v>
      </c>
      <c r="AH28" s="288"/>
      <c r="AI28" s="72"/>
      <c r="AJ28" s="72"/>
      <c r="AK28" s="79">
        <f>+IFERROR(AL28/$I28,"-")</f>
        <v>0</v>
      </c>
      <c r="AL28" s="80">
        <f>+$I28*지급비율!AB48</f>
        <v>0</v>
      </c>
      <c r="AM28" s="80"/>
      <c r="AN28" s="80">
        <f>+AL28-AM28</f>
        <v>0</v>
      </c>
      <c r="AO28" s="81"/>
      <c r="AP28" s="72"/>
      <c r="AQ28" s="72"/>
      <c r="AR28" s="79"/>
      <c r="AS28" s="80">
        <f>+$I28*지급비율!AI48</f>
        <v>0</v>
      </c>
      <c r="AT28" s="80"/>
      <c r="AU28" s="80">
        <f>+AS28-AT28</f>
        <v>0</v>
      </c>
      <c r="AV28" s="81"/>
      <c r="AW28" s="72"/>
      <c r="AX28" s="72"/>
      <c r="AY28" s="79"/>
      <c r="AZ28" s="80">
        <f>+$I28*지급비율!AP48</f>
        <v>0</v>
      </c>
      <c r="BA28" s="80"/>
      <c r="BB28" s="80">
        <f>+AZ28-BA28</f>
        <v>0</v>
      </c>
      <c r="BC28" s="81"/>
      <c r="BD28" s="72"/>
      <c r="BE28" s="72"/>
      <c r="BF28" s="79"/>
      <c r="BG28" s="80">
        <f>+$I28*지급비율!AW48</f>
        <v>0</v>
      </c>
      <c r="BH28" s="80"/>
      <c r="BI28" s="80">
        <f>+BG28-BH28</f>
        <v>0</v>
      </c>
      <c r="BJ28" s="81"/>
      <c r="BK28" s="72">
        <v>46112</v>
      </c>
      <c r="BL28" s="72"/>
      <c r="BM28" s="79">
        <f t="shared" si="5"/>
        <v>0.1</v>
      </c>
      <c r="BN28" s="80">
        <f>+$I28*지급비율!BD48</f>
        <v>3465000</v>
      </c>
      <c r="BO28" s="80"/>
      <c r="BP28" s="80">
        <f t="shared" si="6"/>
        <v>3465000</v>
      </c>
      <c r="BQ28" s="81"/>
      <c r="BR28" s="73"/>
      <c r="BS28" s="74" t="b">
        <f>+Q28+X28+AE28+AS28+AZ28+BG28+BN28=I28</f>
        <v>1</v>
      </c>
      <c r="BT28" s="74" t="b">
        <f>+R28+Y28+AF28+AT28+BA28+BH28+BO28=K28</f>
        <v>1</v>
      </c>
      <c r="BU28" s="74"/>
      <c r="BV28" s="58"/>
      <c r="BW28" s="58"/>
      <c r="BX28" s="58"/>
      <c r="BY28" s="58"/>
      <c r="BZ28" s="58"/>
      <c r="CA28" s="58"/>
      <c r="CB28" s="58"/>
      <c r="CC28" s="58"/>
      <c r="CD28" s="58"/>
      <c r="CE28" s="58"/>
    </row>
    <row r="29" spans="1:83" ht="16.5" customHeight="1">
      <c r="A29" s="107"/>
      <c r="B29" s="1322"/>
      <c r="C29" s="1328"/>
      <c r="D29" s="1329"/>
      <c r="E29" s="1324"/>
      <c r="F29" s="101" t="s">
        <v>391</v>
      </c>
      <c r="G29" s="102">
        <f>+지급비율!F49/1000*$D$26</f>
        <v>42000000</v>
      </c>
      <c r="H29" s="102">
        <f>+G29*0.1</f>
        <v>4200000</v>
      </c>
      <c r="I29" s="102">
        <f>SUM(G29:H29)</f>
        <v>46200000</v>
      </c>
      <c r="J29" s="101">
        <f t="shared" si="4"/>
        <v>0</v>
      </c>
      <c r="K29" s="106">
        <f>+IFERROR(R29+Y29+AF29+AT29+BA29+BH29+BO29,"-")</f>
        <v>0</v>
      </c>
      <c r="L29" s="106">
        <f>+I29-K29</f>
        <v>46200000</v>
      </c>
      <c r="M29" s="1327"/>
      <c r="N29" s="85"/>
      <c r="O29" s="83"/>
      <c r="P29" s="86"/>
      <c r="Q29" s="87">
        <f>+$I29*지급비율!G49</f>
        <v>0</v>
      </c>
      <c r="R29" s="87"/>
      <c r="S29" s="87"/>
      <c r="T29" s="83"/>
      <c r="U29" s="85"/>
      <c r="V29" s="83"/>
      <c r="W29" s="86"/>
      <c r="X29" s="87">
        <f>+$I29*지급비율!N49</f>
        <v>0</v>
      </c>
      <c r="Y29" s="87"/>
      <c r="Z29" s="87"/>
      <c r="AA29" s="83"/>
      <c r="AB29" s="85"/>
      <c r="AC29" s="83"/>
      <c r="AD29" s="86"/>
      <c r="AE29" s="87">
        <f>+$I29*지급비율!U49</f>
        <v>0</v>
      </c>
      <c r="AF29" s="87"/>
      <c r="AG29" s="87"/>
      <c r="AH29" s="83"/>
      <c r="AI29" s="85"/>
      <c r="AJ29" s="83"/>
      <c r="AK29" s="86"/>
      <c r="AL29" s="106">
        <f>+$I29*지급비율!AB49</f>
        <v>0</v>
      </c>
      <c r="AM29" s="87"/>
      <c r="AN29" s="87"/>
      <c r="AO29" s="83"/>
      <c r="AP29" s="85"/>
      <c r="AQ29" s="83"/>
      <c r="AR29" s="86"/>
      <c r="AS29" s="106">
        <f>+$I29*지급비율!AI49</f>
        <v>0</v>
      </c>
      <c r="AT29" s="87"/>
      <c r="AU29" s="87"/>
      <c r="AV29" s="83"/>
      <c r="AW29" s="85"/>
      <c r="AX29" s="83"/>
      <c r="AY29" s="86"/>
      <c r="AZ29" s="106">
        <f>+$I29*지급비율!AP49</f>
        <v>0</v>
      </c>
      <c r="BA29" s="87"/>
      <c r="BB29" s="87"/>
      <c r="BC29" s="83"/>
      <c r="BD29" s="85"/>
      <c r="BE29" s="83"/>
      <c r="BF29" s="86"/>
      <c r="BG29" s="106">
        <f>+$I29*지급비율!AW49</f>
        <v>0</v>
      </c>
      <c r="BH29" s="87"/>
      <c r="BI29" s="87"/>
      <c r="BJ29" s="83"/>
      <c r="BK29" s="104">
        <v>46112</v>
      </c>
      <c r="BL29" s="101"/>
      <c r="BM29" s="105">
        <f t="shared" si="5"/>
        <v>1</v>
      </c>
      <c r="BN29" s="106">
        <f>+$I29*지급비율!BD49</f>
        <v>46200000</v>
      </c>
      <c r="BO29" s="106"/>
      <c r="BP29" s="106">
        <f t="shared" si="6"/>
        <v>46200000</v>
      </c>
      <c r="BQ29" s="101"/>
      <c r="BR29" s="88"/>
      <c r="BS29" s="89" t="b">
        <f>+Q29+X29+AE29+AS29+AZ29+BG29+BN29=I29</f>
        <v>1</v>
      </c>
      <c r="BT29" s="90" t="b">
        <f>+R29+Y29+AF29+AT29+BA29+BH29+BO29=K29</f>
        <v>1</v>
      </c>
      <c r="BU29" s="90"/>
      <c r="BV29" s="58"/>
      <c r="BW29" s="58"/>
      <c r="BX29" s="58"/>
      <c r="BY29" s="58"/>
      <c r="BZ29" s="58"/>
      <c r="CA29" s="58"/>
      <c r="CB29" s="58"/>
      <c r="CC29" s="58"/>
      <c r="CD29" s="58"/>
      <c r="CE29" s="58"/>
    </row>
    <row r="30" spans="1:83" ht="16.5" customHeight="1">
      <c r="A30" s="62"/>
      <c r="B30" s="1322"/>
      <c r="C30" s="1328"/>
      <c r="D30" s="1329"/>
      <c r="E30" s="1324"/>
      <c r="F30" s="91" t="s">
        <v>392</v>
      </c>
      <c r="G30" s="92">
        <f>SUM(G26:G29)</f>
        <v>367500000</v>
      </c>
      <c r="H30" s="92">
        <f>SUM(H26:H29)</f>
        <v>36750000</v>
      </c>
      <c r="I30" s="92">
        <f>SUM(I26:I29)</f>
        <v>404250000</v>
      </c>
      <c r="J30" s="91">
        <f t="shared" si="4"/>
        <v>0.31613056277056278</v>
      </c>
      <c r="K30" s="92">
        <f>SUM(K26:K29)</f>
        <v>127795780</v>
      </c>
      <c r="L30" s="92">
        <f>SUM(L26:L29)</f>
        <v>276454220</v>
      </c>
      <c r="M30" s="419">
        <f>+AE27+AE28</f>
        <v>51975000</v>
      </c>
      <c r="N30" s="93"/>
      <c r="O30" s="91"/>
      <c r="P30" s="94">
        <f>+IFERROR(Q30/$I30,"-")</f>
        <v>7.7142857142857138E-2</v>
      </c>
      <c r="Q30" s="92">
        <f>SUM(Q26:Q29)</f>
        <v>31185000</v>
      </c>
      <c r="R30" s="170">
        <f>SUM(R26:R29)</f>
        <v>31185000</v>
      </c>
      <c r="S30" s="95">
        <f>+Q30-R30</f>
        <v>0</v>
      </c>
      <c r="T30" s="91"/>
      <c r="U30" s="93"/>
      <c r="V30" s="91"/>
      <c r="W30" s="94">
        <f>+IFERROR(X30/$I30,"-")</f>
        <v>2.5714285714285714E-2</v>
      </c>
      <c r="X30" s="92">
        <f>SUM(X26:X29)</f>
        <v>10395000</v>
      </c>
      <c r="Y30" s="170">
        <f>SUM(Y26:Y29)</f>
        <v>44635780</v>
      </c>
      <c r="Z30" s="95">
        <f>+X30-Y30</f>
        <v>-34240780</v>
      </c>
      <c r="AA30" s="91"/>
      <c r="AB30" s="93"/>
      <c r="AC30" s="91"/>
      <c r="AD30" s="94">
        <f>+IFERROR(AE30/$I30,"-")</f>
        <v>0.44285714285714284</v>
      </c>
      <c r="AE30" s="92">
        <f>SUM(AE26:AE29)</f>
        <v>179025000</v>
      </c>
      <c r="AF30" s="92">
        <f>SUM(AF26:AF29)</f>
        <v>51975000</v>
      </c>
      <c r="AG30" s="95">
        <f>+AE30-AF30</f>
        <v>127050000</v>
      </c>
      <c r="AH30" s="91"/>
      <c r="AI30" s="93"/>
      <c r="AJ30" s="91"/>
      <c r="AK30" s="94">
        <f>+IFERROR(AL30/$I30,"-")</f>
        <v>0</v>
      </c>
      <c r="AL30" s="92">
        <f>SUM(AL26:AL29)</f>
        <v>0</v>
      </c>
      <c r="AM30" s="92">
        <f>SUM(AM26:AM29)</f>
        <v>0</v>
      </c>
      <c r="AN30" s="95">
        <f>+AL30-AM30</f>
        <v>0</v>
      </c>
      <c r="AO30" s="91"/>
      <c r="AP30" s="93"/>
      <c r="AQ30" s="91"/>
      <c r="AR30" s="94">
        <f>+IFERROR(AS30/$I30,"-")</f>
        <v>0</v>
      </c>
      <c r="AS30" s="92">
        <f>SUM(AS26:AS29)</f>
        <v>0</v>
      </c>
      <c r="AT30" s="92">
        <f>SUM(AT26:AT29)</f>
        <v>0</v>
      </c>
      <c r="AU30" s="95">
        <f>+AS30-AT30</f>
        <v>0</v>
      </c>
      <c r="AV30" s="91"/>
      <c r="AW30" s="93"/>
      <c r="AX30" s="91"/>
      <c r="AY30" s="94">
        <f>+IFERROR(AZ30/$I30,"-")</f>
        <v>0</v>
      </c>
      <c r="AZ30" s="92">
        <f>SUM(AZ26:AZ29)</f>
        <v>0</v>
      </c>
      <c r="BA30" s="92">
        <f>SUM(BA26:BA29)</f>
        <v>0</v>
      </c>
      <c r="BB30" s="95">
        <f>+AZ30-BA30</f>
        <v>0</v>
      </c>
      <c r="BC30" s="91"/>
      <c r="BD30" s="93"/>
      <c r="BE30" s="91"/>
      <c r="BF30" s="94">
        <f>+IFERROR(BG30/$I30,"-")</f>
        <v>0.25142857142857145</v>
      </c>
      <c r="BG30" s="92">
        <f>SUM(BG26:BG29)</f>
        <v>101640000</v>
      </c>
      <c r="BH30" s="92">
        <f>SUM(BH26:BH29)</f>
        <v>0</v>
      </c>
      <c r="BI30" s="95">
        <f>+BG30-BH30</f>
        <v>101640000</v>
      </c>
      <c r="BJ30" s="91"/>
      <c r="BK30" s="93"/>
      <c r="BL30" s="91"/>
      <c r="BM30" s="94">
        <f t="shared" si="5"/>
        <v>0.20285714285714285</v>
      </c>
      <c r="BN30" s="92">
        <f>SUM(BN26:BN29)</f>
        <v>82005000</v>
      </c>
      <c r="BO30" s="92">
        <f>SUM(BO26:BO29)</f>
        <v>0</v>
      </c>
      <c r="BP30" s="95">
        <f t="shared" si="6"/>
        <v>82005000</v>
      </c>
      <c r="BQ30" s="91"/>
      <c r="BR30" s="88"/>
      <c r="BS30" s="96"/>
      <c r="BT30" s="97"/>
      <c r="BU30" s="97"/>
      <c r="BV30" s="54"/>
      <c r="BW30" s="54"/>
      <c r="BX30" s="54"/>
      <c r="BY30" s="54"/>
      <c r="BZ30" s="54"/>
      <c r="CA30" s="54"/>
      <c r="CB30" s="54"/>
      <c r="CC30" s="54"/>
      <c r="CD30" s="58"/>
      <c r="CE30" s="58"/>
    </row>
    <row r="31" spans="1:83" ht="16.5" customHeight="1">
      <c r="A31" s="62"/>
      <c r="B31" s="1322">
        <f t="shared" ref="B31" si="8">+B26+1</f>
        <v>5</v>
      </c>
      <c r="C31" s="1328" t="s">
        <v>834</v>
      </c>
      <c r="D31" s="1329">
        <f>+'[5]ref.지급기준 (2)'!D144</f>
        <v>122</v>
      </c>
      <c r="E31" s="1324" t="s">
        <v>387</v>
      </c>
      <c r="F31" s="63" t="s">
        <v>388</v>
      </c>
      <c r="G31" s="76">
        <f>+지급비율!F42/1000*$D$31</f>
        <v>134200000</v>
      </c>
      <c r="H31" s="64">
        <f>+G31*10%</f>
        <v>13420000</v>
      </c>
      <c r="I31" s="64">
        <f>SUM(G31:H31)</f>
        <v>147620000</v>
      </c>
      <c r="J31" s="65">
        <f t="shared" si="4"/>
        <v>0</v>
      </c>
      <c r="K31" s="70">
        <f>+IFERROR(R31+Y31+AF31+AT31+BA31+BH31+BO31,"-")</f>
        <v>0</v>
      </c>
      <c r="L31" s="70">
        <f>+I31-K31</f>
        <v>147620000</v>
      </c>
      <c r="M31" s="1325" t="s">
        <v>265</v>
      </c>
      <c r="N31" s="67"/>
      <c r="O31" s="72"/>
      <c r="P31" s="69"/>
      <c r="Q31" s="70">
        <f>+$I31*지급비율!G42</f>
        <v>0</v>
      </c>
      <c r="R31" s="70"/>
      <c r="S31" s="70">
        <f>+Q31-R31</f>
        <v>0</v>
      </c>
      <c r="T31" s="81"/>
      <c r="U31" s="67"/>
      <c r="V31" s="68"/>
      <c r="W31" s="69"/>
      <c r="X31" s="70">
        <f>+$I31*지급비율!N42</f>
        <v>0</v>
      </c>
      <c r="Y31" s="70"/>
      <c r="Z31" s="70">
        <f>+X31-Y31</f>
        <v>0</v>
      </c>
      <c r="AA31" s="71"/>
      <c r="AB31" s="67">
        <f>+EDATE(AI31,1)</f>
        <v>45989</v>
      </c>
      <c r="AC31" s="68"/>
      <c r="AD31" s="69">
        <f>+IFERROR(AE31/$I31,"-")</f>
        <v>0.5</v>
      </c>
      <c r="AE31" s="70">
        <f>+$I31*지급비율!U42</f>
        <v>73810000</v>
      </c>
      <c r="AF31" s="70"/>
      <c r="AG31" s="70">
        <f>+AE31-AF31</f>
        <v>73810000</v>
      </c>
      <c r="AH31" s="71"/>
      <c r="AI31" s="67">
        <f>+EDATE(AP31,-1)</f>
        <v>45958</v>
      </c>
      <c r="AJ31" s="68"/>
      <c r="AK31" s="69">
        <f>+IFERROR(AL31/$I31,"-")</f>
        <v>0</v>
      </c>
      <c r="AL31" s="70">
        <f>+$I31*지급비율!AB42</f>
        <v>0</v>
      </c>
      <c r="AM31" s="70"/>
      <c r="AN31" s="70">
        <f>+AL31-AM31</f>
        <v>0</v>
      </c>
      <c r="AO31" s="71"/>
      <c r="AP31" s="67">
        <f>+EDATE(AW31,-1)</f>
        <v>45989</v>
      </c>
      <c r="AQ31" s="68"/>
      <c r="AR31" s="69">
        <f>+IFERROR(AS31/$I31,"-")</f>
        <v>0</v>
      </c>
      <c r="AS31" s="70">
        <f>+$I31*지급비율!AI42</f>
        <v>0</v>
      </c>
      <c r="AT31" s="70"/>
      <c r="AU31" s="70">
        <f>+AS31-AT31</f>
        <v>0</v>
      </c>
      <c r="AV31" s="71"/>
      <c r="AW31" s="67">
        <f>+EDATE(BD31,-1)</f>
        <v>46019</v>
      </c>
      <c r="AX31" s="68"/>
      <c r="AY31" s="69">
        <f>+IFERROR(AZ31/$I31,"-")</f>
        <v>0</v>
      </c>
      <c r="AZ31" s="70">
        <f>+$I31*지급비율!AP42</f>
        <v>0</v>
      </c>
      <c r="BA31" s="70"/>
      <c r="BB31" s="70">
        <f>+AZ31-BA31</f>
        <v>0</v>
      </c>
      <c r="BC31" s="71"/>
      <c r="BD31" s="67">
        <f>+EDATE(BK31,-1)</f>
        <v>46050</v>
      </c>
      <c r="BE31" s="68"/>
      <c r="BF31" s="69">
        <f>+IFERROR(BG31/$I31,"-")</f>
        <v>0.4</v>
      </c>
      <c r="BG31" s="70">
        <f>+$I31*지급비율!AW42</f>
        <v>59048000</v>
      </c>
      <c r="BH31" s="70"/>
      <c r="BI31" s="70">
        <f>+BG31-BH31</f>
        <v>59048000</v>
      </c>
      <c r="BJ31" s="71"/>
      <c r="BK31" s="68">
        <v>46081</v>
      </c>
      <c r="BL31" s="68"/>
      <c r="BM31" s="69">
        <f t="shared" si="5"/>
        <v>0.1</v>
      </c>
      <c r="BN31" s="70">
        <f>+$I31*지급비율!BD42</f>
        <v>14762000</v>
      </c>
      <c r="BO31" s="70"/>
      <c r="BP31" s="70">
        <f t="shared" si="6"/>
        <v>14762000</v>
      </c>
      <c r="BQ31" s="71"/>
      <c r="BR31" s="73"/>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22"/>
      <c r="C32" s="1328"/>
      <c r="D32" s="1329"/>
      <c r="E32" s="1324"/>
      <c r="F32" s="75" t="s">
        <v>389</v>
      </c>
      <c r="G32" s="76">
        <f>+지급비율!F43/1000*$D$31</f>
        <v>36600000</v>
      </c>
      <c r="H32" s="76">
        <f>+G32*10%</f>
        <v>3660000</v>
      </c>
      <c r="I32" s="76">
        <f>SUM(G32:H32)</f>
        <v>40260000</v>
      </c>
      <c r="J32" s="75">
        <f t="shared" si="4"/>
        <v>0.9</v>
      </c>
      <c r="K32" s="80">
        <f>+IFERROR(R32+Y32+AF32+AT32+BA32+BH32+BO32,"-")</f>
        <v>36234000</v>
      </c>
      <c r="L32" s="80">
        <f>+I32-K32</f>
        <v>4026000</v>
      </c>
      <c r="M32" s="1326"/>
      <c r="N32" s="72">
        <f>+O32</f>
        <v>45764</v>
      </c>
      <c r="O32" s="78">
        <v>45764</v>
      </c>
      <c r="P32" s="79">
        <f>+IFERROR(Q32/$I32,"-")</f>
        <v>0.3</v>
      </c>
      <c r="Q32" s="80">
        <f>+$I32*지급비율!G43</f>
        <v>12078000</v>
      </c>
      <c r="R32" s="80">
        <f>300000000*D31/1000*30%*1.1</f>
        <v>12078000.000000002</v>
      </c>
      <c r="S32" s="80">
        <f>+Q32-R32</f>
        <v>0</v>
      </c>
      <c r="T32" s="81"/>
      <c r="U32" s="78">
        <v>45855</v>
      </c>
      <c r="V32" s="78">
        <v>45867</v>
      </c>
      <c r="W32" s="79">
        <f>+IFERROR(X32/$I32,"-")</f>
        <v>0.1</v>
      </c>
      <c r="X32" s="80">
        <f>+$I32*지급비율!N43</f>
        <v>4026000</v>
      </c>
      <c r="Y32" s="80">
        <v>4026000</v>
      </c>
      <c r="Z32" s="80">
        <f>+X32-Y32</f>
        <v>0</v>
      </c>
      <c r="AA32" s="81"/>
      <c r="AB32" s="78">
        <v>45930</v>
      </c>
      <c r="AC32" s="78">
        <v>45922</v>
      </c>
      <c r="AD32" s="79">
        <f>+IFERROR(AE32/$I32,"-")</f>
        <v>0.5</v>
      </c>
      <c r="AE32" s="80">
        <f>+$I32*지급비율!U43</f>
        <v>20130000</v>
      </c>
      <c r="AF32" s="80">
        <v>20130000</v>
      </c>
      <c r="AG32" s="80">
        <f>+AE32-AF32</f>
        <v>0</v>
      </c>
      <c r="AH32" s="81"/>
      <c r="AI32" s="78"/>
      <c r="AJ32" s="78"/>
      <c r="AK32" s="79">
        <f>+IFERROR(AL32/$I32,"-")</f>
        <v>0</v>
      </c>
      <c r="AL32" s="70">
        <f>+$I32*지급비율!AB43</f>
        <v>0</v>
      </c>
      <c r="AM32" s="80"/>
      <c r="AN32" s="80">
        <f>+AL32-AM32</f>
        <v>0</v>
      </c>
      <c r="AO32" s="81"/>
      <c r="AP32" s="78"/>
      <c r="AQ32" s="78"/>
      <c r="AR32" s="79"/>
      <c r="AS32" s="70">
        <f>+$I32*지급비율!AI43</f>
        <v>0</v>
      </c>
      <c r="AT32" s="80"/>
      <c r="AU32" s="80">
        <f>+AS32-AT32</f>
        <v>0</v>
      </c>
      <c r="AV32" s="81"/>
      <c r="AW32" s="78"/>
      <c r="AX32" s="78"/>
      <c r="AY32" s="79"/>
      <c r="AZ32" s="70">
        <f>+$I32*지급비율!AP43</f>
        <v>0</v>
      </c>
      <c r="BA32" s="80"/>
      <c r="BB32" s="80">
        <f>+AZ32-BA32</f>
        <v>0</v>
      </c>
      <c r="BC32" s="81"/>
      <c r="BD32" s="78"/>
      <c r="BE32" s="78"/>
      <c r="BF32" s="79"/>
      <c r="BG32" s="70">
        <f>+$I32*지급비율!AW43</f>
        <v>0</v>
      </c>
      <c r="BH32" s="80"/>
      <c r="BI32" s="80">
        <f>+BG32-BH32</f>
        <v>0</v>
      </c>
      <c r="BJ32" s="81"/>
      <c r="BK32" s="78">
        <v>46053</v>
      </c>
      <c r="BL32" s="78"/>
      <c r="BM32" s="79">
        <f t="shared" si="5"/>
        <v>0.1</v>
      </c>
      <c r="BN32" s="70">
        <f>+$I32*지급비율!BD43</f>
        <v>4026000</v>
      </c>
      <c r="BO32" s="80"/>
      <c r="BP32" s="80">
        <f t="shared" si="6"/>
        <v>4026000</v>
      </c>
      <c r="BQ32" s="81"/>
      <c r="BR32" s="73"/>
      <c r="BS32" s="74" t="b">
        <f>+Q32+X32+AE32+AS32+AZ32+BG32+BN32=I32</f>
        <v>1</v>
      </c>
      <c r="BT32" s="74" t="b">
        <f>+R32+Y32+AF32+AT32+BA32+BH32+BO32=K32</f>
        <v>1</v>
      </c>
      <c r="BU32" s="74" t="b">
        <f>+BG32+BG33+AZ32+AZ33+AS32+AS33+AE32+AE33+X32+X33+Q32+Q33+BN32+BN33=([5]지급비율!$F$39+[5]지급비율!$F$40)*1.1*D31/1000</f>
        <v>1</v>
      </c>
      <c r="BV32" s="54"/>
      <c r="BW32" s="54"/>
      <c r="BX32" s="54"/>
      <c r="BY32" s="54"/>
      <c r="BZ32" s="54"/>
      <c r="CA32" s="54"/>
      <c r="CB32" s="54"/>
      <c r="CC32" s="54"/>
      <c r="CD32" s="58"/>
      <c r="CE32" s="58"/>
    </row>
    <row r="33" spans="1:83" ht="16.5" customHeight="1">
      <c r="A33" s="62"/>
      <c r="B33" s="1322"/>
      <c r="C33" s="1328"/>
      <c r="D33" s="1329"/>
      <c r="E33" s="1324"/>
      <c r="F33" s="75" t="s">
        <v>390</v>
      </c>
      <c r="G33" s="76">
        <f>+지급비율!F44/1000*$D$31</f>
        <v>18300000</v>
      </c>
      <c r="H33" s="76">
        <f>+G33*10%</f>
        <v>1830000</v>
      </c>
      <c r="I33" s="76">
        <f>SUM(G33:H33)</f>
        <v>20130000</v>
      </c>
      <c r="J33" s="75">
        <f t="shared" si="4"/>
        <v>0.9</v>
      </c>
      <c r="K33" s="80">
        <f>+IFERROR(R33+Y33+AF33+AT33+BA33+BH33+BO33,"-")</f>
        <v>18117000</v>
      </c>
      <c r="L33" s="80">
        <f>+I33-K33</f>
        <v>2013000</v>
      </c>
      <c r="M33" s="1326"/>
      <c r="N33" s="72">
        <f>N32</f>
        <v>45764</v>
      </c>
      <c r="O33" s="72">
        <v>45764</v>
      </c>
      <c r="P33" s="79">
        <f>+IFERROR(Q33/$I33,"-")</f>
        <v>0.3</v>
      </c>
      <c r="Q33" s="80">
        <f>+$I33*지급비율!G44</f>
        <v>6039000</v>
      </c>
      <c r="R33" s="80">
        <f>150000000*D31/1000*30%*1.1</f>
        <v>6039000.0000000009</v>
      </c>
      <c r="S33" s="80">
        <f>+Q33-R33</f>
        <v>0</v>
      </c>
      <c r="T33" s="81"/>
      <c r="U33" s="78">
        <v>45855</v>
      </c>
      <c r="V33" s="78">
        <v>45867</v>
      </c>
      <c r="W33" s="79">
        <f>+IFERROR(X33/$I33,"-")</f>
        <v>0.1</v>
      </c>
      <c r="X33" s="80">
        <f>+$I33*지급비율!N44</f>
        <v>2013000</v>
      </c>
      <c r="Y33" s="80">
        <v>2013000</v>
      </c>
      <c r="Z33" s="80">
        <f>+X33-Y33</f>
        <v>0</v>
      </c>
      <c r="AA33" s="81"/>
      <c r="AB33" s="78">
        <v>45930</v>
      </c>
      <c r="AC33" s="78">
        <v>45922</v>
      </c>
      <c r="AD33" s="79">
        <f>+IFERROR(AE33/$I33,"-")</f>
        <v>0.5</v>
      </c>
      <c r="AE33" s="80">
        <f>+$I33*지급비율!U44</f>
        <v>10065000</v>
      </c>
      <c r="AF33" s="80">
        <v>10065000</v>
      </c>
      <c r="AG33" s="80">
        <f>+AE33-AF33</f>
        <v>0</v>
      </c>
      <c r="AH33" s="81"/>
      <c r="AI33" s="72"/>
      <c r="AJ33" s="72"/>
      <c r="AK33" s="79">
        <f>+IFERROR(AL33/$I33,"-")</f>
        <v>0</v>
      </c>
      <c r="AL33" s="70">
        <f>+$I33*지급비율!AB44</f>
        <v>0</v>
      </c>
      <c r="AM33" s="80"/>
      <c r="AN33" s="80">
        <f>+AL33-AM33</f>
        <v>0</v>
      </c>
      <c r="AO33" s="81"/>
      <c r="AP33" s="72"/>
      <c r="AQ33" s="72"/>
      <c r="AR33" s="79"/>
      <c r="AS33" s="70">
        <f>+$I33*지급비율!AI44</f>
        <v>0</v>
      </c>
      <c r="AT33" s="80"/>
      <c r="AU33" s="80">
        <f>+AS33-AT33</f>
        <v>0</v>
      </c>
      <c r="AV33" s="81"/>
      <c r="AW33" s="72"/>
      <c r="AX33" s="72"/>
      <c r="AY33" s="79"/>
      <c r="AZ33" s="70">
        <f>+$I33*지급비율!AP44</f>
        <v>0</v>
      </c>
      <c r="BA33" s="80"/>
      <c r="BB33" s="80">
        <f>+AZ33-BA33</f>
        <v>0</v>
      </c>
      <c r="BC33" s="81"/>
      <c r="BD33" s="72"/>
      <c r="BE33" s="72"/>
      <c r="BF33" s="79"/>
      <c r="BG33" s="70">
        <f>+$I33*지급비율!AW44</f>
        <v>0</v>
      </c>
      <c r="BH33" s="80"/>
      <c r="BI33" s="80">
        <f>+BG33-BH33</f>
        <v>0</v>
      </c>
      <c r="BJ33" s="81"/>
      <c r="BK33" s="72">
        <v>46053</v>
      </c>
      <c r="BL33" s="72"/>
      <c r="BM33" s="79">
        <f t="shared" si="5"/>
        <v>0.1</v>
      </c>
      <c r="BN33" s="70">
        <f>+$I33*지급비율!BD44</f>
        <v>2013000</v>
      </c>
      <c r="BO33" s="80"/>
      <c r="BP33" s="80">
        <f t="shared" si="6"/>
        <v>2013000</v>
      </c>
      <c r="BQ33" s="81"/>
      <c r="BR33" s="73"/>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22"/>
      <c r="C34" s="1328"/>
      <c r="D34" s="1329"/>
      <c r="E34" s="1324"/>
      <c r="F34" s="101" t="s">
        <v>391</v>
      </c>
      <c r="G34" s="102">
        <f>+지급비율!F45/1000*$D$31</f>
        <v>21350000</v>
      </c>
      <c r="H34" s="102">
        <f>+G34*0.1</f>
        <v>2135000</v>
      </c>
      <c r="I34" s="102">
        <f>SUM(G34:H34)</f>
        <v>23485000</v>
      </c>
      <c r="J34" s="101">
        <f t="shared" si="4"/>
        <v>0</v>
      </c>
      <c r="K34" s="106">
        <f>+IFERROR(R34+Y34+AF34+AT34+BA34+BH34+BO34,"-")</f>
        <v>0</v>
      </c>
      <c r="L34" s="106">
        <f>+I34-K34</f>
        <v>23485000</v>
      </c>
      <c r="M34" s="1327"/>
      <c r="N34" s="85"/>
      <c r="O34" s="83"/>
      <c r="P34" s="86"/>
      <c r="Q34" s="87">
        <f>+$I34*지급비율!G45</f>
        <v>0</v>
      </c>
      <c r="R34" s="87"/>
      <c r="S34" s="87"/>
      <c r="T34" s="83"/>
      <c r="U34" s="85"/>
      <c r="V34" s="83"/>
      <c r="W34" s="86"/>
      <c r="X34" s="87">
        <f>+$I34*지급비율!N45</f>
        <v>0</v>
      </c>
      <c r="Y34" s="87"/>
      <c r="Z34" s="87"/>
      <c r="AA34" s="83"/>
      <c r="AB34" s="85"/>
      <c r="AC34" s="83"/>
      <c r="AD34" s="86"/>
      <c r="AE34" s="87">
        <f>+$I34*지급비율!U45</f>
        <v>0</v>
      </c>
      <c r="AF34" s="87"/>
      <c r="AG34" s="87"/>
      <c r="AH34" s="83"/>
      <c r="AI34" s="85"/>
      <c r="AJ34" s="83"/>
      <c r="AK34" s="86"/>
      <c r="AL34" s="70">
        <f>+$I34*지급비율!AB45</f>
        <v>0</v>
      </c>
      <c r="AM34" s="87"/>
      <c r="AN34" s="87"/>
      <c r="AO34" s="83"/>
      <c r="AP34" s="85"/>
      <c r="AQ34" s="83"/>
      <c r="AR34" s="86"/>
      <c r="AS34" s="70">
        <f>+$I34*지급비율!AI45</f>
        <v>0</v>
      </c>
      <c r="AT34" s="87"/>
      <c r="AU34" s="87"/>
      <c r="AV34" s="83"/>
      <c r="AW34" s="85"/>
      <c r="AX34" s="83"/>
      <c r="AY34" s="86"/>
      <c r="AZ34" s="70">
        <f>+$I34*지급비율!AP45</f>
        <v>0</v>
      </c>
      <c r="BA34" s="87"/>
      <c r="BB34" s="87"/>
      <c r="BC34" s="83"/>
      <c r="BD34" s="85"/>
      <c r="BE34" s="83"/>
      <c r="BF34" s="86"/>
      <c r="BG34" s="70">
        <f>+$I34*지급비율!AW45</f>
        <v>0</v>
      </c>
      <c r="BH34" s="87"/>
      <c r="BI34" s="87"/>
      <c r="BJ34" s="83"/>
      <c r="BK34" s="104">
        <v>46053</v>
      </c>
      <c r="BL34" s="101"/>
      <c r="BM34" s="105">
        <f t="shared" si="5"/>
        <v>1</v>
      </c>
      <c r="BN34" s="70">
        <f>+$I34*지급비율!BD45</f>
        <v>23485000</v>
      </c>
      <c r="BO34" s="106"/>
      <c r="BP34" s="106">
        <f t="shared" si="6"/>
        <v>23485000</v>
      </c>
      <c r="BQ34" s="101"/>
      <c r="BR34" s="88"/>
      <c r="BS34" s="89" t="b">
        <f>+Q34+X34+AE34+AS34+AZ34+BG34+BN34=I34</f>
        <v>1</v>
      </c>
      <c r="BT34" s="90" t="b">
        <f>+R34+Y34+AF34+AT34+BA34+BH34+BO34=K34</f>
        <v>1</v>
      </c>
      <c r="BU34" s="90"/>
      <c r="BV34" s="54"/>
      <c r="BW34" s="54"/>
      <c r="BX34" s="54"/>
      <c r="BY34" s="54"/>
      <c r="BZ34" s="54"/>
      <c r="CA34" s="54"/>
      <c r="CB34" s="54"/>
      <c r="CC34" s="54"/>
      <c r="CD34" s="58"/>
      <c r="CE34" s="58"/>
    </row>
    <row r="35" spans="1:83" ht="16.5" customHeight="1">
      <c r="A35" s="62"/>
      <c r="B35" s="1322"/>
      <c r="C35" s="1328"/>
      <c r="D35" s="1329"/>
      <c r="E35" s="1324"/>
      <c r="F35" s="91" t="s">
        <v>392</v>
      </c>
      <c r="G35" s="92">
        <f>SUM(G31:G34)</f>
        <v>210450000</v>
      </c>
      <c r="H35" s="92">
        <f>SUM(H31:H34)</f>
        <v>21045000</v>
      </c>
      <c r="I35" s="92">
        <f>SUM(I31:I34)</f>
        <v>231495000</v>
      </c>
      <c r="J35" s="91">
        <f t="shared" si="4"/>
        <v>0.23478260869565218</v>
      </c>
      <c r="K35" s="92">
        <f>SUM(K31:K34)</f>
        <v>54351000</v>
      </c>
      <c r="L35" s="92">
        <f>SUM(L31:L34)</f>
        <v>177144000</v>
      </c>
      <c r="M35" s="419">
        <f>+AE32+AE33</f>
        <v>30195000</v>
      </c>
      <c r="N35" s="93"/>
      <c r="O35" s="91"/>
      <c r="P35" s="94">
        <f>+IFERROR(Q35/$I35,"-")</f>
        <v>7.8260869565217397E-2</v>
      </c>
      <c r="Q35" s="92">
        <f>SUM(Q31:Q34)</f>
        <v>18117000</v>
      </c>
      <c r="R35" s="170">
        <f>SUM(R31:R34)</f>
        <v>18117000.000000004</v>
      </c>
      <c r="S35" s="95">
        <f>+Q35-R35</f>
        <v>0</v>
      </c>
      <c r="T35" s="91"/>
      <c r="U35" s="93"/>
      <c r="V35" s="91"/>
      <c r="W35" s="94">
        <f>+IFERROR(X35/$I35,"-")</f>
        <v>2.6086956521739129E-2</v>
      </c>
      <c r="X35" s="92">
        <f>SUM(X31:X34)</f>
        <v>6039000</v>
      </c>
      <c r="Y35" s="170">
        <f>SUM(Y31:Y34)</f>
        <v>6039000</v>
      </c>
      <c r="Z35" s="95">
        <f>+X35-Y35</f>
        <v>0</v>
      </c>
      <c r="AA35" s="91"/>
      <c r="AB35" s="93"/>
      <c r="AC35" s="91"/>
      <c r="AD35" s="94">
        <f>+IFERROR(AE35/$I35,"-")</f>
        <v>0.44927536231884058</v>
      </c>
      <c r="AE35" s="92">
        <f>SUM(AE31:AE34)</f>
        <v>104005000</v>
      </c>
      <c r="AF35" s="170">
        <f>SUM(AF31:AF34)</f>
        <v>30195000</v>
      </c>
      <c r="AG35" s="95">
        <f>+AE35-AF35</f>
        <v>73810000</v>
      </c>
      <c r="AH35" s="91"/>
      <c r="AI35" s="93"/>
      <c r="AJ35" s="91"/>
      <c r="AK35" s="94">
        <f>+IFERROR(AL35/$I35,"-")</f>
        <v>0</v>
      </c>
      <c r="AL35" s="92">
        <f>SUM(AL31:AL34)</f>
        <v>0</v>
      </c>
      <c r="AM35" s="92">
        <f>SUM(AM31:AM34)</f>
        <v>0</v>
      </c>
      <c r="AN35" s="95">
        <f>+AL35-AM35</f>
        <v>0</v>
      </c>
      <c r="AO35" s="91"/>
      <c r="AP35" s="93"/>
      <c r="AQ35" s="91"/>
      <c r="AR35" s="94">
        <f>+IFERROR(AS35/$I35,"-")</f>
        <v>0</v>
      </c>
      <c r="AS35" s="92">
        <f>SUM(AS31:AS34)</f>
        <v>0</v>
      </c>
      <c r="AT35" s="92">
        <f>SUM(AT31:AT34)</f>
        <v>0</v>
      </c>
      <c r="AU35" s="95">
        <f>+AS35-AT35</f>
        <v>0</v>
      </c>
      <c r="AV35" s="91"/>
      <c r="AW35" s="93"/>
      <c r="AX35" s="91"/>
      <c r="AY35" s="94">
        <f>+IFERROR(AZ35/$I35,"-")</f>
        <v>0</v>
      </c>
      <c r="AZ35" s="92">
        <f>SUM(AZ31:AZ34)</f>
        <v>0</v>
      </c>
      <c r="BA35" s="92">
        <f>SUM(BA31:BA34)</f>
        <v>0</v>
      </c>
      <c r="BB35" s="95">
        <f>+AZ35-BA35</f>
        <v>0</v>
      </c>
      <c r="BC35" s="91"/>
      <c r="BD35" s="93"/>
      <c r="BE35" s="91"/>
      <c r="BF35" s="94">
        <f>+IFERROR(BG35/$I35,"-")</f>
        <v>0.25507246376811593</v>
      </c>
      <c r="BG35" s="92">
        <f>SUM(BG31:BG34)</f>
        <v>59048000</v>
      </c>
      <c r="BH35" s="92">
        <f>SUM(BH31:BH34)</f>
        <v>0</v>
      </c>
      <c r="BI35" s="95">
        <f>+BG35-BH35</f>
        <v>59048000</v>
      </c>
      <c r="BJ35" s="91"/>
      <c r="BK35" s="93"/>
      <c r="BL35" s="91"/>
      <c r="BM35" s="94">
        <f t="shared" si="5"/>
        <v>0.19130434782608696</v>
      </c>
      <c r="BN35" s="92">
        <f>SUM(BN31:BN34)</f>
        <v>44286000</v>
      </c>
      <c r="BO35" s="92">
        <f>SUM(BO31:BO34)</f>
        <v>0</v>
      </c>
      <c r="BP35" s="95">
        <f t="shared" si="6"/>
        <v>44286000</v>
      </c>
      <c r="BQ35" s="91"/>
      <c r="BR35" s="88"/>
      <c r="BS35" s="96"/>
      <c r="BT35" s="97"/>
      <c r="BU35" s="97"/>
      <c r="BV35" s="54"/>
      <c r="BW35" s="54"/>
      <c r="BX35" s="54"/>
      <c r="BY35" s="54"/>
      <c r="BZ35" s="54"/>
      <c r="CA35" s="54"/>
      <c r="CB35" s="54"/>
      <c r="CC35" s="54"/>
      <c r="CD35" s="58"/>
      <c r="CE35" s="58"/>
    </row>
    <row r="36" spans="1:83" ht="16.5" customHeight="1">
      <c r="A36" s="62"/>
      <c r="B36" s="1322">
        <f t="shared" ref="B36" si="9">+B31+1</f>
        <v>6</v>
      </c>
      <c r="C36" s="1330" t="s">
        <v>835</v>
      </c>
      <c r="D36" s="1329">
        <f>+'[5]ref.지급기준 (2)'!D149</f>
        <v>172</v>
      </c>
      <c r="E36" s="1324" t="s">
        <v>387</v>
      </c>
      <c r="F36" s="63" t="s">
        <v>388</v>
      </c>
      <c r="G36" s="76">
        <f>+지급비율!F42/1000*$D$36</f>
        <v>189200000</v>
      </c>
      <c r="H36" s="64">
        <f>+G36*10%</f>
        <v>18920000</v>
      </c>
      <c r="I36" s="64">
        <f>SUM(G36:H36)</f>
        <v>208120000</v>
      </c>
      <c r="J36" s="65">
        <f t="shared" si="4"/>
        <v>0</v>
      </c>
      <c r="K36" s="70">
        <f>+IFERROR(R36+Y36+AF36+AT36+BA36+BH36+BO36,"-")</f>
        <v>0</v>
      </c>
      <c r="L36" s="70">
        <f>+I36-K36</f>
        <v>208120000</v>
      </c>
      <c r="M36" s="1325" t="s">
        <v>264</v>
      </c>
      <c r="N36" s="67"/>
      <c r="O36" s="72"/>
      <c r="P36" s="69"/>
      <c r="Q36" s="70">
        <f>+$I36*지급비율!G42</f>
        <v>0</v>
      </c>
      <c r="R36" s="70"/>
      <c r="S36" s="70">
        <f>+Q36-R36</f>
        <v>0</v>
      </c>
      <c r="T36" s="81"/>
      <c r="U36" s="67"/>
      <c r="V36" s="68"/>
      <c r="W36" s="69"/>
      <c r="X36" s="70">
        <f>+$I36*지급비율!N42</f>
        <v>0</v>
      </c>
      <c r="Y36" s="70"/>
      <c r="Z36" s="70">
        <f>+X36-Y36</f>
        <v>0</v>
      </c>
      <c r="AA36" s="71"/>
      <c r="AB36" s="67">
        <f>+EDATE(AI36,-1)+1</f>
        <v>45990</v>
      </c>
      <c r="AC36" s="68"/>
      <c r="AD36" s="69">
        <f>+IFERROR(AE36/$I36,"-")</f>
        <v>0.5</v>
      </c>
      <c r="AE36" s="70">
        <f>+$I36*지급비율!U42</f>
        <v>104060000</v>
      </c>
      <c r="AF36" s="70"/>
      <c r="AG36" s="70">
        <f>+AE36-AF36</f>
        <v>104060000</v>
      </c>
      <c r="AH36" s="71"/>
      <c r="AI36" s="67">
        <f>+EDATE(AP36,-1)</f>
        <v>46019</v>
      </c>
      <c r="AJ36" s="68"/>
      <c r="AK36" s="69">
        <f>+IFERROR(AL36/$I36,"-")</f>
        <v>0</v>
      </c>
      <c r="AL36" s="70">
        <f>+$I36*지급비율!AB42</f>
        <v>0</v>
      </c>
      <c r="AM36" s="70"/>
      <c r="AN36" s="70">
        <f>+AL36-AM36</f>
        <v>0</v>
      </c>
      <c r="AO36" s="71"/>
      <c r="AP36" s="67">
        <f>+EDATE(AW36,-1)</f>
        <v>46050</v>
      </c>
      <c r="AQ36" s="68"/>
      <c r="AR36" s="69">
        <f>+IFERROR(AS36/$I36,"-")</f>
        <v>0</v>
      </c>
      <c r="AS36" s="70">
        <f>+$I36*지급비율!AI42</f>
        <v>0</v>
      </c>
      <c r="AT36" s="70"/>
      <c r="AU36" s="70">
        <f>+AS36-AT36</f>
        <v>0</v>
      </c>
      <c r="AV36" s="71"/>
      <c r="AW36" s="67">
        <f>+EDATE(BD36,-1)</f>
        <v>46081</v>
      </c>
      <c r="AX36" s="68"/>
      <c r="AY36" s="69">
        <f>+IFERROR(AZ36/$I36,"-")</f>
        <v>0</v>
      </c>
      <c r="AZ36" s="70">
        <f>+$I36*지급비율!AP42</f>
        <v>0</v>
      </c>
      <c r="BA36" s="70"/>
      <c r="BB36" s="70">
        <f>+AZ36-BA36</f>
        <v>0</v>
      </c>
      <c r="BC36" s="71"/>
      <c r="BD36" s="67">
        <f>+EDATE(BK36,-1)</f>
        <v>46111</v>
      </c>
      <c r="BE36" s="68"/>
      <c r="BF36" s="69">
        <f>+IFERROR(BG36/$I36,"-")</f>
        <v>0.4</v>
      </c>
      <c r="BG36" s="70">
        <f>+$I36*지급비율!AW42</f>
        <v>83248000</v>
      </c>
      <c r="BH36" s="70"/>
      <c r="BI36" s="70">
        <f>+BG36-BH36</f>
        <v>83248000</v>
      </c>
      <c r="BJ36" s="71"/>
      <c r="BK36" s="68">
        <v>46142</v>
      </c>
      <c r="BL36" s="68"/>
      <c r="BM36" s="69">
        <f t="shared" si="5"/>
        <v>0.1</v>
      </c>
      <c r="BN36" s="70">
        <f>+$I36*지급비율!BD42</f>
        <v>20812000</v>
      </c>
      <c r="BO36" s="70"/>
      <c r="BP36" s="70">
        <f t="shared" si="6"/>
        <v>20812000</v>
      </c>
      <c r="BQ36" s="71"/>
      <c r="BR36" s="73"/>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22"/>
      <c r="C37" s="1330"/>
      <c r="D37" s="1329"/>
      <c r="E37" s="1324"/>
      <c r="F37" s="75" t="s">
        <v>389</v>
      </c>
      <c r="G37" s="76">
        <f>+지급비율!F43/1000*$D$36</f>
        <v>51600000</v>
      </c>
      <c r="H37" s="76">
        <f>+G37*10%</f>
        <v>5160000</v>
      </c>
      <c r="I37" s="76">
        <f>SUM(G37:H37)</f>
        <v>56760000</v>
      </c>
      <c r="J37" s="75">
        <f t="shared" si="4"/>
        <v>0.3</v>
      </c>
      <c r="K37" s="80">
        <f>+IFERROR(R37+Y37+AF37+AT37+BA37+BH37+BO37,"-")</f>
        <v>17028000</v>
      </c>
      <c r="L37" s="80">
        <f>+I37-K37</f>
        <v>39732000</v>
      </c>
      <c r="M37" s="1326"/>
      <c r="N37" s="72">
        <f>+O37</f>
        <v>45764</v>
      </c>
      <c r="O37" s="78">
        <v>45764</v>
      </c>
      <c r="P37" s="79">
        <f>+IFERROR(Q37/$I37,"-")</f>
        <v>0.3</v>
      </c>
      <c r="Q37" s="80">
        <f>+$I37*지급비율!G43</f>
        <v>17028000</v>
      </c>
      <c r="R37" s="80">
        <f>300000000*D36/1000*30%*1.1</f>
        <v>17028000</v>
      </c>
      <c r="S37" s="80">
        <f>+Q37-R37</f>
        <v>0</v>
      </c>
      <c r="T37" s="81"/>
      <c r="U37" s="284">
        <v>45991</v>
      </c>
      <c r="V37" s="284"/>
      <c r="W37" s="286">
        <f>+IFERROR(X37/$I37,"-")</f>
        <v>0.1</v>
      </c>
      <c r="X37" s="290">
        <f>+$I37*지급비율!N43</f>
        <v>5676000</v>
      </c>
      <c r="Y37" s="290"/>
      <c r="Z37" s="290">
        <f>+X37-Y37</f>
        <v>5676000</v>
      </c>
      <c r="AA37" s="288"/>
      <c r="AB37" s="152">
        <v>46022</v>
      </c>
      <c r="AC37" s="152"/>
      <c r="AD37" s="117">
        <f>+IFERROR(AE37/$I37,"-")</f>
        <v>0.5</v>
      </c>
      <c r="AE37" s="153">
        <f>+$I37*지급비율!U43</f>
        <v>28380000</v>
      </c>
      <c r="AF37" s="153"/>
      <c r="AG37" s="153">
        <f>+AE37-AF37</f>
        <v>28380000</v>
      </c>
      <c r="AH37" s="118"/>
      <c r="AI37" s="78"/>
      <c r="AJ37" s="78"/>
      <c r="AK37" s="79">
        <f>+IFERROR(AL37/$I37,"-")</f>
        <v>0</v>
      </c>
      <c r="AL37" s="80">
        <f>+$I37*지급비율!AB43</f>
        <v>0</v>
      </c>
      <c r="AM37" s="80"/>
      <c r="AN37" s="80">
        <f>+AL37-AM37</f>
        <v>0</v>
      </c>
      <c r="AO37" s="81"/>
      <c r="AP37" s="78"/>
      <c r="AQ37" s="78"/>
      <c r="AR37" s="79"/>
      <c r="AS37" s="80">
        <f>+$I37*지급비율!AI43</f>
        <v>0</v>
      </c>
      <c r="AT37" s="80"/>
      <c r="AU37" s="80">
        <f>+AS37-AT37</f>
        <v>0</v>
      </c>
      <c r="AV37" s="81"/>
      <c r="AW37" s="78"/>
      <c r="AX37" s="78"/>
      <c r="AY37" s="79"/>
      <c r="AZ37" s="80">
        <f>+$I37*지급비율!AP43</f>
        <v>0</v>
      </c>
      <c r="BA37" s="80"/>
      <c r="BB37" s="80">
        <f>+AZ37-BA37</f>
        <v>0</v>
      </c>
      <c r="BC37" s="81"/>
      <c r="BD37" s="78"/>
      <c r="BE37" s="78"/>
      <c r="BF37" s="79"/>
      <c r="BG37" s="80">
        <f>+$I37*지급비율!AW43</f>
        <v>0</v>
      </c>
      <c r="BH37" s="80"/>
      <c r="BI37" s="80">
        <f>+BG37-BH37</f>
        <v>0</v>
      </c>
      <c r="BJ37" s="81"/>
      <c r="BK37" s="68">
        <v>46142</v>
      </c>
      <c r="BL37" s="78"/>
      <c r="BM37" s="79">
        <f t="shared" si="5"/>
        <v>0.1</v>
      </c>
      <c r="BN37" s="80">
        <f>+$I37*지급비율!BD43</f>
        <v>5676000</v>
      </c>
      <c r="BO37" s="80"/>
      <c r="BP37" s="80">
        <f t="shared" si="6"/>
        <v>5676000</v>
      </c>
      <c r="BQ37" s="81"/>
      <c r="BR37" s="73"/>
      <c r="BS37" s="74" t="b">
        <f>+Q37+X37+AE37+AS37+AZ37+BG37+BN37=I37</f>
        <v>1</v>
      </c>
      <c r="BT37" s="74" t="b">
        <f>+R37+Y37+AF37+AT37+BA37+BH37+BO37=K37</f>
        <v>1</v>
      </c>
      <c r="BU37" s="74" t="b">
        <f>+BG37+BG38+AZ37+AZ38+AS37+AS38+AE37+AE38+X37+X38+Q37+Q38+BN37+BN38=([5]지급비율!$F$39+[5]지급비율!$F$40)*1.1*D36/1000</f>
        <v>1</v>
      </c>
      <c r="BV37" s="54"/>
      <c r="BW37" s="54"/>
      <c r="BX37" s="54"/>
      <c r="BY37" s="54"/>
      <c r="BZ37" s="54"/>
      <c r="CA37" s="54"/>
      <c r="CB37" s="54"/>
      <c r="CC37" s="54"/>
      <c r="CD37" s="58"/>
      <c r="CE37" s="58"/>
    </row>
    <row r="38" spans="1:83" ht="16.5" customHeight="1">
      <c r="A38" s="62"/>
      <c r="B38" s="1322"/>
      <c r="C38" s="1330"/>
      <c r="D38" s="1329"/>
      <c r="E38" s="1324"/>
      <c r="F38" s="75" t="s">
        <v>390</v>
      </c>
      <c r="G38" s="76">
        <f>+지급비율!F44/1000*$D$36</f>
        <v>25800000</v>
      </c>
      <c r="H38" s="76">
        <f>+G38*10%</f>
        <v>2580000</v>
      </c>
      <c r="I38" s="76">
        <f>SUM(G38:H38)</f>
        <v>28380000</v>
      </c>
      <c r="J38" s="75">
        <f t="shared" si="4"/>
        <v>0.3</v>
      </c>
      <c r="K38" s="80">
        <f>+IFERROR(R38+Y38+AF38+AT38+BA38+BH38+BO38,"-")</f>
        <v>8514000</v>
      </c>
      <c r="L38" s="80">
        <f>+I38-K38</f>
        <v>19866000</v>
      </c>
      <c r="M38" s="1326"/>
      <c r="N38" s="72">
        <f>N37</f>
        <v>45764</v>
      </c>
      <c r="O38" s="72">
        <v>45764</v>
      </c>
      <c r="P38" s="79">
        <f>+IFERROR(Q38/$I38,"-")</f>
        <v>0.3</v>
      </c>
      <c r="Q38" s="80">
        <f>+$I38*지급비율!G44</f>
        <v>8514000</v>
      </c>
      <c r="R38" s="80">
        <f>150000000*D36/1000*30%*1.1</f>
        <v>8514000</v>
      </c>
      <c r="S38" s="80">
        <f>+Q38-R38</f>
        <v>0</v>
      </c>
      <c r="T38" s="81"/>
      <c r="U38" s="284">
        <v>45991</v>
      </c>
      <c r="V38" s="284"/>
      <c r="W38" s="286">
        <f>+IFERROR(X38/$I38,"-")</f>
        <v>0.1</v>
      </c>
      <c r="X38" s="290">
        <f>+$I38*지급비율!N44</f>
        <v>2838000</v>
      </c>
      <c r="Y38" s="290"/>
      <c r="Z38" s="290">
        <f>+X38-Y38</f>
        <v>2838000</v>
      </c>
      <c r="AA38" s="288"/>
      <c r="AB38" s="152">
        <v>46022</v>
      </c>
      <c r="AC38" s="116"/>
      <c r="AD38" s="117">
        <f>+IFERROR(AE38/$I38,"-")</f>
        <v>0.5</v>
      </c>
      <c r="AE38" s="153">
        <f>+$I38*지급비율!U44</f>
        <v>14190000</v>
      </c>
      <c r="AF38" s="153"/>
      <c r="AG38" s="153">
        <f>+AE38-AF38</f>
        <v>14190000</v>
      </c>
      <c r="AH38" s="118"/>
      <c r="AI38" s="72"/>
      <c r="AJ38" s="72"/>
      <c r="AK38" s="79">
        <f>+IFERROR(AL38/$I38,"-")</f>
        <v>0</v>
      </c>
      <c r="AL38" s="80">
        <f>+$I38*지급비율!AB44</f>
        <v>0</v>
      </c>
      <c r="AM38" s="80"/>
      <c r="AN38" s="80">
        <f>+AL38-AM38</f>
        <v>0</v>
      </c>
      <c r="AO38" s="81"/>
      <c r="AP38" s="72"/>
      <c r="AQ38" s="72"/>
      <c r="AR38" s="79"/>
      <c r="AS38" s="80">
        <f>+$I38*지급비율!AI44</f>
        <v>0</v>
      </c>
      <c r="AT38" s="80"/>
      <c r="AU38" s="80">
        <f>+AS38-AT38</f>
        <v>0</v>
      </c>
      <c r="AV38" s="81"/>
      <c r="AW38" s="72"/>
      <c r="AX38" s="72"/>
      <c r="AY38" s="79"/>
      <c r="AZ38" s="80">
        <f>+$I38*지급비율!AP44</f>
        <v>0</v>
      </c>
      <c r="BA38" s="80"/>
      <c r="BB38" s="80">
        <f>+AZ38-BA38</f>
        <v>0</v>
      </c>
      <c r="BC38" s="81"/>
      <c r="BD38" s="72"/>
      <c r="BE38" s="72"/>
      <c r="BF38" s="79"/>
      <c r="BG38" s="80">
        <f>+$I38*지급비율!AW44</f>
        <v>0</v>
      </c>
      <c r="BH38" s="80"/>
      <c r="BI38" s="80">
        <f>+BG38-BH38</f>
        <v>0</v>
      </c>
      <c r="BJ38" s="81"/>
      <c r="BK38" s="68">
        <v>46142</v>
      </c>
      <c r="BL38" s="72"/>
      <c r="BM38" s="79">
        <f t="shared" si="5"/>
        <v>0.1</v>
      </c>
      <c r="BN38" s="80">
        <f>+$I38*지급비율!BD44</f>
        <v>2838000</v>
      </c>
      <c r="BO38" s="80"/>
      <c r="BP38" s="80">
        <f t="shared" si="6"/>
        <v>2838000</v>
      </c>
      <c r="BQ38" s="81"/>
      <c r="BR38" s="73"/>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22"/>
      <c r="C39" s="1330"/>
      <c r="D39" s="1329"/>
      <c r="E39" s="1324"/>
      <c r="F39" s="101" t="s">
        <v>391</v>
      </c>
      <c r="G39" s="102">
        <f>+지급비율!F45/1000*$D$36</f>
        <v>30100000</v>
      </c>
      <c r="H39" s="102">
        <f>+G39*0.1</f>
        <v>3010000</v>
      </c>
      <c r="I39" s="102">
        <f>SUM(G39:H39)</f>
        <v>33110000</v>
      </c>
      <c r="J39" s="101">
        <f t="shared" si="4"/>
        <v>0</v>
      </c>
      <c r="K39" s="106">
        <f>+IFERROR(R39+Y39+AF39+AT39+BA39+BH39+BO39,"-")</f>
        <v>0</v>
      </c>
      <c r="L39" s="106">
        <f>+I39-K39</f>
        <v>33110000</v>
      </c>
      <c r="M39" s="1327"/>
      <c r="N39" s="85"/>
      <c r="O39" s="83"/>
      <c r="P39" s="86"/>
      <c r="Q39" s="87">
        <f>+$I39*지급비율!G45</f>
        <v>0</v>
      </c>
      <c r="R39" s="87"/>
      <c r="S39" s="87"/>
      <c r="T39" s="83"/>
      <c r="U39" s="85"/>
      <c r="V39" s="83"/>
      <c r="W39" s="86"/>
      <c r="X39" s="87">
        <f>+$I39*지급비율!N45</f>
        <v>0</v>
      </c>
      <c r="Y39" s="87"/>
      <c r="Z39" s="87"/>
      <c r="AA39" s="83"/>
      <c r="AB39" s="85"/>
      <c r="AC39" s="83"/>
      <c r="AD39" s="86"/>
      <c r="AE39" s="87">
        <f>+$I39*지급비율!U45</f>
        <v>0</v>
      </c>
      <c r="AF39" s="87"/>
      <c r="AG39" s="87"/>
      <c r="AH39" s="83"/>
      <c r="AI39" s="85"/>
      <c r="AJ39" s="83"/>
      <c r="AK39" s="86"/>
      <c r="AL39" s="106">
        <f>+$I39*지급비율!AB45</f>
        <v>0</v>
      </c>
      <c r="AM39" s="87"/>
      <c r="AN39" s="87"/>
      <c r="AO39" s="83"/>
      <c r="AP39" s="85"/>
      <c r="AQ39" s="83"/>
      <c r="AR39" s="86"/>
      <c r="AS39" s="106">
        <f>+$I39*지급비율!AI45</f>
        <v>0</v>
      </c>
      <c r="AT39" s="87"/>
      <c r="AU39" s="87"/>
      <c r="AV39" s="83"/>
      <c r="AW39" s="85"/>
      <c r="AX39" s="83"/>
      <c r="AY39" s="86"/>
      <c r="AZ39" s="106">
        <f>+$I39*지급비율!AP45</f>
        <v>0</v>
      </c>
      <c r="BA39" s="87"/>
      <c r="BB39" s="87"/>
      <c r="BC39" s="83"/>
      <c r="BD39" s="85"/>
      <c r="BE39" s="83"/>
      <c r="BF39" s="86"/>
      <c r="BG39" s="106">
        <f>+$I39*지급비율!AW45</f>
        <v>0</v>
      </c>
      <c r="BH39" s="87"/>
      <c r="BI39" s="87"/>
      <c r="BJ39" s="83"/>
      <c r="BK39" s="68">
        <v>46142</v>
      </c>
      <c r="BL39" s="101"/>
      <c r="BM39" s="105">
        <f t="shared" si="5"/>
        <v>1</v>
      </c>
      <c r="BN39" s="106">
        <f>+$I39*지급비율!BD45</f>
        <v>33110000</v>
      </c>
      <c r="BO39" s="106"/>
      <c r="BP39" s="106">
        <f t="shared" si="6"/>
        <v>33110000</v>
      </c>
      <c r="BQ39" s="101"/>
      <c r="BR39" s="88"/>
      <c r="BS39" s="89" t="b">
        <f>+Q39+X39+AE39+AS39+AZ39+BG39+BN39=I39</f>
        <v>1</v>
      </c>
      <c r="BT39" s="90" t="b">
        <f>+R39+Y39+AF39+AT39+BA39+BH39+BO39=K39</f>
        <v>1</v>
      </c>
      <c r="BU39" s="90"/>
      <c r="BV39" s="54"/>
      <c r="BW39" s="54"/>
      <c r="BX39" s="54"/>
      <c r="BY39" s="54"/>
      <c r="BZ39" s="54"/>
      <c r="CA39" s="54"/>
      <c r="CB39" s="54"/>
      <c r="CC39" s="54"/>
      <c r="CD39" s="58"/>
      <c r="CE39" s="58"/>
    </row>
    <row r="40" spans="1:83" ht="16.5" customHeight="1">
      <c r="A40" s="62"/>
      <c r="B40" s="1322"/>
      <c r="C40" s="1330"/>
      <c r="D40" s="1329"/>
      <c r="E40" s="1324"/>
      <c r="F40" s="91" t="s">
        <v>392</v>
      </c>
      <c r="G40" s="92">
        <f>SUM(G36:G39)</f>
        <v>296700000</v>
      </c>
      <c r="H40" s="92">
        <f>SUM(H36:H39)</f>
        <v>29670000</v>
      </c>
      <c r="I40" s="92">
        <f>SUM(I36:I39)</f>
        <v>326370000</v>
      </c>
      <c r="J40" s="91">
        <f t="shared" si="4"/>
        <v>7.8260869565217397E-2</v>
      </c>
      <c r="K40" s="92">
        <f>SUM(K36:K39)</f>
        <v>25542000</v>
      </c>
      <c r="L40" s="92">
        <f>SUM(L36:L39)</f>
        <v>300828000</v>
      </c>
      <c r="M40" s="419">
        <f>+X37+X38</f>
        <v>8514000</v>
      </c>
      <c r="N40" s="93"/>
      <c r="O40" s="91"/>
      <c r="P40" s="94">
        <f>+IFERROR(Q40/$I40,"-")</f>
        <v>7.8260869565217397E-2</v>
      </c>
      <c r="Q40" s="92">
        <f>SUM(Q36:Q39)</f>
        <v>25542000</v>
      </c>
      <c r="R40" s="170">
        <f>SUM(R36:R39)</f>
        <v>25542000</v>
      </c>
      <c r="S40" s="95">
        <f>+Q40-R40</f>
        <v>0</v>
      </c>
      <c r="T40" s="91"/>
      <c r="U40" s="93"/>
      <c r="V40" s="91"/>
      <c r="W40" s="94">
        <f>+IFERROR(X40/$I40,"-")</f>
        <v>2.6086956521739129E-2</v>
      </c>
      <c r="X40" s="92">
        <f>SUM(X36:X39)</f>
        <v>8514000</v>
      </c>
      <c r="Y40" s="92">
        <f>SUM(Y36:Y39)</f>
        <v>0</v>
      </c>
      <c r="Z40" s="95">
        <f>+X40-Y40</f>
        <v>8514000</v>
      </c>
      <c r="AA40" s="91"/>
      <c r="AB40" s="93"/>
      <c r="AC40" s="91"/>
      <c r="AD40" s="94">
        <f>+IFERROR(AE40/$I40,"-")</f>
        <v>0.44927536231884058</v>
      </c>
      <c r="AE40" s="92">
        <f>SUM(AE36:AE39)</f>
        <v>146630000</v>
      </c>
      <c r="AF40" s="92">
        <f>SUM(AF36:AF39)</f>
        <v>0</v>
      </c>
      <c r="AG40" s="95">
        <f>+AE40-AF40</f>
        <v>146630000</v>
      </c>
      <c r="AH40" s="91"/>
      <c r="AI40" s="93"/>
      <c r="AJ40" s="91"/>
      <c r="AK40" s="94">
        <f>+IFERROR(AL40/$I40,"-")</f>
        <v>0</v>
      </c>
      <c r="AL40" s="92">
        <f>SUM(AL36:AL39)</f>
        <v>0</v>
      </c>
      <c r="AM40" s="92">
        <f>SUM(AM36:AM39)</f>
        <v>0</v>
      </c>
      <c r="AN40" s="95">
        <f>+AL40-AM40</f>
        <v>0</v>
      </c>
      <c r="AO40" s="91"/>
      <c r="AP40" s="93"/>
      <c r="AQ40" s="91"/>
      <c r="AR40" s="94">
        <f>+IFERROR(AS40/$I40,"-")</f>
        <v>0</v>
      </c>
      <c r="AS40" s="92">
        <f>SUM(AS36:AS39)</f>
        <v>0</v>
      </c>
      <c r="AT40" s="92">
        <f>SUM(AT36:AT39)</f>
        <v>0</v>
      </c>
      <c r="AU40" s="95">
        <f>+AS40-AT40</f>
        <v>0</v>
      </c>
      <c r="AV40" s="91"/>
      <c r="AW40" s="93"/>
      <c r="AX40" s="91"/>
      <c r="AY40" s="94">
        <f>+IFERROR(AZ40/$I40,"-")</f>
        <v>0</v>
      </c>
      <c r="AZ40" s="92">
        <f>SUM(AZ36:AZ39)</f>
        <v>0</v>
      </c>
      <c r="BA40" s="92">
        <f>SUM(BA36:BA39)</f>
        <v>0</v>
      </c>
      <c r="BB40" s="95">
        <f>+AZ40-BA40</f>
        <v>0</v>
      </c>
      <c r="BC40" s="91"/>
      <c r="BD40" s="93"/>
      <c r="BE40" s="91"/>
      <c r="BF40" s="94">
        <f>+IFERROR(BG40/$I40,"-")</f>
        <v>0.25507246376811593</v>
      </c>
      <c r="BG40" s="92">
        <f>SUM(BG36:BG39)</f>
        <v>83248000</v>
      </c>
      <c r="BH40" s="92">
        <f>SUM(BH36:BH39)</f>
        <v>0</v>
      </c>
      <c r="BI40" s="95">
        <f>+BG40-BH40</f>
        <v>83248000</v>
      </c>
      <c r="BJ40" s="91"/>
      <c r="BK40" s="93"/>
      <c r="BL40" s="91"/>
      <c r="BM40" s="94">
        <f t="shared" si="5"/>
        <v>0.19130434782608696</v>
      </c>
      <c r="BN40" s="92">
        <f>SUM(BN36:BN39)</f>
        <v>62436000</v>
      </c>
      <c r="BO40" s="92">
        <f>SUM(BO36:BO39)</f>
        <v>0</v>
      </c>
      <c r="BP40" s="95">
        <f t="shared" si="6"/>
        <v>62436000</v>
      </c>
      <c r="BQ40" s="91"/>
      <c r="BR40" s="88"/>
      <c r="BS40" s="96"/>
      <c r="BT40" s="97"/>
      <c r="BU40" s="97"/>
      <c r="BV40" s="54"/>
      <c r="BW40" s="54"/>
      <c r="BX40" s="54"/>
      <c r="BY40" s="54"/>
      <c r="BZ40" s="54"/>
      <c r="CA40" s="54"/>
      <c r="CB40" s="54"/>
      <c r="CC40" s="54"/>
      <c r="CD40" s="58"/>
      <c r="CE40" s="58"/>
    </row>
    <row r="41" spans="1:83" ht="16.5" customHeight="1">
      <c r="A41" s="62"/>
      <c r="B41" s="1322">
        <f t="shared" ref="B41" si="10">+B36+1</f>
        <v>7</v>
      </c>
      <c r="C41" s="1330" t="s">
        <v>397</v>
      </c>
      <c r="D41" s="1329">
        <v>438</v>
      </c>
      <c r="E41" s="1324" t="s">
        <v>387</v>
      </c>
      <c r="F41" s="63" t="s">
        <v>388</v>
      </c>
      <c r="G41" s="76">
        <f>+지급비율!F42/1000*$D$41</f>
        <v>481800000</v>
      </c>
      <c r="H41" s="64">
        <f>+G41*10%</f>
        <v>48180000</v>
      </c>
      <c r="I41" s="64">
        <f>SUM(G41:H41)</f>
        <v>529980000</v>
      </c>
      <c r="J41" s="65">
        <f t="shared" si="4"/>
        <v>0</v>
      </c>
      <c r="K41" s="70">
        <f>+IFERROR(R41+Y41+AF41+AT41+BA41+BH41+BO41,"-")</f>
        <v>0</v>
      </c>
      <c r="L41" s="70">
        <f>+I41-K41</f>
        <v>529980000</v>
      </c>
      <c r="M41" s="1325" t="s">
        <v>264</v>
      </c>
      <c r="N41" s="67"/>
      <c r="O41" s="72"/>
      <c r="P41" s="69"/>
      <c r="Q41" s="70">
        <f>+$I41*지급비율!G42</f>
        <v>0</v>
      </c>
      <c r="R41" s="70"/>
      <c r="S41" s="70">
        <f>+Q41-R41</f>
        <v>0</v>
      </c>
      <c r="T41" s="81"/>
      <c r="U41" s="67"/>
      <c r="V41" s="68"/>
      <c r="W41" s="69"/>
      <c r="X41" s="70">
        <f>+$I41*지급비율!N42</f>
        <v>0</v>
      </c>
      <c r="Y41" s="70"/>
      <c r="Z41" s="70">
        <f>+X41-Y41</f>
        <v>0</v>
      </c>
      <c r="AA41" s="71"/>
      <c r="AB41" s="67">
        <f>+EDATE(AI41,-1)</f>
        <v>45989</v>
      </c>
      <c r="AC41" s="68"/>
      <c r="AD41" s="69">
        <f>+IFERROR(AE41/$I41,"-")</f>
        <v>0.5</v>
      </c>
      <c r="AE41" s="70">
        <f>+$I41*지급비율!U42</f>
        <v>264990000</v>
      </c>
      <c r="AF41" s="70"/>
      <c r="AG41" s="70">
        <f>+AE41-AF41</f>
        <v>264990000</v>
      </c>
      <c r="AH41" s="71"/>
      <c r="AI41" s="67">
        <f>+EDATE(AP41,-1)</f>
        <v>46019</v>
      </c>
      <c r="AJ41" s="68"/>
      <c r="AK41" s="69">
        <f>+IFERROR(AL41/$I41,"-")</f>
        <v>0</v>
      </c>
      <c r="AL41" s="70">
        <f>+$I41*지급비율!AB42</f>
        <v>0</v>
      </c>
      <c r="AM41" s="70"/>
      <c r="AN41" s="70">
        <f>+AL41-AM41</f>
        <v>0</v>
      </c>
      <c r="AO41" s="71"/>
      <c r="AP41" s="67">
        <f>+EDATE(AW41,-1)</f>
        <v>46050</v>
      </c>
      <c r="AQ41" s="68"/>
      <c r="AR41" s="69">
        <f>+IFERROR(AS41/$I41,"-")</f>
        <v>0</v>
      </c>
      <c r="AS41" s="70">
        <f>+$I41*지급비율!AI42</f>
        <v>0</v>
      </c>
      <c r="AT41" s="70"/>
      <c r="AU41" s="70">
        <f>+AS41-AT41</f>
        <v>0</v>
      </c>
      <c r="AV41" s="71"/>
      <c r="AW41" s="67">
        <f>+EDATE(BD41,-1)</f>
        <v>46081</v>
      </c>
      <c r="AX41" s="68"/>
      <c r="AY41" s="69">
        <f>+IFERROR(AZ41/$I41,"-")</f>
        <v>0</v>
      </c>
      <c r="AZ41" s="70">
        <f>+$I41*지급비율!AP42</f>
        <v>0</v>
      </c>
      <c r="BA41" s="70"/>
      <c r="BB41" s="70">
        <f>+AZ41-BA41</f>
        <v>0</v>
      </c>
      <c r="BC41" s="71"/>
      <c r="BD41" s="67">
        <f>+EDATE(BK41,-1)</f>
        <v>46111</v>
      </c>
      <c r="BE41" s="68"/>
      <c r="BF41" s="69">
        <f>+IFERROR(BG41/$I41,"-")</f>
        <v>0.4</v>
      </c>
      <c r="BG41" s="70">
        <f>+$I41*지급비율!AW42</f>
        <v>211992000</v>
      </c>
      <c r="BH41" s="70"/>
      <c r="BI41" s="70">
        <f>+BG41-BH41</f>
        <v>211992000</v>
      </c>
      <c r="BJ41" s="71"/>
      <c r="BK41" s="68">
        <v>46142</v>
      </c>
      <c r="BL41" s="68"/>
      <c r="BM41" s="69">
        <f t="shared" si="5"/>
        <v>0.1</v>
      </c>
      <c r="BN41" s="70">
        <f>+$I41*지급비율!BD42</f>
        <v>52998000</v>
      </c>
      <c r="BO41" s="70"/>
      <c r="BP41" s="70">
        <f t="shared" si="6"/>
        <v>52998000</v>
      </c>
      <c r="BQ41" s="71"/>
      <c r="BR41" s="73"/>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22"/>
      <c r="C42" s="1330"/>
      <c r="D42" s="1329"/>
      <c r="E42" s="1324"/>
      <c r="F42" s="75" t="s">
        <v>389</v>
      </c>
      <c r="G42" s="76">
        <f>+지급비율!F43/1000*$D$41</f>
        <v>131400000</v>
      </c>
      <c r="H42" s="76">
        <f>+G42*10%</f>
        <v>13140000</v>
      </c>
      <c r="I42" s="76">
        <f>SUM(G42:H42)</f>
        <v>144540000</v>
      </c>
      <c r="J42" s="75">
        <f t="shared" si="4"/>
        <v>0.4</v>
      </c>
      <c r="K42" s="80">
        <f>+IFERROR(R42+Y42+AF42+AT42+BA42+BH42+BO42,"-")</f>
        <v>57816000</v>
      </c>
      <c r="L42" s="80">
        <f>+I42-K42</f>
        <v>86724000</v>
      </c>
      <c r="M42" s="1326"/>
      <c r="N42" s="78">
        <v>45810</v>
      </c>
      <c r="O42" s="78">
        <v>45810</v>
      </c>
      <c r="P42" s="79">
        <f>+IFERROR(Q42/$I42,"-")</f>
        <v>0.3</v>
      </c>
      <c r="Q42" s="80">
        <f>+$I42*지급비율!G43</f>
        <v>43362000</v>
      </c>
      <c r="R42" s="80">
        <f>+Q42</f>
        <v>43362000</v>
      </c>
      <c r="S42" s="80">
        <f>+Q42-R42</f>
        <v>0</v>
      </c>
      <c r="T42" s="81"/>
      <c r="U42" s="78">
        <v>45930</v>
      </c>
      <c r="V42" s="78">
        <v>45922</v>
      </c>
      <c r="W42" s="79">
        <f>+IFERROR(X42/$I42,"-")</f>
        <v>0.1</v>
      </c>
      <c r="X42" s="80">
        <f>+$I42*지급비율!N43</f>
        <v>14454000</v>
      </c>
      <c r="Y42" s="80">
        <f>+X42</f>
        <v>14454000</v>
      </c>
      <c r="Z42" s="80">
        <f>+X42-Y42</f>
        <v>0</v>
      </c>
      <c r="AA42" s="81"/>
      <c r="AB42" s="152">
        <v>45991</v>
      </c>
      <c r="AC42" s="152"/>
      <c r="AD42" s="117">
        <f>+IFERROR(AE42/$I42,"-")</f>
        <v>0.5</v>
      </c>
      <c r="AE42" s="153">
        <f>+$I42*지급비율!U43</f>
        <v>72270000</v>
      </c>
      <c r="AF42" s="153"/>
      <c r="AG42" s="153">
        <f>+AE42-AF42</f>
        <v>72270000</v>
      </c>
      <c r="AH42" s="118"/>
      <c r="AI42" s="78"/>
      <c r="AJ42" s="78"/>
      <c r="AK42" s="79">
        <f>+IFERROR(AL42/$I42,"-")</f>
        <v>0</v>
      </c>
      <c r="AL42" s="80">
        <f>+$I42*지급비율!AB43</f>
        <v>0</v>
      </c>
      <c r="AM42" s="80"/>
      <c r="AN42" s="80">
        <f>+AL42-AM42</f>
        <v>0</v>
      </c>
      <c r="AO42" s="81"/>
      <c r="AP42" s="78"/>
      <c r="AQ42" s="78"/>
      <c r="AR42" s="79"/>
      <c r="AS42" s="80">
        <f>+$I42*지급비율!AI43</f>
        <v>0</v>
      </c>
      <c r="AT42" s="80"/>
      <c r="AU42" s="80">
        <f>+AS42-AT42</f>
        <v>0</v>
      </c>
      <c r="AV42" s="81"/>
      <c r="AW42" s="78"/>
      <c r="AX42" s="78"/>
      <c r="AY42" s="79"/>
      <c r="AZ42" s="80">
        <f>+$I42*지급비율!AP43</f>
        <v>0</v>
      </c>
      <c r="BA42" s="80"/>
      <c r="BB42" s="80">
        <f>+AZ42-BA42</f>
        <v>0</v>
      </c>
      <c r="BC42" s="81"/>
      <c r="BD42" s="78"/>
      <c r="BE42" s="78"/>
      <c r="BF42" s="79"/>
      <c r="BG42" s="80">
        <f>+$I42*지급비율!AW43</f>
        <v>0</v>
      </c>
      <c r="BH42" s="80"/>
      <c r="BI42" s="80">
        <f>+BG42-BH42</f>
        <v>0</v>
      </c>
      <c r="BJ42" s="81"/>
      <c r="BK42" s="78">
        <v>46142</v>
      </c>
      <c r="BL42" s="78"/>
      <c r="BM42" s="79">
        <f t="shared" si="5"/>
        <v>0.1</v>
      </c>
      <c r="BN42" s="80">
        <f>+$I42*지급비율!BD43</f>
        <v>14454000</v>
      </c>
      <c r="BO42" s="80"/>
      <c r="BP42" s="80">
        <f t="shared" si="6"/>
        <v>14454000</v>
      </c>
      <c r="BQ42" s="81"/>
      <c r="BR42" s="73"/>
      <c r="BS42" s="74" t="b">
        <f>+Q42+X42+AE42+AS42+AZ42+BG42+BN42=I42</f>
        <v>1</v>
      </c>
      <c r="BT42" s="74" t="b">
        <f>+R42+Y42+AF42+AT42+BA42+BH42+BO42=K42</f>
        <v>1</v>
      </c>
      <c r="BU42" s="74" t="b">
        <f>+BG42+BG43+AZ42+AZ43+AS42+AS43+AE42+AE43+X42+X43+Q42+Q43+BN42+BN43=([5]지급비율!$F$39+[5]지급비율!$F$40)*1.1*D41/1000</f>
        <v>1</v>
      </c>
      <c r="BV42" s="54"/>
      <c r="BW42" s="54"/>
      <c r="BX42" s="54"/>
      <c r="BY42" s="54"/>
      <c r="BZ42" s="54"/>
      <c r="CA42" s="54"/>
      <c r="CB42" s="54"/>
      <c r="CC42" s="54"/>
      <c r="CD42" s="58"/>
      <c r="CE42" s="58"/>
    </row>
    <row r="43" spans="1:83" ht="16.5" customHeight="1">
      <c r="A43" s="62"/>
      <c r="B43" s="1322"/>
      <c r="C43" s="1330"/>
      <c r="D43" s="1329"/>
      <c r="E43" s="1324"/>
      <c r="F43" s="75" t="s">
        <v>390</v>
      </c>
      <c r="G43" s="76">
        <f>+지급비율!F44/1000*$D$41</f>
        <v>65700000</v>
      </c>
      <c r="H43" s="76">
        <f>+G43*10%</f>
        <v>6570000</v>
      </c>
      <c r="I43" s="76">
        <f>SUM(G43:H43)</f>
        <v>72270000</v>
      </c>
      <c r="J43" s="75">
        <f t="shared" si="4"/>
        <v>0.4</v>
      </c>
      <c r="K43" s="80">
        <f>+IFERROR(R43+Y43+AF43+AT43+BA43+BH43+BO43,"-")</f>
        <v>28908000</v>
      </c>
      <c r="L43" s="80">
        <f>+I43-K43</f>
        <v>43362000</v>
      </c>
      <c r="M43" s="1326"/>
      <c r="N43" s="78">
        <v>45810</v>
      </c>
      <c r="O43" s="78">
        <v>45810</v>
      </c>
      <c r="P43" s="79">
        <f>+IFERROR(Q43/$I43,"-")</f>
        <v>0.3</v>
      </c>
      <c r="Q43" s="80">
        <f>+$I43*지급비율!G44</f>
        <v>21681000</v>
      </c>
      <c r="R43" s="80">
        <f>+Q43</f>
        <v>21681000</v>
      </c>
      <c r="S43" s="80">
        <f>+Q43-R43</f>
        <v>0</v>
      </c>
      <c r="T43" s="81"/>
      <c r="U43" s="78">
        <v>45930</v>
      </c>
      <c r="V43" s="78">
        <v>45922</v>
      </c>
      <c r="W43" s="79">
        <f>+IFERROR(X43/$I43,"-")</f>
        <v>0.1</v>
      </c>
      <c r="X43" s="80">
        <f>+$I43*지급비율!N44</f>
        <v>7227000</v>
      </c>
      <c r="Y43" s="80">
        <f>+X43</f>
        <v>7227000</v>
      </c>
      <c r="Z43" s="80">
        <f>+X43-Y43</f>
        <v>0</v>
      </c>
      <c r="AA43" s="81"/>
      <c r="AB43" s="152">
        <v>45991</v>
      </c>
      <c r="AC43" s="116"/>
      <c r="AD43" s="117">
        <f>+IFERROR(AE43/$I43,"-")</f>
        <v>0.5</v>
      </c>
      <c r="AE43" s="153">
        <f>+$I43*지급비율!U44</f>
        <v>36135000</v>
      </c>
      <c r="AF43" s="153"/>
      <c r="AG43" s="153">
        <f>+AE43-AF43</f>
        <v>36135000</v>
      </c>
      <c r="AH43" s="118"/>
      <c r="AI43" s="72"/>
      <c r="AJ43" s="72"/>
      <c r="AK43" s="79">
        <f>+IFERROR(AL43/$I43,"-")</f>
        <v>0</v>
      </c>
      <c r="AL43" s="80">
        <f>+$I43*지급비율!AB44</f>
        <v>0</v>
      </c>
      <c r="AM43" s="80"/>
      <c r="AN43" s="80">
        <f>+AL43-AM43</f>
        <v>0</v>
      </c>
      <c r="AO43" s="81"/>
      <c r="AP43" s="72"/>
      <c r="AQ43" s="72"/>
      <c r="AR43" s="79"/>
      <c r="AS43" s="80">
        <f>+$I43*지급비율!AI44</f>
        <v>0</v>
      </c>
      <c r="AT43" s="80"/>
      <c r="AU43" s="80">
        <f>+AS43-AT43</f>
        <v>0</v>
      </c>
      <c r="AV43" s="81"/>
      <c r="AW43" s="72"/>
      <c r="AX43" s="72"/>
      <c r="AY43" s="79"/>
      <c r="AZ43" s="80">
        <f>+$I43*지급비율!AP44</f>
        <v>0</v>
      </c>
      <c r="BA43" s="80"/>
      <c r="BB43" s="80">
        <f>+AZ43-BA43</f>
        <v>0</v>
      </c>
      <c r="BC43" s="81"/>
      <c r="BD43" s="72"/>
      <c r="BE43" s="72"/>
      <c r="BF43" s="79"/>
      <c r="BG43" s="80">
        <f>+$I43*지급비율!AW44</f>
        <v>0</v>
      </c>
      <c r="BH43" s="80"/>
      <c r="BI43" s="80">
        <f>+BG43-BH43</f>
        <v>0</v>
      </c>
      <c r="BJ43" s="81"/>
      <c r="BK43" s="72">
        <v>46142</v>
      </c>
      <c r="BL43" s="72"/>
      <c r="BM43" s="79">
        <f t="shared" si="5"/>
        <v>0.1</v>
      </c>
      <c r="BN43" s="80">
        <f>+$I43*지급비율!BD44</f>
        <v>7227000</v>
      </c>
      <c r="BO43" s="80"/>
      <c r="BP43" s="80">
        <f t="shared" si="6"/>
        <v>7227000</v>
      </c>
      <c r="BQ43" s="81"/>
      <c r="BR43" s="73"/>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22"/>
      <c r="C44" s="1330"/>
      <c r="D44" s="1329"/>
      <c r="E44" s="1324"/>
      <c r="F44" s="101" t="s">
        <v>391</v>
      </c>
      <c r="G44" s="102">
        <f>+지급비율!F45/1000*$D$41</f>
        <v>76650000</v>
      </c>
      <c r="H44" s="102">
        <f>+G44*0.1</f>
        <v>7665000</v>
      </c>
      <c r="I44" s="102">
        <f>SUM(G44:H44)</f>
        <v>84315000</v>
      </c>
      <c r="J44" s="101">
        <f t="shared" si="4"/>
        <v>0</v>
      </c>
      <c r="K44" s="106">
        <f>+IFERROR(R44+Y44+AF44+AT44+BA44+BH44+BO44,"-")</f>
        <v>0</v>
      </c>
      <c r="L44" s="106">
        <f>+I44-K44</f>
        <v>84315000</v>
      </c>
      <c r="M44" s="1327"/>
      <c r="N44" s="85"/>
      <c r="O44" s="83"/>
      <c r="P44" s="86"/>
      <c r="Q44" s="87">
        <f>+$I44*지급비율!G45</f>
        <v>0</v>
      </c>
      <c r="R44" s="87"/>
      <c r="S44" s="87"/>
      <c r="T44" s="83"/>
      <c r="U44" s="85"/>
      <c r="V44" s="83"/>
      <c r="W44" s="86"/>
      <c r="X44" s="87">
        <f>+$I44*지급비율!N45</f>
        <v>0</v>
      </c>
      <c r="Y44" s="87"/>
      <c r="Z44" s="87"/>
      <c r="AA44" s="83"/>
      <c r="AB44" s="85"/>
      <c r="AC44" s="83"/>
      <c r="AD44" s="86"/>
      <c r="AE44" s="87">
        <f>+$I44*지급비율!U45</f>
        <v>0</v>
      </c>
      <c r="AF44" s="87"/>
      <c r="AG44" s="87"/>
      <c r="AH44" s="83"/>
      <c r="AI44" s="85"/>
      <c r="AJ44" s="83"/>
      <c r="AK44" s="86"/>
      <c r="AL44" s="106">
        <f>+$I44*지급비율!AB45</f>
        <v>0</v>
      </c>
      <c r="AM44" s="87"/>
      <c r="AN44" s="87"/>
      <c r="AO44" s="83"/>
      <c r="AP44" s="85"/>
      <c r="AQ44" s="83"/>
      <c r="AR44" s="86"/>
      <c r="AS44" s="106">
        <f>+$I44*지급비율!AI45</f>
        <v>0</v>
      </c>
      <c r="AT44" s="87"/>
      <c r="AU44" s="87"/>
      <c r="AV44" s="83"/>
      <c r="AW44" s="85"/>
      <c r="AX44" s="83"/>
      <c r="AY44" s="86"/>
      <c r="AZ44" s="106">
        <f>+$I44*지급비율!AP45</f>
        <v>0</v>
      </c>
      <c r="BA44" s="87"/>
      <c r="BB44" s="87"/>
      <c r="BC44" s="83"/>
      <c r="BD44" s="85"/>
      <c r="BE44" s="83"/>
      <c r="BF44" s="86"/>
      <c r="BG44" s="106">
        <f>+$I44*지급비율!AW45</f>
        <v>0</v>
      </c>
      <c r="BH44" s="87"/>
      <c r="BI44" s="87"/>
      <c r="BJ44" s="83"/>
      <c r="BK44" s="72">
        <v>46142</v>
      </c>
      <c r="BL44" s="101"/>
      <c r="BM44" s="105">
        <f t="shared" si="5"/>
        <v>1</v>
      </c>
      <c r="BN44" s="106">
        <f>+$I44*지급비율!BD45</f>
        <v>84315000</v>
      </c>
      <c r="BO44" s="106"/>
      <c r="BP44" s="106">
        <f t="shared" si="6"/>
        <v>84315000</v>
      </c>
      <c r="BQ44" s="101"/>
      <c r="BR44" s="88"/>
      <c r="BS44" s="89" t="b">
        <f>+Q44+X44+AE44+AS44+AZ44+BG44+BN44=I44</f>
        <v>1</v>
      </c>
      <c r="BT44" s="90" t="b">
        <f>+R44+Y44+AF44+AT44+BA44+BH44+BO44=K44</f>
        <v>1</v>
      </c>
      <c r="BU44" s="90"/>
      <c r="BV44" s="54"/>
      <c r="BW44" s="54"/>
      <c r="BX44" s="54"/>
      <c r="BY44" s="54"/>
      <c r="BZ44" s="54"/>
      <c r="CA44" s="54"/>
      <c r="CB44" s="54"/>
      <c r="CC44" s="54"/>
      <c r="CD44" s="58"/>
      <c r="CE44" s="58"/>
    </row>
    <row r="45" spans="1:83" ht="16.5" customHeight="1">
      <c r="A45" s="62"/>
      <c r="B45" s="1322"/>
      <c r="C45" s="1330"/>
      <c r="D45" s="1329"/>
      <c r="E45" s="1324"/>
      <c r="F45" s="91" t="s">
        <v>392</v>
      </c>
      <c r="G45" s="92">
        <f>SUM(G41:G44)</f>
        <v>755550000</v>
      </c>
      <c r="H45" s="92">
        <f>SUM(H41:H44)</f>
        <v>75555000</v>
      </c>
      <c r="I45" s="92">
        <f>SUM(I41:I44)</f>
        <v>831105000</v>
      </c>
      <c r="J45" s="91">
        <f t="shared" si="4"/>
        <v>0.10434782608695652</v>
      </c>
      <c r="K45" s="92">
        <f>SUM(K41:K44)</f>
        <v>86724000</v>
      </c>
      <c r="L45" s="92">
        <f>SUM(L41:L44)</f>
        <v>744381000</v>
      </c>
      <c r="M45" s="419">
        <f>+X42+X43</f>
        <v>21681000</v>
      </c>
      <c r="N45" s="93"/>
      <c r="O45" s="91"/>
      <c r="P45" s="94">
        <f>+IFERROR(Q45/$I45,"-")</f>
        <v>7.8260869565217397E-2</v>
      </c>
      <c r="Q45" s="92">
        <f>SUM(Q41:Q44)</f>
        <v>65043000</v>
      </c>
      <c r="R45" s="170">
        <f>SUM(R41:R44)</f>
        <v>65043000</v>
      </c>
      <c r="S45" s="95">
        <f>+Q45-R45</f>
        <v>0</v>
      </c>
      <c r="T45" s="91"/>
      <c r="U45" s="93"/>
      <c r="V45" s="91"/>
      <c r="W45" s="94">
        <f>+IFERROR(X45/$I45,"-")</f>
        <v>2.6086956521739129E-2</v>
      </c>
      <c r="X45" s="92">
        <f>SUM(X41:X44)</f>
        <v>21681000</v>
      </c>
      <c r="Y45" s="170">
        <f>SUM(Y41:Y44)</f>
        <v>21681000</v>
      </c>
      <c r="Z45" s="95">
        <f>+X45-Y45</f>
        <v>0</v>
      </c>
      <c r="AA45" s="91"/>
      <c r="AB45" s="93"/>
      <c r="AC45" s="91"/>
      <c r="AD45" s="94">
        <f>+IFERROR(AE45/$I45,"-")</f>
        <v>0.44927536231884058</v>
      </c>
      <c r="AE45" s="92">
        <f>SUM(AE41:AE44)</f>
        <v>373395000</v>
      </c>
      <c r="AF45" s="92">
        <f>SUM(AF41:AF44)</f>
        <v>0</v>
      </c>
      <c r="AG45" s="95">
        <f>+AE45-AF45</f>
        <v>373395000</v>
      </c>
      <c r="AH45" s="91"/>
      <c r="AI45" s="93"/>
      <c r="AJ45" s="91"/>
      <c r="AK45" s="94">
        <f>+IFERROR(AL45/$I45,"-")</f>
        <v>0</v>
      </c>
      <c r="AL45" s="92">
        <f>SUM(AL41:AL44)</f>
        <v>0</v>
      </c>
      <c r="AM45" s="92">
        <f>SUM(AM41:AM44)</f>
        <v>0</v>
      </c>
      <c r="AN45" s="95">
        <f>+AL45-AM45</f>
        <v>0</v>
      </c>
      <c r="AO45" s="91"/>
      <c r="AP45" s="93"/>
      <c r="AQ45" s="91"/>
      <c r="AR45" s="94">
        <f>+IFERROR(AS45/$I45,"-")</f>
        <v>0</v>
      </c>
      <c r="AS45" s="92">
        <f>SUM(AS41:AS44)</f>
        <v>0</v>
      </c>
      <c r="AT45" s="92">
        <f>SUM(AT41:AT44)</f>
        <v>0</v>
      </c>
      <c r="AU45" s="95">
        <f>+AS45-AT45</f>
        <v>0</v>
      </c>
      <c r="AV45" s="91"/>
      <c r="AW45" s="93"/>
      <c r="AX45" s="91"/>
      <c r="AY45" s="94">
        <f>+IFERROR(AZ45/$I45,"-")</f>
        <v>0</v>
      </c>
      <c r="AZ45" s="92">
        <f>SUM(AZ41:AZ44)</f>
        <v>0</v>
      </c>
      <c r="BA45" s="92">
        <f>SUM(BA41:BA44)</f>
        <v>0</v>
      </c>
      <c r="BB45" s="95">
        <f>+AZ45-BA45</f>
        <v>0</v>
      </c>
      <c r="BC45" s="91"/>
      <c r="BD45" s="93"/>
      <c r="BE45" s="91"/>
      <c r="BF45" s="94">
        <f>+IFERROR(BG45/$I45,"-")</f>
        <v>0.25507246376811593</v>
      </c>
      <c r="BG45" s="92">
        <f>SUM(BG41:BG44)</f>
        <v>211992000</v>
      </c>
      <c r="BH45" s="92">
        <f>SUM(BH41:BH44)</f>
        <v>0</v>
      </c>
      <c r="BI45" s="95">
        <f>+BG45-BH45</f>
        <v>211992000</v>
      </c>
      <c r="BJ45" s="91"/>
      <c r="BK45" s="93"/>
      <c r="BL45" s="91"/>
      <c r="BM45" s="94">
        <f t="shared" si="5"/>
        <v>0.19130434782608696</v>
      </c>
      <c r="BN45" s="92">
        <f>SUM(BN41:BN44)</f>
        <v>158994000</v>
      </c>
      <c r="BO45" s="92">
        <f>SUM(BO41:BO44)</f>
        <v>0</v>
      </c>
      <c r="BP45" s="95">
        <f t="shared" si="6"/>
        <v>158994000</v>
      </c>
      <c r="BQ45" s="91"/>
      <c r="BR45" s="88"/>
      <c r="BS45" s="96"/>
      <c r="BT45" s="97"/>
      <c r="BU45" s="97"/>
      <c r="BV45" s="54"/>
      <c r="BW45" s="54"/>
      <c r="BX45" s="54"/>
      <c r="BY45" s="54"/>
      <c r="BZ45" s="54"/>
      <c r="CA45" s="54"/>
      <c r="CB45" s="54"/>
      <c r="CC45" s="54"/>
      <c r="CD45" s="58"/>
      <c r="CE45" s="58"/>
    </row>
    <row r="46" spans="1:83" ht="16.5" customHeight="1">
      <c r="A46" s="62"/>
      <c r="B46" s="1322">
        <f t="shared" ref="B46" si="11">+B41+1</f>
        <v>8</v>
      </c>
      <c r="C46" s="1330" t="s">
        <v>398</v>
      </c>
      <c r="D46" s="1329">
        <v>171</v>
      </c>
      <c r="E46" s="1324" t="s">
        <v>387</v>
      </c>
      <c r="F46" s="63" t="s">
        <v>388</v>
      </c>
      <c r="G46" s="76">
        <f>+지급비율!F42/1000*$D$46</f>
        <v>188100000</v>
      </c>
      <c r="H46" s="64">
        <f>+G46*10%</f>
        <v>18810000</v>
      </c>
      <c r="I46" s="64">
        <f>SUM(G46:H46)</f>
        <v>206910000</v>
      </c>
      <c r="J46" s="65">
        <f t="shared" si="4"/>
        <v>0.13841428640471704</v>
      </c>
      <c r="K46" s="70">
        <f>+IFERROR(R46+Y46+AF46+AT46+BA46+BH46+BO46,"-")</f>
        <v>28639300</v>
      </c>
      <c r="L46" s="70">
        <f>+I46-K46</f>
        <v>178270700</v>
      </c>
      <c r="M46" s="1325" t="s">
        <v>265</v>
      </c>
      <c r="N46" s="67"/>
      <c r="O46" s="72"/>
      <c r="P46" s="69"/>
      <c r="Q46" s="70"/>
      <c r="R46" s="70"/>
      <c r="S46" s="70">
        <f>+Q46-R46</f>
        <v>0</v>
      </c>
      <c r="T46" s="81"/>
      <c r="U46" s="67"/>
      <c r="V46" s="68">
        <v>45975</v>
      </c>
      <c r="W46" s="69"/>
      <c r="X46" s="70"/>
      <c r="Y46" s="70">
        <f>22725520+3084890+2828890</f>
        <v>28639300</v>
      </c>
      <c r="Z46" s="70">
        <f>+X46-Y46</f>
        <v>-28639300</v>
      </c>
      <c r="AA46" s="1051" t="s">
        <v>832</v>
      </c>
      <c r="AB46" s="67">
        <f>+EDATE(AI46,-1)</f>
        <v>45989</v>
      </c>
      <c r="AC46" s="68"/>
      <c r="AD46" s="69">
        <f>+IFERROR(AE46/$I46,"-")</f>
        <v>0.5</v>
      </c>
      <c r="AE46" s="70">
        <f>+$I46*지급비율!U42</f>
        <v>103455000</v>
      </c>
      <c r="AF46" s="70"/>
      <c r="AG46" s="70">
        <f>+AE46-AF46</f>
        <v>103455000</v>
      </c>
      <c r="AH46" s="71"/>
      <c r="AI46" s="67">
        <f>+EDATE(AP46,-1)</f>
        <v>46019</v>
      </c>
      <c r="AJ46" s="68"/>
      <c r="AK46" s="69">
        <f>+IFERROR(AL46/$I46,"-")</f>
        <v>0</v>
      </c>
      <c r="AL46" s="70">
        <f>+$I46*지급비율!AB42</f>
        <v>0</v>
      </c>
      <c r="AM46" s="70"/>
      <c r="AN46" s="70">
        <f>+AL46-AM46</f>
        <v>0</v>
      </c>
      <c r="AO46" s="71"/>
      <c r="AP46" s="67">
        <f>+EDATE(AW46,-1)</f>
        <v>46050</v>
      </c>
      <c r="AQ46" s="68"/>
      <c r="AR46" s="69">
        <f>+IFERROR(AS46/$I46,"-")</f>
        <v>0</v>
      </c>
      <c r="AS46" s="70">
        <f>+$I46*지급비율!AI42</f>
        <v>0</v>
      </c>
      <c r="AT46" s="70"/>
      <c r="AU46" s="70">
        <f>+AS46-AT46</f>
        <v>0</v>
      </c>
      <c r="AV46" s="71"/>
      <c r="AW46" s="67">
        <f>+EDATE(BD46,-1)</f>
        <v>46081</v>
      </c>
      <c r="AX46" s="68"/>
      <c r="AY46" s="69">
        <f>+IFERROR(AZ46/$I46,"-")</f>
        <v>0</v>
      </c>
      <c r="AZ46" s="70">
        <f>+$I46*지급비율!AP42</f>
        <v>0</v>
      </c>
      <c r="BA46" s="70"/>
      <c r="BB46" s="70">
        <f>+AZ46-BA46</f>
        <v>0</v>
      </c>
      <c r="BC46" s="71"/>
      <c r="BD46" s="67">
        <f>+EDATE(BK46,-1)</f>
        <v>46111</v>
      </c>
      <c r="BE46" s="68"/>
      <c r="BF46" s="69">
        <f>+IFERROR(BG46/$I46,"-")</f>
        <v>0.4</v>
      </c>
      <c r="BG46" s="70">
        <f>+$I46*지급비율!AW42</f>
        <v>82764000</v>
      </c>
      <c r="BH46" s="70"/>
      <c r="BI46" s="70">
        <f>+BG46-BH46</f>
        <v>82764000</v>
      </c>
      <c r="BJ46" s="71"/>
      <c r="BK46" s="68">
        <v>46142</v>
      </c>
      <c r="BL46" s="68"/>
      <c r="BM46" s="69">
        <f t="shared" si="5"/>
        <v>0.1</v>
      </c>
      <c r="BN46" s="70">
        <f>+$I46*지급비율!BD42</f>
        <v>20691000</v>
      </c>
      <c r="BO46" s="70"/>
      <c r="BP46" s="70">
        <f t="shared" si="6"/>
        <v>20691000</v>
      </c>
      <c r="BQ46" s="71"/>
      <c r="BR46" s="73"/>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22"/>
      <c r="C47" s="1330"/>
      <c r="D47" s="1329"/>
      <c r="E47" s="1324"/>
      <c r="F47" s="75" t="s">
        <v>389</v>
      </c>
      <c r="G47" s="76">
        <f>+지급비율!F43/1000*$D$46</f>
        <v>51300000</v>
      </c>
      <c r="H47" s="76">
        <f>+G47*10%</f>
        <v>5130000</v>
      </c>
      <c r="I47" s="76">
        <f>SUM(G47:H47)</f>
        <v>56430000</v>
      </c>
      <c r="J47" s="75">
        <f t="shared" si="4"/>
        <v>0.9</v>
      </c>
      <c r="K47" s="80">
        <f>+IFERROR(R47+Y47+AF47+AT47+BA47+BH47+BO47,"-")</f>
        <v>50787000</v>
      </c>
      <c r="L47" s="80">
        <f>+I47-K47</f>
        <v>5643000</v>
      </c>
      <c r="M47" s="1326"/>
      <c r="N47" s="78">
        <v>45810</v>
      </c>
      <c r="O47" s="78">
        <v>45810</v>
      </c>
      <c r="P47" s="79">
        <f>+IFERROR(Q47/$I47,"-")</f>
        <v>0.3</v>
      </c>
      <c r="Q47" s="80">
        <f>+$I47*[5]지급비율!G$39</f>
        <v>16929000</v>
      </c>
      <c r="R47" s="80">
        <f>+Q47</f>
        <v>16929000</v>
      </c>
      <c r="S47" s="80">
        <f>+Q47-R47</f>
        <v>0</v>
      </c>
      <c r="T47" s="81"/>
      <c r="U47" s="78">
        <v>45930</v>
      </c>
      <c r="V47" s="78">
        <v>45898</v>
      </c>
      <c r="W47" s="79">
        <f>+IFERROR(X47/$I47,"-")</f>
        <v>0.1</v>
      </c>
      <c r="X47" s="80">
        <f>+$I47*지급비율!N43</f>
        <v>5643000</v>
      </c>
      <c r="Y47" s="80">
        <v>5643000</v>
      </c>
      <c r="Z47" s="80">
        <f>+X47-Y47</f>
        <v>0</v>
      </c>
      <c r="AA47" s="81"/>
      <c r="AB47" s="78">
        <v>45961</v>
      </c>
      <c r="AC47" s="78">
        <v>45931</v>
      </c>
      <c r="AD47" s="79">
        <f>+IFERROR(AE47/$I47,"-")</f>
        <v>0.5</v>
      </c>
      <c r="AE47" s="80">
        <f>+$I47*지급비율!U43</f>
        <v>28215000</v>
      </c>
      <c r="AF47" s="80">
        <v>28215000</v>
      </c>
      <c r="AG47" s="80">
        <f>+AE47-AF47</f>
        <v>0</v>
      </c>
      <c r="AH47" s="81"/>
      <c r="AI47" s="78"/>
      <c r="AJ47" s="78"/>
      <c r="AK47" s="79">
        <f>+IFERROR(AL47/$I47,"-")</f>
        <v>0</v>
      </c>
      <c r="AL47" s="70">
        <f>+$I47*지급비율!AB43</f>
        <v>0</v>
      </c>
      <c r="AM47" s="80"/>
      <c r="AN47" s="80">
        <f>+AL47-AM47</f>
        <v>0</v>
      </c>
      <c r="AO47" s="81"/>
      <c r="AP47" s="78"/>
      <c r="AQ47" s="78"/>
      <c r="AR47" s="79"/>
      <c r="AS47" s="70">
        <f>+$I47*지급비율!AI43</f>
        <v>0</v>
      </c>
      <c r="AT47" s="80"/>
      <c r="AU47" s="80">
        <f>+AS47-AT47</f>
        <v>0</v>
      </c>
      <c r="AV47" s="81"/>
      <c r="AW47" s="78"/>
      <c r="AX47" s="78"/>
      <c r="AY47" s="79"/>
      <c r="AZ47" s="70">
        <f>+$I47*지급비율!AP43</f>
        <v>0</v>
      </c>
      <c r="BA47" s="80"/>
      <c r="BB47" s="80">
        <f>+AZ47-BA47</f>
        <v>0</v>
      </c>
      <c r="BC47" s="81"/>
      <c r="BD47" s="78"/>
      <c r="BE47" s="78"/>
      <c r="BF47" s="79"/>
      <c r="BG47" s="70">
        <f>+$I47*지급비율!AW43</f>
        <v>0</v>
      </c>
      <c r="BH47" s="80"/>
      <c r="BI47" s="80">
        <f>+BG47-BH47</f>
        <v>0</v>
      </c>
      <c r="BJ47" s="81"/>
      <c r="BK47" s="68">
        <v>46142</v>
      </c>
      <c r="BL47" s="78"/>
      <c r="BM47" s="79">
        <f t="shared" si="5"/>
        <v>0.1</v>
      </c>
      <c r="BN47" s="70">
        <f>+$I47*지급비율!BD43</f>
        <v>5643000</v>
      </c>
      <c r="BO47" s="80"/>
      <c r="BP47" s="80">
        <f t="shared" si="6"/>
        <v>5643000</v>
      </c>
      <c r="BQ47" s="81"/>
      <c r="BR47" s="73"/>
      <c r="BS47" s="74" t="b">
        <f>+Q47+X47+AE47+AS47+AZ47+BG47+BN47=I47</f>
        <v>1</v>
      </c>
      <c r="BT47" s="74" t="b">
        <f>+R47+Y47+AF47+AT47+BA47+BH47+BO47=K47</f>
        <v>1</v>
      </c>
      <c r="BU47" s="74" t="b">
        <f>+BG47+BG48+AZ47+AZ48+AS47+AS48+AE47+AE48+X47+X48+Q47+Q48+BN47+BN48=([5]지급비율!$F$39+[5]지급비율!$F$40)*1.1*D46/1000</f>
        <v>1</v>
      </c>
      <c r="BV47" s="54"/>
      <c r="BW47" s="54"/>
      <c r="BX47" s="54"/>
      <c r="BY47" s="54"/>
      <c r="BZ47" s="54"/>
      <c r="CA47" s="54"/>
      <c r="CB47" s="54"/>
      <c r="CC47" s="54"/>
      <c r="CD47" s="58"/>
      <c r="CE47" s="58"/>
    </row>
    <row r="48" spans="1:83" ht="16.5" customHeight="1">
      <c r="A48" s="62"/>
      <c r="B48" s="1322"/>
      <c r="C48" s="1330"/>
      <c r="D48" s="1329"/>
      <c r="E48" s="1324"/>
      <c r="F48" s="75" t="s">
        <v>390</v>
      </c>
      <c r="G48" s="76">
        <f>+지급비율!F44/1000*$D$46</f>
        <v>25650000</v>
      </c>
      <c r="H48" s="76">
        <f>+G48*10%</f>
        <v>2565000</v>
      </c>
      <c r="I48" s="76">
        <f>SUM(G48:H48)</f>
        <v>28215000</v>
      </c>
      <c r="J48" s="75">
        <f t="shared" ref="J48:J65" si="12">+IFERROR(K48/I48,"-")</f>
        <v>0.9</v>
      </c>
      <c r="K48" s="80">
        <f>+IFERROR(R48+Y48+AF48+AT48+BA48+BH48+BO48,"-")</f>
        <v>25393500</v>
      </c>
      <c r="L48" s="80">
        <f>+I48-K48</f>
        <v>2821500</v>
      </c>
      <c r="M48" s="1326"/>
      <c r="N48" s="78">
        <v>45810</v>
      </c>
      <c r="O48" s="78">
        <v>45810</v>
      </c>
      <c r="P48" s="79">
        <f>+IFERROR(Q48/$I48,"-")</f>
        <v>0.3</v>
      </c>
      <c r="Q48" s="80">
        <f>+$I48*[5]지급비율!G$40</f>
        <v>8464500</v>
      </c>
      <c r="R48" s="80">
        <f>+Q48</f>
        <v>8464500</v>
      </c>
      <c r="S48" s="80">
        <f>+Q48-R48</f>
        <v>0</v>
      </c>
      <c r="T48" s="81"/>
      <c r="U48" s="78">
        <v>45930</v>
      </c>
      <c r="V48" s="78">
        <v>45898</v>
      </c>
      <c r="W48" s="79">
        <f>+IFERROR(X48/$I48,"-")</f>
        <v>0.1</v>
      </c>
      <c r="X48" s="80">
        <f>+$I48*지급비율!N44</f>
        <v>2821500</v>
      </c>
      <c r="Y48" s="80">
        <v>2821500</v>
      </c>
      <c r="Z48" s="80">
        <f>+X48-Y48</f>
        <v>0</v>
      </c>
      <c r="AA48" s="81"/>
      <c r="AB48" s="78">
        <v>45961</v>
      </c>
      <c r="AC48" s="78">
        <v>45931</v>
      </c>
      <c r="AD48" s="79">
        <f>+IFERROR(AE48/$I48,"-")</f>
        <v>0.5</v>
      </c>
      <c r="AE48" s="80">
        <f>+$I48*지급비율!U44</f>
        <v>14107500</v>
      </c>
      <c r="AF48" s="80">
        <v>14107500</v>
      </c>
      <c r="AG48" s="80">
        <f>+AE48-AF48</f>
        <v>0</v>
      </c>
      <c r="AH48" s="81"/>
      <c r="AI48" s="72"/>
      <c r="AJ48" s="72"/>
      <c r="AK48" s="79">
        <f>+IFERROR(AL48/$I48,"-")</f>
        <v>0</v>
      </c>
      <c r="AL48" s="70">
        <f>+$I48*지급비율!AB44</f>
        <v>0</v>
      </c>
      <c r="AM48" s="80"/>
      <c r="AN48" s="80">
        <f>+AL48-AM48</f>
        <v>0</v>
      </c>
      <c r="AO48" s="81"/>
      <c r="AP48" s="72"/>
      <c r="AQ48" s="72"/>
      <c r="AR48" s="79"/>
      <c r="AS48" s="70">
        <f>+$I48*지급비율!AI44</f>
        <v>0</v>
      </c>
      <c r="AT48" s="80"/>
      <c r="AU48" s="80">
        <f>+AS48-AT48</f>
        <v>0</v>
      </c>
      <c r="AV48" s="81"/>
      <c r="AW48" s="72"/>
      <c r="AX48" s="72"/>
      <c r="AY48" s="79"/>
      <c r="AZ48" s="70">
        <f>+$I48*지급비율!AP44</f>
        <v>0</v>
      </c>
      <c r="BA48" s="80"/>
      <c r="BB48" s="80">
        <f>+AZ48-BA48</f>
        <v>0</v>
      </c>
      <c r="BC48" s="81"/>
      <c r="BD48" s="72"/>
      <c r="BE48" s="72"/>
      <c r="BF48" s="79"/>
      <c r="BG48" s="70">
        <f>+$I48*지급비율!AW44</f>
        <v>0</v>
      </c>
      <c r="BH48" s="80"/>
      <c r="BI48" s="80">
        <f>+BG48-BH48</f>
        <v>0</v>
      </c>
      <c r="BJ48" s="81"/>
      <c r="BK48" s="68">
        <v>46142</v>
      </c>
      <c r="BL48" s="72"/>
      <c r="BM48" s="79">
        <f t="shared" ref="BM48:BM66" si="13">+IFERROR(BN48/$I48,"-")</f>
        <v>0.1</v>
      </c>
      <c r="BN48" s="70">
        <f>+$I48*지급비율!BD44</f>
        <v>2821500</v>
      </c>
      <c r="BO48" s="80"/>
      <c r="BP48" s="80">
        <f t="shared" ref="BP48:BP66" si="14">+BN48-BO48</f>
        <v>2821500</v>
      </c>
      <c r="BQ48" s="81"/>
      <c r="BR48" s="73"/>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22"/>
      <c r="C49" s="1330"/>
      <c r="D49" s="1329"/>
      <c r="E49" s="1324"/>
      <c r="F49" s="101" t="s">
        <v>391</v>
      </c>
      <c r="G49" s="102">
        <f>+지급비율!F45/1000*$D$46</f>
        <v>29925000</v>
      </c>
      <c r="H49" s="102">
        <f>+G49*0.1</f>
        <v>2992500</v>
      </c>
      <c r="I49" s="102">
        <f>SUM(G49:H49)</f>
        <v>32917500</v>
      </c>
      <c r="J49" s="101">
        <f t="shared" si="12"/>
        <v>0</v>
      </c>
      <c r="K49" s="106">
        <f>+IFERROR(R49+Y49+AF49+AT49+BA49+BH49+BO49,"-")</f>
        <v>0</v>
      </c>
      <c r="L49" s="106">
        <f>+I49-K49</f>
        <v>32917500</v>
      </c>
      <c r="M49" s="1327"/>
      <c r="N49" s="85"/>
      <c r="O49" s="83"/>
      <c r="P49" s="86"/>
      <c r="Q49" s="87"/>
      <c r="R49" s="87"/>
      <c r="S49" s="87"/>
      <c r="T49" s="83"/>
      <c r="U49" s="85"/>
      <c r="V49" s="83"/>
      <c r="W49" s="86"/>
      <c r="X49" s="87">
        <f>+$I49*지급비율!N45</f>
        <v>0</v>
      </c>
      <c r="Y49" s="87"/>
      <c r="Z49" s="87"/>
      <c r="AA49" s="83"/>
      <c r="AB49" s="85"/>
      <c r="AC49" s="83"/>
      <c r="AD49" s="86"/>
      <c r="AE49" s="87">
        <f>+$I49*지급비율!U45</f>
        <v>0</v>
      </c>
      <c r="AF49" s="87"/>
      <c r="AG49" s="87"/>
      <c r="AH49" s="83"/>
      <c r="AI49" s="85"/>
      <c r="AJ49" s="83"/>
      <c r="AK49" s="86"/>
      <c r="AL49" s="70">
        <f>+$I49*지급비율!AB45</f>
        <v>0</v>
      </c>
      <c r="AM49" s="87"/>
      <c r="AN49" s="87"/>
      <c r="AO49" s="83"/>
      <c r="AP49" s="85"/>
      <c r="AQ49" s="83"/>
      <c r="AR49" s="86"/>
      <c r="AS49" s="70">
        <f>+$I49*지급비율!AI45</f>
        <v>0</v>
      </c>
      <c r="AT49" s="87"/>
      <c r="AU49" s="87"/>
      <c r="AV49" s="83"/>
      <c r="AW49" s="85"/>
      <c r="AX49" s="83"/>
      <c r="AY49" s="86"/>
      <c r="AZ49" s="70">
        <f>+$I49*지급비율!AP45</f>
        <v>0</v>
      </c>
      <c r="BA49" s="87"/>
      <c r="BB49" s="87"/>
      <c r="BC49" s="83"/>
      <c r="BD49" s="85"/>
      <c r="BE49" s="83"/>
      <c r="BF49" s="86"/>
      <c r="BG49" s="70">
        <f>+$I49*지급비율!AW45</f>
        <v>0</v>
      </c>
      <c r="BH49" s="87"/>
      <c r="BI49" s="87"/>
      <c r="BJ49" s="83"/>
      <c r="BK49" s="68">
        <v>46142</v>
      </c>
      <c r="BL49" s="101"/>
      <c r="BM49" s="105">
        <f t="shared" si="13"/>
        <v>1</v>
      </c>
      <c r="BN49" s="70">
        <f>+$I49*지급비율!BD45</f>
        <v>32917500</v>
      </c>
      <c r="BO49" s="106"/>
      <c r="BP49" s="106">
        <f t="shared" si="14"/>
        <v>32917500</v>
      </c>
      <c r="BQ49" s="101"/>
      <c r="BR49" s="88"/>
      <c r="BS49" s="89" t="b">
        <f>+Q49+X49+AE49+AS49+AZ49+BG49+BN49=I49</f>
        <v>1</v>
      </c>
      <c r="BT49" s="90" t="b">
        <f>+R49+Y49+AF49+AT49+BA49+BH49+BO49=K49</f>
        <v>1</v>
      </c>
      <c r="BU49" s="90"/>
      <c r="BV49" s="54"/>
      <c r="BW49" s="54"/>
      <c r="BX49" s="54"/>
      <c r="BY49" s="54"/>
      <c r="BZ49" s="54"/>
      <c r="CA49" s="54"/>
      <c r="CB49" s="54"/>
      <c r="CC49" s="54"/>
      <c r="CD49" s="58"/>
      <c r="CE49" s="58"/>
    </row>
    <row r="50" spans="1:83" ht="16.5" customHeight="1">
      <c r="A50" s="62"/>
      <c r="B50" s="1322"/>
      <c r="C50" s="1330"/>
      <c r="D50" s="1329"/>
      <c r="E50" s="1324"/>
      <c r="F50" s="91" t="s">
        <v>392</v>
      </c>
      <c r="G50" s="92">
        <f>SUM(G46:G49)</f>
        <v>294975000</v>
      </c>
      <c r="H50" s="92">
        <f>SUM(H46:H49)</f>
        <v>29497500</v>
      </c>
      <c r="I50" s="92">
        <f>SUM(I46:I49)</f>
        <v>324472500</v>
      </c>
      <c r="J50" s="91">
        <f t="shared" si="12"/>
        <v>0.3230467913305442</v>
      </c>
      <c r="K50" s="92">
        <f>SUM(K46:K49)</f>
        <v>104819800</v>
      </c>
      <c r="L50" s="92">
        <f>SUM(L46:L49)</f>
        <v>219652700</v>
      </c>
      <c r="M50" s="419">
        <f>+AE47+AE48</f>
        <v>42322500</v>
      </c>
      <c r="N50" s="93"/>
      <c r="O50" s="91"/>
      <c r="P50" s="94">
        <f>+IFERROR(Q50/$I50,"-")</f>
        <v>7.8260869565217397E-2</v>
      </c>
      <c r="Q50" s="92">
        <f>SUM(Q46:Q49)</f>
        <v>25393500</v>
      </c>
      <c r="R50" s="170">
        <f>SUM(R46:R49)</f>
        <v>25393500</v>
      </c>
      <c r="S50" s="95">
        <f>+Q50-R50</f>
        <v>0</v>
      </c>
      <c r="T50" s="91"/>
      <c r="U50" s="93"/>
      <c r="V50" s="91"/>
      <c r="W50" s="94">
        <f>+IFERROR(X50/$I50,"-")</f>
        <v>2.6086956521739129E-2</v>
      </c>
      <c r="X50" s="92">
        <f>SUM(X46:X49)</f>
        <v>8464500</v>
      </c>
      <c r="Y50" s="170">
        <f>SUM(Y46:Y49)</f>
        <v>37103800</v>
      </c>
      <c r="Z50" s="95">
        <f>+X50-Y50</f>
        <v>-28639300</v>
      </c>
      <c r="AA50" s="91"/>
      <c r="AB50" s="93"/>
      <c r="AC50" s="91"/>
      <c r="AD50" s="94">
        <f>+IFERROR(AE50/$I50,"-")</f>
        <v>0.44927536231884058</v>
      </c>
      <c r="AE50" s="92">
        <f>SUM(AE46:AE49)</f>
        <v>145777500</v>
      </c>
      <c r="AF50" s="170">
        <f>SUM(AF46:AF49)</f>
        <v>42322500</v>
      </c>
      <c r="AG50" s="95">
        <f>+AE50-AF50</f>
        <v>103455000</v>
      </c>
      <c r="AH50" s="91"/>
      <c r="AI50" s="93"/>
      <c r="AJ50" s="91"/>
      <c r="AK50" s="94">
        <f>+IFERROR(AL50/$I50,"-")</f>
        <v>0</v>
      </c>
      <c r="AL50" s="92">
        <f>SUM(AL46:AL49)</f>
        <v>0</v>
      </c>
      <c r="AM50" s="92">
        <f>SUM(AM46:AM49)</f>
        <v>0</v>
      </c>
      <c r="AN50" s="95">
        <f>+AL50-AM50</f>
        <v>0</v>
      </c>
      <c r="AO50" s="91"/>
      <c r="AP50" s="93"/>
      <c r="AQ50" s="91"/>
      <c r="AR50" s="94">
        <f>+IFERROR(AS50/$I50,"-")</f>
        <v>0</v>
      </c>
      <c r="AS50" s="92">
        <f>SUM(AS46:AS49)</f>
        <v>0</v>
      </c>
      <c r="AT50" s="92">
        <f>SUM(AT46:AT49)</f>
        <v>0</v>
      </c>
      <c r="AU50" s="95">
        <f>+AS50-AT50</f>
        <v>0</v>
      </c>
      <c r="AV50" s="91"/>
      <c r="AW50" s="93"/>
      <c r="AX50" s="91"/>
      <c r="AY50" s="94">
        <f>+IFERROR(AZ50/$I50,"-")</f>
        <v>0</v>
      </c>
      <c r="AZ50" s="92">
        <f>SUM(AZ46:AZ49)</f>
        <v>0</v>
      </c>
      <c r="BA50" s="92">
        <f>SUM(BA46:BA49)</f>
        <v>0</v>
      </c>
      <c r="BB50" s="95">
        <f>+AZ50-BA50</f>
        <v>0</v>
      </c>
      <c r="BC50" s="91"/>
      <c r="BD50" s="93"/>
      <c r="BE50" s="91"/>
      <c r="BF50" s="94">
        <f>+IFERROR(BG50/$I50,"-")</f>
        <v>0.25507246376811593</v>
      </c>
      <c r="BG50" s="92">
        <f>SUM(BG46:BG49)</f>
        <v>82764000</v>
      </c>
      <c r="BH50" s="92">
        <f>SUM(BH46:BH49)</f>
        <v>0</v>
      </c>
      <c r="BI50" s="95">
        <f>+BG50-BH50</f>
        <v>82764000</v>
      </c>
      <c r="BJ50" s="91"/>
      <c r="BK50" s="93"/>
      <c r="BL50" s="91"/>
      <c r="BM50" s="94">
        <f t="shared" si="13"/>
        <v>0.19130434782608696</v>
      </c>
      <c r="BN50" s="92">
        <f>SUM(BN46:BN49)</f>
        <v>62073000</v>
      </c>
      <c r="BO50" s="92">
        <f>SUM(BO46:BO49)</f>
        <v>0</v>
      </c>
      <c r="BP50" s="95">
        <f t="shared" si="14"/>
        <v>62073000</v>
      </c>
      <c r="BQ50" s="91"/>
      <c r="BR50" s="88"/>
      <c r="BS50" s="96"/>
      <c r="BT50" s="97"/>
      <c r="BU50" s="97"/>
      <c r="BV50" s="54"/>
      <c r="BW50" s="54"/>
      <c r="BX50" s="54"/>
      <c r="BY50" s="54"/>
      <c r="BZ50" s="54"/>
      <c r="CA50" s="54"/>
      <c r="CB50" s="54"/>
      <c r="CC50" s="54"/>
      <c r="CD50" s="58"/>
      <c r="CE50" s="58"/>
    </row>
    <row r="51" spans="1:83" ht="16.5" customHeight="1">
      <c r="A51" s="62"/>
      <c r="B51" s="1322">
        <f t="shared" ref="B51" si="15">+B46+1</f>
        <v>9</v>
      </c>
      <c r="C51" s="1330" t="s">
        <v>399</v>
      </c>
      <c r="D51" s="1329">
        <v>527</v>
      </c>
      <c r="E51" s="1324" t="s">
        <v>387</v>
      </c>
      <c r="F51" s="63" t="s">
        <v>388</v>
      </c>
      <c r="G51" s="76">
        <f>+지급비율!F46/1000*$D$51</f>
        <v>579700000</v>
      </c>
      <c r="H51" s="64">
        <f>+G51*10%</f>
        <v>57970000</v>
      </c>
      <c r="I51" s="64">
        <f>SUM(G51:H51)</f>
        <v>637670000</v>
      </c>
      <c r="J51" s="65">
        <f t="shared" si="12"/>
        <v>0</v>
      </c>
      <c r="K51" s="70">
        <f>+IFERROR(R51+Y51+AF51+AT51+BA51+BH51+BO51,"-")</f>
        <v>0</v>
      </c>
      <c r="L51" s="70">
        <f>+I51-K51</f>
        <v>637670000</v>
      </c>
      <c r="M51" s="1325" t="s">
        <v>264</v>
      </c>
      <c r="N51" s="67"/>
      <c r="O51" s="72"/>
      <c r="P51" s="69"/>
      <c r="Q51" s="70">
        <f>+$I51*지급비율!G46</f>
        <v>0</v>
      </c>
      <c r="R51" s="70"/>
      <c r="S51" s="70">
        <f>+Q51-R51</f>
        <v>0</v>
      </c>
      <c r="T51" s="81"/>
      <c r="U51" s="67"/>
      <c r="V51" s="68"/>
      <c r="W51" s="69"/>
      <c r="X51" s="70">
        <f>+$I51*지급비율!N46</f>
        <v>0</v>
      </c>
      <c r="Y51" s="70"/>
      <c r="Z51" s="70">
        <f>+X51-Y51</f>
        <v>0</v>
      </c>
      <c r="AA51" s="71"/>
      <c r="AB51" s="67">
        <f>+EDATE(AI51,0)</f>
        <v>46019</v>
      </c>
      <c r="AC51" s="68"/>
      <c r="AD51" s="69">
        <f>+IFERROR(AE51/$I51,"-")</f>
        <v>0.5</v>
      </c>
      <c r="AE51" s="70">
        <f>+$I51*지급비율!U46</f>
        <v>318835000</v>
      </c>
      <c r="AF51" s="70"/>
      <c r="AG51" s="70">
        <f>+AE51-AF51</f>
        <v>318835000</v>
      </c>
      <c r="AH51" s="71"/>
      <c r="AI51" s="67">
        <f>+EDATE(AP51,-1)</f>
        <v>46019</v>
      </c>
      <c r="AJ51" s="68"/>
      <c r="AK51" s="69">
        <f>+IFERROR(AL51/$I51,"-")</f>
        <v>0</v>
      </c>
      <c r="AL51" s="70">
        <f>+$I51*지급비율!AB46</f>
        <v>0</v>
      </c>
      <c r="AM51" s="70"/>
      <c r="AN51" s="70">
        <f>+AL51-AM51</f>
        <v>0</v>
      </c>
      <c r="AO51" s="71"/>
      <c r="AP51" s="67">
        <f>+EDATE(AW51,-1)</f>
        <v>46050</v>
      </c>
      <c r="AQ51" s="68"/>
      <c r="AR51" s="69">
        <f>+IFERROR(AS51/$I51,"-")</f>
        <v>0</v>
      </c>
      <c r="AS51" s="70">
        <f>+$I51*지급비율!AI46</f>
        <v>0</v>
      </c>
      <c r="AT51" s="70"/>
      <c r="AU51" s="70">
        <f>+AS51-AT51</f>
        <v>0</v>
      </c>
      <c r="AV51" s="71"/>
      <c r="AW51" s="67">
        <f>+EDATE(BD51,-1)</f>
        <v>46081</v>
      </c>
      <c r="AX51" s="68"/>
      <c r="AY51" s="69">
        <f>+IFERROR(AZ51/$I51,"-")</f>
        <v>0</v>
      </c>
      <c r="AZ51" s="70">
        <f>+$I51*지급비율!AP46</f>
        <v>0</v>
      </c>
      <c r="BA51" s="70"/>
      <c r="BB51" s="70">
        <f>+AZ51-BA51</f>
        <v>0</v>
      </c>
      <c r="BC51" s="71"/>
      <c r="BD51" s="67">
        <f>+EDATE(BK51,-1)</f>
        <v>46111</v>
      </c>
      <c r="BE51" s="68"/>
      <c r="BF51" s="69">
        <f>+IFERROR(BG51/$I51,"-")</f>
        <v>0.4</v>
      </c>
      <c r="BG51" s="70">
        <f>+$I51*지급비율!AW46</f>
        <v>255068000</v>
      </c>
      <c r="BH51" s="70"/>
      <c r="BI51" s="70">
        <f>+BG51-BH51</f>
        <v>255068000</v>
      </c>
      <c r="BJ51" s="71"/>
      <c r="BK51" s="78">
        <v>46142</v>
      </c>
      <c r="BL51" s="68"/>
      <c r="BM51" s="69">
        <f t="shared" si="13"/>
        <v>0.1</v>
      </c>
      <c r="BN51" s="70">
        <f>+$I51*지급비율!BD46</f>
        <v>63767000</v>
      </c>
      <c r="BO51" s="70"/>
      <c r="BP51" s="70">
        <f t="shared" si="14"/>
        <v>63767000</v>
      </c>
      <c r="BQ51" s="71"/>
      <c r="BR51" s="73"/>
      <c r="BS51" s="74" t="b">
        <f>+Q51+X51+AE51+AS51+AZ51+BG51+BN51=I51</f>
        <v>1</v>
      </c>
      <c r="BT51" s="74" t="b">
        <f>+R51+Y51+AF51+AT51+BA51+BH51+BO51=K51</f>
        <v>1</v>
      </c>
      <c r="BU51" s="74"/>
      <c r="BV51" s="54"/>
      <c r="BW51" s="54"/>
      <c r="BX51" s="54"/>
      <c r="BY51" s="54"/>
      <c r="BZ51" s="54"/>
      <c r="CA51" s="54"/>
      <c r="CB51" s="54"/>
      <c r="CC51" s="54"/>
      <c r="CD51" s="58"/>
      <c r="CE51" s="58"/>
    </row>
    <row r="52" spans="1:83" ht="16.5" customHeight="1">
      <c r="A52" s="62"/>
      <c r="B52" s="1322"/>
      <c r="C52" s="1330"/>
      <c r="D52" s="1329"/>
      <c r="E52" s="1324"/>
      <c r="F52" s="75" t="s">
        <v>389</v>
      </c>
      <c r="G52" s="76">
        <f>+지급비율!F47/1000*$D$51</f>
        <v>158100000</v>
      </c>
      <c r="H52" s="76">
        <f>+G52*10%</f>
        <v>15810000</v>
      </c>
      <c r="I52" s="76">
        <f>SUM(G52:H52)</f>
        <v>173910000</v>
      </c>
      <c r="J52" s="75">
        <f t="shared" si="12"/>
        <v>0.4</v>
      </c>
      <c r="K52" s="80">
        <f>+IFERROR(R52+Y52+AF52+AT52+BA52+BH52+BO52,"-")</f>
        <v>69564000</v>
      </c>
      <c r="L52" s="80">
        <f>+I52-K52</f>
        <v>104346000</v>
      </c>
      <c r="M52" s="1326"/>
      <c r="N52" s="78">
        <v>45826</v>
      </c>
      <c r="O52" s="78">
        <v>45826</v>
      </c>
      <c r="P52" s="79">
        <f>+IFERROR(Q52/$I52,"-")</f>
        <v>0.3</v>
      </c>
      <c r="Q52" s="80">
        <f>+$I52*지급비율!G47</f>
        <v>52173000</v>
      </c>
      <c r="R52" s="80">
        <v>52173000</v>
      </c>
      <c r="S52" s="80">
        <f>+Q52-R52</f>
        <v>0</v>
      </c>
      <c r="T52" s="81"/>
      <c r="U52" s="284">
        <v>45991</v>
      </c>
      <c r="V52" s="284">
        <v>45975</v>
      </c>
      <c r="W52" s="286">
        <f>+IFERROR(X52/$I52,"-")</f>
        <v>0.1</v>
      </c>
      <c r="X52" s="290">
        <f>+$I52*지급비율!N47</f>
        <v>17391000</v>
      </c>
      <c r="Y52" s="290">
        <v>17391000</v>
      </c>
      <c r="Z52" s="290">
        <f>+X52-Y52</f>
        <v>0</v>
      </c>
      <c r="AA52" s="288"/>
      <c r="AB52" s="152">
        <v>46022</v>
      </c>
      <c r="AC52" s="152"/>
      <c r="AD52" s="117">
        <f>+IFERROR(AE52/$I52,"-")</f>
        <v>0.5</v>
      </c>
      <c r="AE52" s="153">
        <f>+$I52*지급비율!U47</f>
        <v>86955000</v>
      </c>
      <c r="AF52" s="153"/>
      <c r="AG52" s="153">
        <f>+AE52-AF52</f>
        <v>86955000</v>
      </c>
      <c r="AH52" s="118"/>
      <c r="AI52" s="78"/>
      <c r="AJ52" s="78"/>
      <c r="AK52" s="79">
        <f>+IFERROR(AL52/$I52,"-")</f>
        <v>0</v>
      </c>
      <c r="AL52" s="80">
        <f>+$I52*지급비율!AB47</f>
        <v>0</v>
      </c>
      <c r="AM52" s="80"/>
      <c r="AN52" s="80">
        <f>+AL52-AM52</f>
        <v>0</v>
      </c>
      <c r="AO52" s="81"/>
      <c r="AP52" s="78"/>
      <c r="AQ52" s="78"/>
      <c r="AR52" s="79"/>
      <c r="AS52" s="80">
        <f>+$I52*지급비율!AI47</f>
        <v>0</v>
      </c>
      <c r="AT52" s="80"/>
      <c r="AU52" s="80">
        <f>+AS52-AT52</f>
        <v>0</v>
      </c>
      <c r="AV52" s="81"/>
      <c r="AW52" s="78"/>
      <c r="AX52" s="78"/>
      <c r="AY52" s="79"/>
      <c r="AZ52" s="80">
        <f>+$I52*지급비율!AP47</f>
        <v>0</v>
      </c>
      <c r="BA52" s="80"/>
      <c r="BB52" s="80">
        <f>+AZ52-BA52</f>
        <v>0</v>
      </c>
      <c r="BC52" s="81"/>
      <c r="BD52" s="78"/>
      <c r="BE52" s="78"/>
      <c r="BF52" s="79"/>
      <c r="BG52" s="80">
        <f>+$I52*지급비율!AW47</f>
        <v>0</v>
      </c>
      <c r="BH52" s="80"/>
      <c r="BI52" s="80">
        <f>+BG52-BH52</f>
        <v>0</v>
      </c>
      <c r="BJ52" s="81"/>
      <c r="BK52" s="78">
        <v>46142</v>
      </c>
      <c r="BL52" s="78"/>
      <c r="BM52" s="79">
        <f t="shared" si="13"/>
        <v>0.1</v>
      </c>
      <c r="BN52" s="80">
        <f>+$I52*지급비율!BD47</f>
        <v>17391000</v>
      </c>
      <c r="BO52" s="80"/>
      <c r="BP52" s="80">
        <f t="shared" si="14"/>
        <v>17391000</v>
      </c>
      <c r="BQ52" s="81"/>
      <c r="BR52" s="73"/>
      <c r="BS52" s="74" t="b">
        <f>+Q52+X52+AE52+AS52+AZ52+BG52+BN52=I52</f>
        <v>1</v>
      </c>
      <c r="BT52" s="74" t="b">
        <f>+R52+Y52+AF52+AT52+BA52+BH52+BO52=K52</f>
        <v>1</v>
      </c>
      <c r="BU52" s="74" t="b">
        <f>+BG52+BG53+AZ52+AZ53+AS52+AS53+AE52+AE53+X52+X53+Q52+Q53+BN52+BN53=([5]지급비율!$F$39+[5]지급비율!$F$40)*1.1*D51/1000</f>
        <v>1</v>
      </c>
      <c r="BV52" s="54"/>
      <c r="BW52" s="54"/>
      <c r="BX52" s="54"/>
      <c r="BY52" s="54"/>
      <c r="BZ52" s="54"/>
      <c r="CA52" s="54"/>
      <c r="CB52" s="54"/>
      <c r="CC52" s="54"/>
      <c r="CD52" s="58"/>
      <c r="CE52" s="58"/>
    </row>
    <row r="53" spans="1:83" ht="16.5" customHeight="1">
      <c r="A53" s="62"/>
      <c r="B53" s="1322"/>
      <c r="C53" s="1330"/>
      <c r="D53" s="1329"/>
      <c r="E53" s="1324"/>
      <c r="F53" s="75" t="s">
        <v>390</v>
      </c>
      <c r="G53" s="76">
        <f>+지급비율!F48/1000*$D$51</f>
        <v>79050000</v>
      </c>
      <c r="H53" s="76">
        <f>+G53*10%</f>
        <v>7905000</v>
      </c>
      <c r="I53" s="76">
        <f>SUM(G53:H53)</f>
        <v>86955000</v>
      </c>
      <c r="J53" s="75">
        <f t="shared" si="12"/>
        <v>0.4</v>
      </c>
      <c r="K53" s="80">
        <f>+IFERROR(R53+Y53+AF53+AT53+BA53+BH53+BO53,"-")</f>
        <v>34782000</v>
      </c>
      <c r="L53" s="80">
        <f>+I53-K53</f>
        <v>52173000</v>
      </c>
      <c r="M53" s="1326"/>
      <c r="N53" s="78">
        <v>45826</v>
      </c>
      <c r="O53" s="78">
        <v>45826</v>
      </c>
      <c r="P53" s="79">
        <f>+IFERROR(Q53/$I53,"-")</f>
        <v>0.3</v>
      </c>
      <c r="Q53" s="80">
        <f>+$I53*지급비율!G48</f>
        <v>26086500</v>
      </c>
      <c r="R53" s="80">
        <v>26086500</v>
      </c>
      <c r="S53" s="80">
        <f>+Q53-R53</f>
        <v>0</v>
      </c>
      <c r="T53" s="81"/>
      <c r="U53" s="284">
        <v>45991</v>
      </c>
      <c r="V53" s="285">
        <v>45975</v>
      </c>
      <c r="W53" s="286">
        <f>+IFERROR(X53/$I53,"-")</f>
        <v>0.1</v>
      </c>
      <c r="X53" s="290">
        <f>+$I53*지급비율!N48</f>
        <v>8695500</v>
      </c>
      <c r="Y53" s="290">
        <v>8695500</v>
      </c>
      <c r="Z53" s="290">
        <f>+X53-Y53</f>
        <v>0</v>
      </c>
      <c r="AA53" s="288"/>
      <c r="AB53" s="152">
        <v>46022</v>
      </c>
      <c r="AC53" s="116"/>
      <c r="AD53" s="117">
        <f>+IFERROR(AE53/$I53,"-")</f>
        <v>0.5</v>
      </c>
      <c r="AE53" s="153">
        <f>+$I53*지급비율!U48</f>
        <v>43477500</v>
      </c>
      <c r="AF53" s="153"/>
      <c r="AG53" s="153">
        <f>+AE53-AF53</f>
        <v>43477500</v>
      </c>
      <c r="AH53" s="118"/>
      <c r="AI53" s="72"/>
      <c r="AJ53" s="72"/>
      <c r="AK53" s="79">
        <f>+IFERROR(AL53/$I53,"-")</f>
        <v>0</v>
      </c>
      <c r="AL53" s="80">
        <f>+$I53*지급비율!AB48</f>
        <v>0</v>
      </c>
      <c r="AM53" s="80"/>
      <c r="AN53" s="80">
        <f>+AL53-AM53</f>
        <v>0</v>
      </c>
      <c r="AO53" s="81"/>
      <c r="AP53" s="72"/>
      <c r="AQ53" s="72"/>
      <c r="AR53" s="79"/>
      <c r="AS53" s="80">
        <f>+$I53*지급비율!AI48</f>
        <v>0</v>
      </c>
      <c r="AT53" s="80"/>
      <c r="AU53" s="80">
        <f>+AS53-AT53</f>
        <v>0</v>
      </c>
      <c r="AV53" s="81"/>
      <c r="AW53" s="72"/>
      <c r="AX53" s="72"/>
      <c r="AY53" s="79"/>
      <c r="AZ53" s="80">
        <f>+$I53*지급비율!AP48</f>
        <v>0</v>
      </c>
      <c r="BA53" s="80"/>
      <c r="BB53" s="80">
        <f>+AZ53-BA53</f>
        <v>0</v>
      </c>
      <c r="BC53" s="81"/>
      <c r="BD53" s="72"/>
      <c r="BE53" s="72"/>
      <c r="BF53" s="79"/>
      <c r="BG53" s="80">
        <f>+$I53*지급비율!AW48</f>
        <v>0</v>
      </c>
      <c r="BH53" s="80"/>
      <c r="BI53" s="80">
        <f>+BG53-BH53</f>
        <v>0</v>
      </c>
      <c r="BJ53" s="81"/>
      <c r="BK53" s="78">
        <v>46142</v>
      </c>
      <c r="BL53" s="72"/>
      <c r="BM53" s="79">
        <f t="shared" si="13"/>
        <v>0.1</v>
      </c>
      <c r="BN53" s="80">
        <f>+$I53*지급비율!BD48</f>
        <v>8695500</v>
      </c>
      <c r="BO53" s="80"/>
      <c r="BP53" s="80">
        <f t="shared" si="14"/>
        <v>8695500</v>
      </c>
      <c r="BQ53" s="81"/>
      <c r="BR53" s="73"/>
      <c r="BS53" s="74" t="b">
        <f>+Q53+X53+AE53+AS53+AZ53+BG53+BN53=I53</f>
        <v>1</v>
      </c>
      <c r="BT53" s="74" t="b">
        <f>+R53+Y53+AF53+AT53+BA53+BH53+BO53=K53</f>
        <v>1</v>
      </c>
      <c r="BU53" s="74"/>
      <c r="BV53" s="54"/>
      <c r="BW53" s="54"/>
      <c r="BX53" s="54"/>
      <c r="BY53" s="54"/>
      <c r="BZ53" s="54"/>
      <c r="CA53" s="54"/>
      <c r="CB53" s="54"/>
      <c r="CC53" s="54"/>
      <c r="CD53" s="58"/>
      <c r="CE53" s="58"/>
    </row>
    <row r="54" spans="1:83" ht="16.5" customHeight="1">
      <c r="A54" s="62"/>
      <c r="B54" s="1322"/>
      <c r="C54" s="1330"/>
      <c r="D54" s="1329"/>
      <c r="E54" s="1324"/>
      <c r="F54" s="101" t="s">
        <v>391</v>
      </c>
      <c r="G54" s="102">
        <f>+지급비율!F49/1000*$D$51</f>
        <v>105400000</v>
      </c>
      <c r="H54" s="102">
        <f>+G54*0.1</f>
        <v>10540000</v>
      </c>
      <c r="I54" s="102">
        <f>SUM(G54:H54)</f>
        <v>115940000</v>
      </c>
      <c r="J54" s="101">
        <f t="shared" si="12"/>
        <v>0</v>
      </c>
      <c r="K54" s="106">
        <f>+IFERROR(R54+Y54+AF54+AT54+BA54+BH54+BO54,"-")</f>
        <v>0</v>
      </c>
      <c r="L54" s="106">
        <f>+I54-K54</f>
        <v>115940000</v>
      </c>
      <c r="M54" s="1327"/>
      <c r="N54" s="85"/>
      <c r="O54" s="83"/>
      <c r="P54" s="86"/>
      <c r="Q54" s="87">
        <f>+$I54*지급비율!G49</f>
        <v>0</v>
      </c>
      <c r="R54" s="87"/>
      <c r="S54" s="87"/>
      <c r="T54" s="83"/>
      <c r="U54" s="85"/>
      <c r="V54" s="83"/>
      <c r="W54" s="86"/>
      <c r="X54" s="87">
        <f>+$I54*지급비율!N49</f>
        <v>0</v>
      </c>
      <c r="Y54" s="87"/>
      <c r="Z54" s="87"/>
      <c r="AA54" s="83"/>
      <c r="AB54" s="85"/>
      <c r="AC54" s="83"/>
      <c r="AD54" s="86"/>
      <c r="AE54" s="80">
        <f>+$I54*지급비율!U49</f>
        <v>0</v>
      </c>
      <c r="AF54" s="87"/>
      <c r="AG54" s="87"/>
      <c r="AH54" s="83"/>
      <c r="AI54" s="85"/>
      <c r="AJ54" s="83"/>
      <c r="AK54" s="86"/>
      <c r="AL54" s="80">
        <f>+$I54*지급비율!AB49</f>
        <v>0</v>
      </c>
      <c r="AM54" s="87"/>
      <c r="AN54" s="87"/>
      <c r="AO54" s="83"/>
      <c r="AP54" s="85"/>
      <c r="AQ54" s="83"/>
      <c r="AR54" s="86"/>
      <c r="AS54" s="80">
        <f>+$I54*지급비율!AI49</f>
        <v>0</v>
      </c>
      <c r="AT54" s="87"/>
      <c r="AU54" s="87"/>
      <c r="AV54" s="83"/>
      <c r="AW54" s="85"/>
      <c r="AX54" s="83"/>
      <c r="AY54" s="86"/>
      <c r="AZ54" s="80">
        <f>+$I54*지급비율!AP49</f>
        <v>0</v>
      </c>
      <c r="BA54" s="87"/>
      <c r="BB54" s="87"/>
      <c r="BC54" s="83"/>
      <c r="BD54" s="85"/>
      <c r="BE54" s="83"/>
      <c r="BF54" s="86"/>
      <c r="BG54" s="80">
        <f>+$I54*지급비율!AW49</f>
        <v>0</v>
      </c>
      <c r="BH54" s="87"/>
      <c r="BI54" s="87"/>
      <c r="BJ54" s="83"/>
      <c r="BK54" s="78">
        <v>46142</v>
      </c>
      <c r="BL54" s="101"/>
      <c r="BM54" s="105">
        <f t="shared" si="13"/>
        <v>1</v>
      </c>
      <c r="BN54" s="80">
        <f>+$I54*지급비율!BD49</f>
        <v>115940000</v>
      </c>
      <c r="BO54" s="106"/>
      <c r="BP54" s="106">
        <f t="shared" si="14"/>
        <v>115940000</v>
      </c>
      <c r="BQ54" s="101"/>
      <c r="BR54" s="88"/>
      <c r="BS54" s="89" t="b">
        <f>+Q54+X54+AE54+AS54+AZ54+BG54+BN54=I54</f>
        <v>1</v>
      </c>
      <c r="BT54" s="90" t="b">
        <f>+R54+Y54+AF54+AT54+BA54+BH54+BO54=K54</f>
        <v>1</v>
      </c>
      <c r="BU54" s="90"/>
      <c r="BV54" s="54"/>
      <c r="BW54" s="54"/>
      <c r="BX54" s="54"/>
      <c r="BY54" s="54"/>
      <c r="BZ54" s="54"/>
      <c r="CA54" s="54"/>
      <c r="CB54" s="54"/>
      <c r="CC54" s="54"/>
      <c r="CD54" s="58"/>
      <c r="CE54" s="58"/>
    </row>
    <row r="55" spans="1:83" ht="16.5" customHeight="1">
      <c r="A55" s="62"/>
      <c r="B55" s="1322"/>
      <c r="C55" s="1330"/>
      <c r="D55" s="1329"/>
      <c r="E55" s="1324"/>
      <c r="F55" s="91" t="s">
        <v>392</v>
      </c>
      <c r="G55" s="92">
        <f>SUM(G51:G54)</f>
        <v>922250000</v>
      </c>
      <c r="H55" s="92">
        <f>SUM(H51:H54)</f>
        <v>92225000</v>
      </c>
      <c r="I55" s="92">
        <f>SUM(I51:I54)</f>
        <v>1014475000</v>
      </c>
      <c r="J55" s="91">
        <f t="shared" si="12"/>
        <v>0.10285714285714286</v>
      </c>
      <c r="K55" s="92">
        <f>SUM(K51:K54)</f>
        <v>104346000</v>
      </c>
      <c r="L55" s="92">
        <f>SUM(L51:L54)</f>
        <v>910129000</v>
      </c>
      <c r="M55" s="419">
        <f>+X52+X53</f>
        <v>26086500</v>
      </c>
      <c r="N55" s="93"/>
      <c r="O55" s="91"/>
      <c r="P55" s="94">
        <f>+IFERROR(Q55/$I55,"-")</f>
        <v>7.7142857142857138E-2</v>
      </c>
      <c r="Q55" s="92">
        <f>SUM(Q51:Q54)</f>
        <v>78259500</v>
      </c>
      <c r="R55" s="170">
        <f>SUM(R51:R54)</f>
        <v>78259500</v>
      </c>
      <c r="S55" s="95">
        <f>+Q55-R55</f>
        <v>0</v>
      </c>
      <c r="T55" s="91"/>
      <c r="U55" s="93"/>
      <c r="V55" s="91"/>
      <c r="W55" s="94">
        <f>+IFERROR(X55/$I55,"-")</f>
        <v>2.5714285714285714E-2</v>
      </c>
      <c r="X55" s="92">
        <f>SUM(X51:X54)</f>
        <v>26086500</v>
      </c>
      <c r="Y55" s="92">
        <f>SUM(Y51:Y54)</f>
        <v>26086500</v>
      </c>
      <c r="Z55" s="95">
        <f>+X55-Y55</f>
        <v>0</v>
      </c>
      <c r="AA55" s="91"/>
      <c r="AB55" s="93"/>
      <c r="AC55" s="91"/>
      <c r="AD55" s="94">
        <f>+IFERROR(AE55/$I55,"-")</f>
        <v>0.44285714285714284</v>
      </c>
      <c r="AE55" s="92">
        <f>SUM(AE51:AE54)</f>
        <v>449267500</v>
      </c>
      <c r="AF55" s="92">
        <f>SUM(AF51:AF54)</f>
        <v>0</v>
      </c>
      <c r="AG55" s="95">
        <f>+AE55-AF55</f>
        <v>449267500</v>
      </c>
      <c r="AH55" s="91"/>
      <c r="AI55" s="93"/>
      <c r="AJ55" s="91"/>
      <c r="AK55" s="94">
        <f>+IFERROR(AL55/$I55,"-")</f>
        <v>0</v>
      </c>
      <c r="AL55" s="92">
        <f>SUM(AL51:AL54)</f>
        <v>0</v>
      </c>
      <c r="AM55" s="92">
        <f>SUM(AM51:AM54)</f>
        <v>0</v>
      </c>
      <c r="AN55" s="95">
        <f>+AL55-AM55</f>
        <v>0</v>
      </c>
      <c r="AO55" s="91"/>
      <c r="AP55" s="93"/>
      <c r="AQ55" s="91"/>
      <c r="AR55" s="94">
        <f>+IFERROR(AS55/$I55,"-")</f>
        <v>0</v>
      </c>
      <c r="AS55" s="92">
        <f>SUM(AS51:AS54)</f>
        <v>0</v>
      </c>
      <c r="AT55" s="92">
        <f>SUM(AT51:AT54)</f>
        <v>0</v>
      </c>
      <c r="AU55" s="95">
        <f>+AS55-AT55</f>
        <v>0</v>
      </c>
      <c r="AV55" s="91"/>
      <c r="AW55" s="93"/>
      <c r="AX55" s="91"/>
      <c r="AY55" s="94">
        <f>+IFERROR(AZ55/$I55,"-")</f>
        <v>0</v>
      </c>
      <c r="AZ55" s="92">
        <f>SUM(AZ51:AZ54)</f>
        <v>0</v>
      </c>
      <c r="BA55" s="92">
        <f>SUM(BA51:BA54)</f>
        <v>0</v>
      </c>
      <c r="BB55" s="95">
        <f>+AZ55-BA55</f>
        <v>0</v>
      </c>
      <c r="BC55" s="91"/>
      <c r="BD55" s="93"/>
      <c r="BE55" s="91"/>
      <c r="BF55" s="94">
        <f>+IFERROR(BG55/$I55,"-")</f>
        <v>0.25142857142857145</v>
      </c>
      <c r="BG55" s="92">
        <f>SUM(BG51:BG54)</f>
        <v>255068000</v>
      </c>
      <c r="BH55" s="92">
        <f>SUM(BH51:BH54)</f>
        <v>0</v>
      </c>
      <c r="BI55" s="95">
        <f>+BG55-BH55</f>
        <v>255068000</v>
      </c>
      <c r="BJ55" s="91"/>
      <c r="BK55" s="93"/>
      <c r="BL55" s="91"/>
      <c r="BM55" s="94">
        <f t="shared" si="13"/>
        <v>0.20285714285714285</v>
      </c>
      <c r="BN55" s="92">
        <f>SUM(BN51:BN54)</f>
        <v>205793500</v>
      </c>
      <c r="BO55" s="92">
        <f>SUM(BO51:BO54)</f>
        <v>0</v>
      </c>
      <c r="BP55" s="95">
        <f t="shared" si="14"/>
        <v>205793500</v>
      </c>
      <c r="BQ55" s="91"/>
      <c r="BR55" s="88"/>
      <c r="BS55" s="96"/>
      <c r="BT55" s="97"/>
      <c r="BU55" s="97"/>
      <c r="BV55" s="54"/>
      <c r="BW55" s="54"/>
      <c r="BX55" s="54"/>
      <c r="BY55" s="54"/>
      <c r="BZ55" s="54"/>
      <c r="CA55" s="54"/>
      <c r="CB55" s="54"/>
      <c r="CC55" s="54"/>
      <c r="CD55" s="58"/>
      <c r="CE55" s="58"/>
    </row>
    <row r="56" spans="1:83" ht="16.5" customHeight="1">
      <c r="A56" s="62"/>
      <c r="B56" s="1322">
        <f t="shared" ref="B56" si="16">+B51+1</f>
        <v>10</v>
      </c>
      <c r="C56" s="1330" t="s">
        <v>400</v>
      </c>
      <c r="D56" s="1329">
        <v>234</v>
      </c>
      <c r="E56" s="1324" t="s">
        <v>387</v>
      </c>
      <c r="F56" s="63" t="s">
        <v>388</v>
      </c>
      <c r="G56" s="76">
        <f>+지급비율!F42/1000*$D$56</f>
        <v>257400000</v>
      </c>
      <c r="H56" s="64">
        <f>+G56*10%</f>
        <v>25740000</v>
      </c>
      <c r="I56" s="64">
        <f>SUM(G56:H56)</f>
        <v>283140000</v>
      </c>
      <c r="J56" s="65">
        <f t="shared" si="12"/>
        <v>0.12977527018436108</v>
      </c>
      <c r="K56" s="70">
        <f>+IFERROR(R56+Y56+AF56+AT56+BA56+BH56+BO56,"-")</f>
        <v>36744570</v>
      </c>
      <c r="L56" s="70">
        <f>+I56-K56</f>
        <v>246395430</v>
      </c>
      <c r="M56" s="1325" t="s">
        <v>265</v>
      </c>
      <c r="N56" s="67"/>
      <c r="O56" s="72"/>
      <c r="P56" s="69"/>
      <c r="Q56" s="70">
        <f>+$I56*지급비율!G42</f>
        <v>0</v>
      </c>
      <c r="R56" s="70"/>
      <c r="S56" s="70">
        <f>+Q56-R56</f>
        <v>0</v>
      </c>
      <c r="T56" s="81"/>
      <c r="U56" s="67"/>
      <c r="V56" s="68">
        <v>45975</v>
      </c>
      <c r="W56" s="69"/>
      <c r="X56" s="70"/>
      <c r="Y56" s="70">
        <f>31104190+2858230+2782150</f>
        <v>36744570</v>
      </c>
      <c r="Z56" s="70">
        <f>+X56-Y56</f>
        <v>-36744570</v>
      </c>
      <c r="AA56" s="1051" t="s">
        <v>832</v>
      </c>
      <c r="AB56" s="67">
        <f>+EDATE(AI56,-1)+1</f>
        <v>45990</v>
      </c>
      <c r="AC56" s="68"/>
      <c r="AD56" s="69">
        <f>+IFERROR(AE56/$I56,"-")</f>
        <v>0.5</v>
      </c>
      <c r="AE56" s="70">
        <f>+$I56*지급비율!U42</f>
        <v>141570000</v>
      </c>
      <c r="AF56" s="70"/>
      <c r="AG56" s="70">
        <f>+AE56-AF56</f>
        <v>141570000</v>
      </c>
      <c r="AH56" s="71"/>
      <c r="AI56" s="67">
        <f>+EDATE(AP56,-1)</f>
        <v>46019</v>
      </c>
      <c r="AJ56" s="68"/>
      <c r="AK56" s="69">
        <f>+IFERROR(AL56/$I56,"-")</f>
        <v>0</v>
      </c>
      <c r="AL56" s="70">
        <f>+$I56*지급비율!AB42</f>
        <v>0</v>
      </c>
      <c r="AM56" s="70"/>
      <c r="AN56" s="70">
        <f>+AL56-AM56</f>
        <v>0</v>
      </c>
      <c r="AO56" s="71"/>
      <c r="AP56" s="67">
        <f>+EDATE(AW56,-1)</f>
        <v>46050</v>
      </c>
      <c r="AQ56" s="68"/>
      <c r="AR56" s="69">
        <f>+IFERROR(AS56/$I56,"-")</f>
        <v>0</v>
      </c>
      <c r="AS56" s="70">
        <f>+$I56*지급비율!AI42</f>
        <v>0</v>
      </c>
      <c r="AT56" s="70"/>
      <c r="AU56" s="70">
        <f>+AS56-AT56</f>
        <v>0</v>
      </c>
      <c r="AV56" s="71"/>
      <c r="AW56" s="67">
        <f>+EDATE(BD56,-1)</f>
        <v>46081</v>
      </c>
      <c r="AX56" s="68"/>
      <c r="AY56" s="69">
        <f>+IFERROR(AZ56/$I56,"-")</f>
        <v>0</v>
      </c>
      <c r="AZ56" s="70">
        <f>+$I56*지급비율!AP42</f>
        <v>0</v>
      </c>
      <c r="BA56" s="70"/>
      <c r="BB56" s="70">
        <f>+AZ56-BA56</f>
        <v>0</v>
      </c>
      <c r="BC56" s="71"/>
      <c r="BD56" s="67">
        <f>+EDATE(BK56,-1)</f>
        <v>46111</v>
      </c>
      <c r="BE56" s="68"/>
      <c r="BF56" s="69">
        <f>+IFERROR(BG56/$I56,"-")</f>
        <v>0.4</v>
      </c>
      <c r="BG56" s="70">
        <f>+$I56*지급비율!AW42</f>
        <v>113256000</v>
      </c>
      <c r="BH56" s="70"/>
      <c r="BI56" s="70">
        <f>+BG56-BH56</f>
        <v>113256000</v>
      </c>
      <c r="BJ56" s="71"/>
      <c r="BK56" s="78">
        <v>46142</v>
      </c>
      <c r="BL56" s="68"/>
      <c r="BM56" s="69">
        <f t="shared" si="13"/>
        <v>0.1</v>
      </c>
      <c r="BN56" s="70">
        <f>+$I56*지급비율!BD42</f>
        <v>28314000</v>
      </c>
      <c r="BO56" s="70"/>
      <c r="BP56" s="70">
        <f t="shared" si="14"/>
        <v>28314000</v>
      </c>
      <c r="BQ56" s="71"/>
      <c r="BR56" s="73"/>
      <c r="BS56" s="74" t="b">
        <f>+Q56+X56+AE56+AS56+AZ56+BG56+BN56=I56</f>
        <v>1</v>
      </c>
      <c r="BT56" s="74" t="b">
        <f>+R56+Y56+AF56+AT56+BA56+BH56+BO56=K56</f>
        <v>1</v>
      </c>
      <c r="BU56" s="74"/>
      <c r="BV56" s="54"/>
      <c r="BW56" s="54"/>
      <c r="BX56" s="54"/>
      <c r="BY56" s="54"/>
      <c r="BZ56" s="54"/>
      <c r="CA56" s="54"/>
      <c r="CB56" s="54"/>
      <c r="CC56" s="54"/>
      <c r="CD56" s="58"/>
      <c r="CE56" s="58"/>
    </row>
    <row r="57" spans="1:83" ht="16.5" customHeight="1">
      <c r="A57" s="62"/>
      <c r="B57" s="1322"/>
      <c r="C57" s="1330"/>
      <c r="D57" s="1329"/>
      <c r="E57" s="1324"/>
      <c r="F57" s="75" t="s">
        <v>389</v>
      </c>
      <c r="G57" s="76">
        <f>+지급비율!F43/1000*$D$56</f>
        <v>70200000</v>
      </c>
      <c r="H57" s="76">
        <f>+G57*10%</f>
        <v>7020000</v>
      </c>
      <c r="I57" s="76">
        <f>SUM(G57:H57)</f>
        <v>77220000</v>
      </c>
      <c r="J57" s="75">
        <f t="shared" si="12"/>
        <v>0.9</v>
      </c>
      <c r="K57" s="80">
        <f>+IFERROR(R57+Y57+AF57+AT57+BA57+BH57+BO57,"-")</f>
        <v>69498000</v>
      </c>
      <c r="L57" s="80">
        <f>+I57-K57</f>
        <v>7722000</v>
      </c>
      <c r="M57" s="1326"/>
      <c r="N57" s="78">
        <v>45826</v>
      </c>
      <c r="O57" s="78">
        <v>45826</v>
      </c>
      <c r="P57" s="79">
        <f>+IFERROR(Q57/$I57,"-")</f>
        <v>0.3</v>
      </c>
      <c r="Q57" s="70">
        <f>+$I57*지급비율!G43</f>
        <v>23166000</v>
      </c>
      <c r="R57" s="80">
        <v>23166000</v>
      </c>
      <c r="S57" s="80">
        <f>+Q57-R57</f>
        <v>0</v>
      </c>
      <c r="T57" s="81"/>
      <c r="U57" s="78">
        <v>45930</v>
      </c>
      <c r="V57" s="78">
        <v>45898</v>
      </c>
      <c r="W57" s="79">
        <f>+IFERROR(X57/$I57,"-")</f>
        <v>0.1</v>
      </c>
      <c r="X57" s="80">
        <f>+$I57*지급비율!N$43</f>
        <v>7722000</v>
      </c>
      <c r="Y57" s="80">
        <v>7722000</v>
      </c>
      <c r="Z57" s="80">
        <f>+X57-Y57</f>
        <v>0</v>
      </c>
      <c r="AA57" s="81"/>
      <c r="AB57" s="78">
        <v>45961</v>
      </c>
      <c r="AC57" s="78">
        <v>45931</v>
      </c>
      <c r="AD57" s="79">
        <f>+IFERROR(AE57/$I57,"-")</f>
        <v>0.5</v>
      </c>
      <c r="AE57" s="80">
        <f>+$I57*지급비율!U43</f>
        <v>38610000</v>
      </c>
      <c r="AF57" s="80">
        <v>38610000</v>
      </c>
      <c r="AG57" s="80">
        <f>+AE57-AF57</f>
        <v>0</v>
      </c>
      <c r="AH57" s="81"/>
      <c r="AI57" s="78"/>
      <c r="AJ57" s="78"/>
      <c r="AK57" s="79">
        <f>+IFERROR(AL57/$I57,"-")</f>
        <v>0</v>
      </c>
      <c r="AL57" s="70">
        <f>+$I57*지급비율!AB43</f>
        <v>0</v>
      </c>
      <c r="AM57" s="80"/>
      <c r="AN57" s="80">
        <f>+AL57-AM57</f>
        <v>0</v>
      </c>
      <c r="AO57" s="81"/>
      <c r="AP57" s="78"/>
      <c r="AQ57" s="78"/>
      <c r="AR57" s="79"/>
      <c r="AS57" s="70">
        <f>+$I57*지급비율!AI43</f>
        <v>0</v>
      </c>
      <c r="AT57" s="80"/>
      <c r="AU57" s="80">
        <f>+AS57-AT57</f>
        <v>0</v>
      </c>
      <c r="AV57" s="81"/>
      <c r="AW57" s="78"/>
      <c r="AX57" s="78"/>
      <c r="AY57" s="79"/>
      <c r="AZ57" s="70">
        <f>+$I57*지급비율!AP43</f>
        <v>0</v>
      </c>
      <c r="BA57" s="80"/>
      <c r="BB57" s="80">
        <f>+AZ57-BA57</f>
        <v>0</v>
      </c>
      <c r="BC57" s="81"/>
      <c r="BD57" s="78"/>
      <c r="BE57" s="78"/>
      <c r="BF57" s="79"/>
      <c r="BG57" s="70">
        <f>+$I57*지급비율!AW43</f>
        <v>0</v>
      </c>
      <c r="BH57" s="80"/>
      <c r="BI57" s="80">
        <f>+BG57-BH57</f>
        <v>0</v>
      </c>
      <c r="BJ57" s="81"/>
      <c r="BK57" s="78">
        <v>46142</v>
      </c>
      <c r="BL57" s="78"/>
      <c r="BM57" s="79">
        <f t="shared" si="13"/>
        <v>0.1</v>
      </c>
      <c r="BN57" s="70">
        <f>+$I57*지급비율!BD43</f>
        <v>7722000</v>
      </c>
      <c r="BO57" s="80"/>
      <c r="BP57" s="80">
        <f t="shared" si="14"/>
        <v>7722000</v>
      </c>
      <c r="BQ57" s="81"/>
      <c r="BR57" s="73"/>
      <c r="BS57" s="74" t="b">
        <f>+Q57+X57+AE57+AS57+AZ57+BG57+BN57=I57</f>
        <v>1</v>
      </c>
      <c r="BT57" s="74" t="b">
        <f>+R57+Y57+AF57+AT57+BA57+BH57+BO57=K57</f>
        <v>1</v>
      </c>
      <c r="BU57" s="74" t="b">
        <f>+BG57+BG58+AZ57+AZ58+AS57+AS58+AE57+AE58+X57+X58+Q57+Q58+BN57+BN58=([5]지급비율!$F$39+[5]지급비율!$F$40)*1.1*D56/1000</f>
        <v>1</v>
      </c>
      <c r="BV57" s="54"/>
      <c r="BW57" s="54"/>
      <c r="BX57" s="54"/>
      <c r="BY57" s="54"/>
      <c r="BZ57" s="54"/>
      <c r="CA57" s="54"/>
      <c r="CB57" s="54"/>
      <c r="CC57" s="54"/>
      <c r="CD57" s="58"/>
      <c r="CE57" s="58"/>
    </row>
    <row r="58" spans="1:83" ht="16.5" customHeight="1">
      <c r="A58" s="62"/>
      <c r="B58" s="1322"/>
      <c r="C58" s="1330"/>
      <c r="D58" s="1329"/>
      <c r="E58" s="1324"/>
      <c r="F58" s="75" t="s">
        <v>390</v>
      </c>
      <c r="G58" s="76">
        <f>+지급비율!F44/1000*$D$56</f>
        <v>35100000</v>
      </c>
      <c r="H58" s="76">
        <f>+G58*10%</f>
        <v>3510000</v>
      </c>
      <c r="I58" s="76">
        <f>SUM(G58:H58)</f>
        <v>38610000</v>
      </c>
      <c r="J58" s="75">
        <f t="shared" si="12"/>
        <v>0.9</v>
      </c>
      <c r="K58" s="80">
        <f>+IFERROR(R58+Y58+AF58+AT58+BA58+BH58+BO58,"-")</f>
        <v>34749000</v>
      </c>
      <c r="L58" s="80">
        <f>+I58-K58</f>
        <v>3861000</v>
      </c>
      <c r="M58" s="1326"/>
      <c r="N58" s="78">
        <v>45826</v>
      </c>
      <c r="O58" s="78">
        <v>45826</v>
      </c>
      <c r="P58" s="79">
        <f>+IFERROR(Q58/$I58,"-")</f>
        <v>0.3</v>
      </c>
      <c r="Q58" s="70">
        <f>+$I58*지급비율!G44</f>
        <v>11583000</v>
      </c>
      <c r="R58" s="80">
        <v>11583000</v>
      </c>
      <c r="S58" s="80">
        <f>+Q58-R58</f>
        <v>0</v>
      </c>
      <c r="T58" s="81"/>
      <c r="U58" s="78">
        <v>45930</v>
      </c>
      <c r="V58" s="72">
        <v>45898</v>
      </c>
      <c r="W58" s="79">
        <f>+IFERROR(X58/$I58,"-")</f>
        <v>0.1</v>
      </c>
      <c r="X58" s="80">
        <f>+$I58*지급비율!N$44</f>
        <v>3861000</v>
      </c>
      <c r="Y58" s="80">
        <v>3861000</v>
      </c>
      <c r="Z58" s="80">
        <f>+X58-Y58</f>
        <v>0</v>
      </c>
      <c r="AA58" s="81"/>
      <c r="AB58" s="78">
        <v>45961</v>
      </c>
      <c r="AC58" s="78">
        <v>45931</v>
      </c>
      <c r="AD58" s="79">
        <f>+IFERROR(AE58/$I58,"-")</f>
        <v>0.5</v>
      </c>
      <c r="AE58" s="80">
        <f>+$I58*지급비율!U44</f>
        <v>19305000</v>
      </c>
      <c r="AF58" s="80">
        <v>19305000</v>
      </c>
      <c r="AG58" s="80">
        <f>+AE58-AF58</f>
        <v>0</v>
      </c>
      <c r="AH58" s="81"/>
      <c r="AI58" s="72"/>
      <c r="AJ58" s="72"/>
      <c r="AK58" s="79">
        <f>+IFERROR(AL58/$I58,"-")</f>
        <v>0</v>
      </c>
      <c r="AL58" s="70">
        <f>+$I58*지급비율!AB44</f>
        <v>0</v>
      </c>
      <c r="AM58" s="80"/>
      <c r="AN58" s="80">
        <f>+AL58-AM58</f>
        <v>0</v>
      </c>
      <c r="AO58" s="81"/>
      <c r="AP58" s="72"/>
      <c r="AQ58" s="72"/>
      <c r="AR58" s="79"/>
      <c r="AS58" s="70">
        <f>+$I58*지급비율!AI44</f>
        <v>0</v>
      </c>
      <c r="AT58" s="80"/>
      <c r="AU58" s="80">
        <f>+AS58-AT58</f>
        <v>0</v>
      </c>
      <c r="AV58" s="81"/>
      <c r="AW58" s="72"/>
      <c r="AX58" s="72"/>
      <c r="AY58" s="79"/>
      <c r="AZ58" s="70">
        <f>+$I58*지급비율!AP44</f>
        <v>0</v>
      </c>
      <c r="BA58" s="80"/>
      <c r="BB58" s="80">
        <f>+AZ58-BA58</f>
        <v>0</v>
      </c>
      <c r="BC58" s="81"/>
      <c r="BD58" s="72"/>
      <c r="BE58" s="72"/>
      <c r="BF58" s="79"/>
      <c r="BG58" s="70">
        <f>+$I58*지급비율!AW44</f>
        <v>0</v>
      </c>
      <c r="BH58" s="80"/>
      <c r="BI58" s="80">
        <f>+BG58-BH58</f>
        <v>0</v>
      </c>
      <c r="BJ58" s="81"/>
      <c r="BK58" s="78">
        <v>46142</v>
      </c>
      <c r="BL58" s="72"/>
      <c r="BM58" s="79">
        <f t="shared" si="13"/>
        <v>0.1</v>
      </c>
      <c r="BN58" s="70">
        <f>+$I58*지급비율!BD44</f>
        <v>3861000</v>
      </c>
      <c r="BO58" s="80"/>
      <c r="BP58" s="80">
        <f t="shared" si="14"/>
        <v>3861000</v>
      </c>
      <c r="BQ58" s="81"/>
      <c r="BR58" s="73"/>
      <c r="BS58" s="74" t="b">
        <f>+Q58+X58+AE58+AS58+AZ58+BG58+BN58=I58</f>
        <v>1</v>
      </c>
      <c r="BT58" s="74" t="b">
        <f>+R58+Y58+AF58+AT58+BA58+BH58+BO58=K58</f>
        <v>1</v>
      </c>
      <c r="BU58" s="74"/>
      <c r="BV58" s="54"/>
      <c r="BW58" s="54"/>
      <c r="BX58" s="54"/>
      <c r="BY58" s="54"/>
      <c r="BZ58" s="54"/>
      <c r="CA58" s="54"/>
      <c r="CB58" s="54"/>
      <c r="CC58" s="54"/>
      <c r="CD58" s="58"/>
      <c r="CE58" s="58"/>
    </row>
    <row r="59" spans="1:83" ht="16.5" customHeight="1">
      <c r="A59" s="62"/>
      <c r="B59" s="1322"/>
      <c r="C59" s="1330"/>
      <c r="D59" s="1329"/>
      <c r="E59" s="1324"/>
      <c r="F59" s="101" t="s">
        <v>391</v>
      </c>
      <c r="G59" s="102">
        <f>+지급비율!F45/1000*$D$56</f>
        <v>40950000</v>
      </c>
      <c r="H59" s="102">
        <f>+G59*0.1</f>
        <v>4095000</v>
      </c>
      <c r="I59" s="102">
        <f>SUM(G59:H59)</f>
        <v>45045000</v>
      </c>
      <c r="J59" s="101">
        <f t="shared" si="12"/>
        <v>0</v>
      </c>
      <c r="K59" s="106">
        <f>+IFERROR(R59+Y59+AF59+AT59+BA59+BH59+BO59,"-")</f>
        <v>0</v>
      </c>
      <c r="L59" s="106">
        <f>+I59-K59</f>
        <v>45045000</v>
      </c>
      <c r="M59" s="1327"/>
      <c r="N59" s="85"/>
      <c r="O59" s="83"/>
      <c r="P59" s="86"/>
      <c r="Q59" s="70">
        <f>+$I59*지급비율!G45</f>
        <v>0</v>
      </c>
      <c r="R59" s="87"/>
      <c r="S59" s="87"/>
      <c r="T59" s="83"/>
      <c r="U59" s="85"/>
      <c r="V59" s="83"/>
      <c r="W59" s="86"/>
      <c r="X59" s="87">
        <f>+$I59*지급비율!N$45</f>
        <v>0</v>
      </c>
      <c r="Y59" s="87"/>
      <c r="Z59" s="87"/>
      <c r="AA59" s="83"/>
      <c r="AB59" s="85"/>
      <c r="AC59" s="83"/>
      <c r="AD59" s="86"/>
      <c r="AE59" s="70">
        <f>+$I59*지급비율!U45</f>
        <v>0</v>
      </c>
      <c r="AF59" s="87"/>
      <c r="AG59" s="87"/>
      <c r="AH59" s="83"/>
      <c r="AI59" s="85"/>
      <c r="AJ59" s="83"/>
      <c r="AK59" s="86"/>
      <c r="AL59" s="70">
        <f>+$I59*지급비율!AB45</f>
        <v>0</v>
      </c>
      <c r="AM59" s="87"/>
      <c r="AN59" s="87"/>
      <c r="AO59" s="83"/>
      <c r="AP59" s="85"/>
      <c r="AQ59" s="83"/>
      <c r="AR59" s="86"/>
      <c r="AS59" s="70">
        <f>+$I59*지급비율!AI45</f>
        <v>0</v>
      </c>
      <c r="AT59" s="87"/>
      <c r="AU59" s="87"/>
      <c r="AV59" s="83"/>
      <c r="AW59" s="85"/>
      <c r="AX59" s="83"/>
      <c r="AY59" s="86"/>
      <c r="AZ59" s="70">
        <f>+$I59*지급비율!AP45</f>
        <v>0</v>
      </c>
      <c r="BA59" s="87"/>
      <c r="BB59" s="87"/>
      <c r="BC59" s="83"/>
      <c r="BD59" s="85"/>
      <c r="BE59" s="83"/>
      <c r="BF59" s="86"/>
      <c r="BG59" s="70">
        <f>+$I59*지급비율!AW45</f>
        <v>0</v>
      </c>
      <c r="BH59" s="87"/>
      <c r="BI59" s="87"/>
      <c r="BJ59" s="83"/>
      <c r="BK59" s="78">
        <v>46142</v>
      </c>
      <c r="BL59" s="101"/>
      <c r="BM59" s="105">
        <f t="shared" si="13"/>
        <v>1</v>
      </c>
      <c r="BN59" s="70">
        <f>+$I59*지급비율!BD45</f>
        <v>45045000</v>
      </c>
      <c r="BO59" s="106"/>
      <c r="BP59" s="106">
        <f t="shared" si="14"/>
        <v>45045000</v>
      </c>
      <c r="BQ59" s="101"/>
      <c r="BR59" s="88"/>
      <c r="BS59" s="89" t="b">
        <f>+Q59+X59+AE59+AS59+AZ59+BG59+BN59=I59</f>
        <v>1</v>
      </c>
      <c r="BT59" s="90" t="b">
        <f>+R59+Y59+AF59+AT59+BA59+BH59+BO59=K59</f>
        <v>1</v>
      </c>
      <c r="BU59" s="90"/>
      <c r="BV59" s="54"/>
      <c r="BW59" s="54"/>
      <c r="BX59" s="54"/>
      <c r="BY59" s="54"/>
      <c r="BZ59" s="54"/>
      <c r="CA59" s="54"/>
      <c r="CB59" s="54"/>
      <c r="CC59" s="54"/>
      <c r="CD59" s="58"/>
      <c r="CE59" s="58"/>
    </row>
    <row r="60" spans="1:83" ht="16.5" customHeight="1">
      <c r="A60" s="62"/>
      <c r="B60" s="1322"/>
      <c r="C60" s="1330"/>
      <c r="D60" s="1329"/>
      <c r="E60" s="1324"/>
      <c r="F60" s="91" t="s">
        <v>392</v>
      </c>
      <c r="G60" s="92">
        <f>SUM(G56:G59)</f>
        <v>403650000</v>
      </c>
      <c r="H60" s="92">
        <f>SUM(H56:H59)</f>
        <v>40365000</v>
      </c>
      <c r="I60" s="92">
        <f>SUM(I56:I59)</f>
        <v>444015000</v>
      </c>
      <c r="J60" s="91">
        <f t="shared" si="12"/>
        <v>0.31753785345089691</v>
      </c>
      <c r="K60" s="92">
        <f>SUM(K56:K59)</f>
        <v>140991570</v>
      </c>
      <c r="L60" s="92">
        <f>SUM(L56:L59)</f>
        <v>303023430</v>
      </c>
      <c r="M60" s="419">
        <f>+AE57+AE58</f>
        <v>57915000</v>
      </c>
      <c r="N60" s="93"/>
      <c r="O60" s="91"/>
      <c r="P60" s="94">
        <f>+IFERROR(Q60/$I60,"-")</f>
        <v>7.8260869565217397E-2</v>
      </c>
      <c r="Q60" s="92">
        <f>SUM(Q56:Q59)</f>
        <v>34749000</v>
      </c>
      <c r="R60" s="170">
        <f>SUM(R56:R59)</f>
        <v>34749000</v>
      </c>
      <c r="S60" s="95">
        <f>+Q60-R60</f>
        <v>0</v>
      </c>
      <c r="T60" s="91"/>
      <c r="U60" s="93"/>
      <c r="V60" s="91"/>
      <c r="W60" s="94">
        <f>+IFERROR(X60/$I60,"-")</f>
        <v>2.6086956521739129E-2</v>
      </c>
      <c r="X60" s="92">
        <f>SUM(X56:X59)</f>
        <v>11583000</v>
      </c>
      <c r="Y60" s="170">
        <f>SUM(Y56:Y59)</f>
        <v>48327570</v>
      </c>
      <c r="Z60" s="95">
        <f>+X60-Y60</f>
        <v>-36744570</v>
      </c>
      <c r="AA60" s="91"/>
      <c r="AB60" s="93"/>
      <c r="AC60" s="91"/>
      <c r="AD60" s="94">
        <f>+IFERROR(AE60/$I60,"-")</f>
        <v>0.44927536231884058</v>
      </c>
      <c r="AE60" s="92">
        <f>SUM(AE56:AE59)</f>
        <v>199485000</v>
      </c>
      <c r="AF60" s="170">
        <f>SUM(AF56:AF59)</f>
        <v>57915000</v>
      </c>
      <c r="AG60" s="95">
        <f>+AE60-AF60</f>
        <v>141570000</v>
      </c>
      <c r="AH60" s="91"/>
      <c r="AI60" s="93"/>
      <c r="AJ60" s="91"/>
      <c r="AK60" s="94">
        <f>+IFERROR(AL60/$I60,"-")</f>
        <v>0</v>
      </c>
      <c r="AL60" s="92">
        <f>SUM(AL56:AL59)</f>
        <v>0</v>
      </c>
      <c r="AM60" s="92">
        <f>SUM(AM56:AM59)</f>
        <v>0</v>
      </c>
      <c r="AN60" s="95">
        <f>+AL60-AM60</f>
        <v>0</v>
      </c>
      <c r="AO60" s="91"/>
      <c r="AP60" s="93"/>
      <c r="AQ60" s="91"/>
      <c r="AR60" s="94">
        <f>+IFERROR(AS60/$I60,"-")</f>
        <v>0</v>
      </c>
      <c r="AS60" s="92">
        <f>SUM(AS56:AS59)</f>
        <v>0</v>
      </c>
      <c r="AT60" s="92">
        <f>SUM(AT56:AT59)</f>
        <v>0</v>
      </c>
      <c r="AU60" s="95">
        <f>+AS60-AT60</f>
        <v>0</v>
      </c>
      <c r="AV60" s="91"/>
      <c r="AW60" s="93"/>
      <c r="AX60" s="91"/>
      <c r="AY60" s="94">
        <f>+IFERROR(AZ60/$I60,"-")</f>
        <v>0</v>
      </c>
      <c r="AZ60" s="92">
        <f>SUM(AZ56:AZ59)</f>
        <v>0</v>
      </c>
      <c r="BA60" s="92">
        <f>SUM(BA56:BA59)</f>
        <v>0</v>
      </c>
      <c r="BB60" s="95">
        <f>+AZ60-BA60</f>
        <v>0</v>
      </c>
      <c r="BC60" s="91"/>
      <c r="BD60" s="93"/>
      <c r="BE60" s="91"/>
      <c r="BF60" s="94">
        <f>+IFERROR(BG60/$I60,"-")</f>
        <v>0.25507246376811593</v>
      </c>
      <c r="BG60" s="92">
        <f>SUM(BG56:BG59)</f>
        <v>113256000</v>
      </c>
      <c r="BH60" s="92">
        <f>SUM(BH56:BH59)</f>
        <v>0</v>
      </c>
      <c r="BI60" s="95">
        <f>+BG60-BH60</f>
        <v>113256000</v>
      </c>
      <c r="BJ60" s="91"/>
      <c r="BK60" s="93"/>
      <c r="BL60" s="91"/>
      <c r="BM60" s="94">
        <f t="shared" si="13"/>
        <v>0.19130434782608696</v>
      </c>
      <c r="BN60" s="92">
        <f>SUM(BN56:BN59)</f>
        <v>84942000</v>
      </c>
      <c r="BO60" s="92">
        <f>SUM(BO56:BO59)</f>
        <v>0</v>
      </c>
      <c r="BP60" s="95">
        <f t="shared" si="14"/>
        <v>84942000</v>
      </c>
      <c r="BQ60" s="91"/>
      <c r="BR60" s="88"/>
      <c r="BS60" s="96"/>
      <c r="BT60" s="97"/>
      <c r="BU60" s="97"/>
      <c r="BV60" s="54"/>
      <c r="BW60" s="54"/>
      <c r="BX60" s="54"/>
      <c r="BY60" s="54"/>
      <c r="BZ60" s="54"/>
      <c r="CA60" s="54"/>
      <c r="CB60" s="54"/>
      <c r="CC60" s="54"/>
      <c r="CD60" s="58"/>
      <c r="CE60" s="58"/>
    </row>
    <row r="61" spans="1:83" ht="16.5" customHeight="1">
      <c r="A61" s="62"/>
      <c r="B61" s="1322">
        <f t="shared" ref="B61" si="17">+B56+1</f>
        <v>11</v>
      </c>
      <c r="C61" s="1330" t="s">
        <v>401</v>
      </c>
      <c r="D61" s="1329">
        <v>500</v>
      </c>
      <c r="E61" s="1324" t="s">
        <v>387</v>
      </c>
      <c r="F61" s="63" t="s">
        <v>388</v>
      </c>
      <c r="G61" s="76">
        <f>+지급비율!F42*$D$61/1000</f>
        <v>550000000</v>
      </c>
      <c r="H61" s="64">
        <f>+G61*10%</f>
        <v>55000000</v>
      </c>
      <c r="I61" s="64">
        <f>SUM(G61:H61)</f>
        <v>605000000</v>
      </c>
      <c r="J61" s="65">
        <f t="shared" si="12"/>
        <v>0</v>
      </c>
      <c r="K61" s="70">
        <f>+IFERROR(R61+Y61+AF61+AT61+BA61+BH61+BO61,"-")</f>
        <v>0</v>
      </c>
      <c r="L61" s="70">
        <f>+I61-K61</f>
        <v>605000000</v>
      </c>
      <c r="M61" s="1325" t="s">
        <v>264</v>
      </c>
      <c r="N61" s="67"/>
      <c r="O61" s="72"/>
      <c r="P61" s="69"/>
      <c r="Q61" s="70">
        <f>+$I61*지급비율!G$42</f>
        <v>0</v>
      </c>
      <c r="R61" s="70"/>
      <c r="S61" s="70">
        <f>+Q61-R61</f>
        <v>0</v>
      </c>
      <c r="T61" s="81"/>
      <c r="U61" s="67"/>
      <c r="V61" s="68"/>
      <c r="W61" s="69"/>
      <c r="X61" s="70">
        <f>+$I61*지급비율!N$42</f>
        <v>0</v>
      </c>
      <c r="Y61" s="70"/>
      <c r="Z61" s="70">
        <f>+X61-Y61</f>
        <v>0</v>
      </c>
      <c r="AA61" s="71"/>
      <c r="AB61" s="67">
        <f>+EDATE(AI61,-1)+1</f>
        <v>45990</v>
      </c>
      <c r="AC61" s="68"/>
      <c r="AD61" s="69">
        <f>+IFERROR(AE61/$I61,"-")</f>
        <v>0.5</v>
      </c>
      <c r="AE61" s="70">
        <f>+$I61*지급비율!U$42</f>
        <v>302500000</v>
      </c>
      <c r="AF61" s="70"/>
      <c r="AG61" s="70">
        <f>+AE61-AF61</f>
        <v>302500000</v>
      </c>
      <c r="AH61" s="71"/>
      <c r="AI61" s="67">
        <f>+EDATE(AP61,-1)</f>
        <v>46019</v>
      </c>
      <c r="AJ61" s="68"/>
      <c r="AK61" s="69">
        <f>+IFERROR(AL61/$I61,"-")</f>
        <v>0</v>
      </c>
      <c r="AL61" s="70">
        <f>+$I61*지급비율!AB42</f>
        <v>0</v>
      </c>
      <c r="AM61" s="70"/>
      <c r="AN61" s="70">
        <f>+AL61-AM61</f>
        <v>0</v>
      </c>
      <c r="AO61" s="71"/>
      <c r="AP61" s="67">
        <f>+EDATE(AW61,-1)</f>
        <v>46050</v>
      </c>
      <c r="AQ61" s="68"/>
      <c r="AR61" s="69">
        <f>+IFERROR(AS61/$I61,"-")</f>
        <v>0</v>
      </c>
      <c r="AS61" s="70">
        <f>+$I61*지급비율!AI42</f>
        <v>0</v>
      </c>
      <c r="AT61" s="70"/>
      <c r="AU61" s="70">
        <f>+AS61-AT61</f>
        <v>0</v>
      </c>
      <c r="AV61" s="71"/>
      <c r="AW61" s="67">
        <f>+EDATE(BD61,-1)</f>
        <v>46081</v>
      </c>
      <c r="AX61" s="68"/>
      <c r="AY61" s="69">
        <f>+IFERROR(AZ61/$I61,"-")</f>
        <v>0</v>
      </c>
      <c r="AZ61" s="70">
        <f>+$I61*지급비율!AP42</f>
        <v>0</v>
      </c>
      <c r="BA61" s="70"/>
      <c r="BB61" s="70">
        <f>+AZ61-BA61</f>
        <v>0</v>
      </c>
      <c r="BC61" s="71"/>
      <c r="BD61" s="67">
        <f>+EDATE(BK61,-1)</f>
        <v>46111</v>
      </c>
      <c r="BE61" s="68"/>
      <c r="BF61" s="69">
        <f>+IFERROR(BG61/$I61,"-")</f>
        <v>0.4</v>
      </c>
      <c r="BG61" s="70">
        <f>+$I61*지급비율!AW$42</f>
        <v>242000000</v>
      </c>
      <c r="BH61" s="70"/>
      <c r="BI61" s="70">
        <f>+BG61-BH61</f>
        <v>242000000</v>
      </c>
      <c r="BJ61" s="71"/>
      <c r="BK61" s="78">
        <v>46142</v>
      </c>
      <c r="BL61" s="68"/>
      <c r="BM61" s="69">
        <f t="shared" si="13"/>
        <v>0.1</v>
      </c>
      <c r="BN61" s="70">
        <f>+$I61*지급비율!BD$42</f>
        <v>60500000</v>
      </c>
      <c r="BO61" s="70"/>
      <c r="BP61" s="70">
        <f t="shared" si="14"/>
        <v>60500000</v>
      </c>
      <c r="BQ61" s="71"/>
      <c r="BR61" s="73"/>
      <c r="BS61" s="74" t="b">
        <f>+Q61+X61+AE61+AS61+AZ61+BG61+BN61=I61</f>
        <v>1</v>
      </c>
      <c r="BT61" s="74" t="b">
        <f>+R61+Y61+AF61+AT61+BA61+BH61+BO61=K61</f>
        <v>1</v>
      </c>
      <c r="BU61" s="74"/>
      <c r="BV61" s="54"/>
      <c r="BW61" s="54"/>
      <c r="BX61" s="54"/>
      <c r="BY61" s="54"/>
      <c r="BZ61" s="54"/>
      <c r="CA61" s="54"/>
      <c r="CB61" s="54"/>
      <c r="CC61" s="54"/>
      <c r="CD61" s="58"/>
      <c r="CE61" s="58"/>
    </row>
    <row r="62" spans="1:83" ht="16.5" customHeight="1">
      <c r="A62" s="62"/>
      <c r="B62" s="1322"/>
      <c r="C62" s="1330"/>
      <c r="D62" s="1329"/>
      <c r="E62" s="1324"/>
      <c r="F62" s="75" t="s">
        <v>389</v>
      </c>
      <c r="G62" s="76">
        <f>+지급비율!F43*$D$61/1000</f>
        <v>150000000</v>
      </c>
      <c r="H62" s="76">
        <f>+G62*10%</f>
        <v>15000000</v>
      </c>
      <c r="I62" s="76">
        <f>SUM(G62:H62)</f>
        <v>165000000</v>
      </c>
      <c r="J62" s="75">
        <f t="shared" si="12"/>
        <v>0.89970000000000006</v>
      </c>
      <c r="K62" s="80">
        <f>+IFERROR(R62+Y62+AF62+AT62+BA62+BH62+BO62,"-")</f>
        <v>148450500</v>
      </c>
      <c r="L62" s="80">
        <f>+I62-K62</f>
        <v>16549500</v>
      </c>
      <c r="M62" s="1326"/>
      <c r="N62" s="78">
        <v>45855</v>
      </c>
      <c r="O62" s="78">
        <v>45867</v>
      </c>
      <c r="P62" s="79">
        <f>+IFERROR(Q62/$I62,"-")</f>
        <v>0.3</v>
      </c>
      <c r="Q62" s="70">
        <f>+$I62*지급비율!G$43</f>
        <v>49500000</v>
      </c>
      <c r="R62" s="80">
        <v>49500000</v>
      </c>
      <c r="S62" s="80">
        <f>+Q62-R62</f>
        <v>0</v>
      </c>
      <c r="T62" s="81"/>
      <c r="U62" s="78">
        <v>45930</v>
      </c>
      <c r="V62" s="78">
        <v>45922</v>
      </c>
      <c r="W62" s="79">
        <f>+IFERROR(X62/$I62,"-")</f>
        <v>0.1</v>
      </c>
      <c r="X62" s="80">
        <f>+$I62*지급비율!N$43</f>
        <v>16500000</v>
      </c>
      <c r="Y62" s="80">
        <f>16500000-49500</f>
        <v>16450500</v>
      </c>
      <c r="Z62" s="80">
        <f>+X62-Y62</f>
        <v>49500</v>
      </c>
      <c r="AA62" s="81"/>
      <c r="AB62" s="78">
        <v>45961</v>
      </c>
      <c r="AC62" s="78">
        <v>45931</v>
      </c>
      <c r="AD62" s="79">
        <f>+IFERROR(AE62/$I62,"-")</f>
        <v>0.5</v>
      </c>
      <c r="AE62" s="80">
        <f>+$I62*지급비율!U$43</f>
        <v>82500000</v>
      </c>
      <c r="AF62" s="80">
        <v>82500000</v>
      </c>
      <c r="AG62" s="80">
        <f>+AE62-AF62</f>
        <v>0</v>
      </c>
      <c r="AH62" s="81"/>
      <c r="AI62" s="78"/>
      <c r="AJ62" s="78"/>
      <c r="AK62" s="79">
        <f>+IFERROR(AL62/$I62,"-")</f>
        <v>0</v>
      </c>
      <c r="AL62" s="70">
        <f>+$I62*지급비율!AB43</f>
        <v>0</v>
      </c>
      <c r="AM62" s="80"/>
      <c r="AN62" s="80">
        <f>+AL62-AM62</f>
        <v>0</v>
      </c>
      <c r="AO62" s="81"/>
      <c r="AP62" s="78"/>
      <c r="AQ62" s="78"/>
      <c r="AR62" s="79"/>
      <c r="AS62" s="70">
        <f>+$I62*지급비율!AI43</f>
        <v>0</v>
      </c>
      <c r="AT62" s="80"/>
      <c r="AU62" s="80">
        <f>+AS62-AT62</f>
        <v>0</v>
      </c>
      <c r="AV62" s="81"/>
      <c r="AW62" s="78"/>
      <c r="AX62" s="78"/>
      <c r="AY62" s="79"/>
      <c r="AZ62" s="70">
        <f>+$I62*지급비율!AP43</f>
        <v>0</v>
      </c>
      <c r="BA62" s="80"/>
      <c r="BB62" s="80">
        <f>+AZ62-BA62</f>
        <v>0</v>
      </c>
      <c r="BC62" s="81"/>
      <c r="BD62" s="78"/>
      <c r="BE62" s="78"/>
      <c r="BF62" s="79"/>
      <c r="BG62" s="70">
        <f>+$I62*지급비율!AW$43</f>
        <v>0</v>
      </c>
      <c r="BH62" s="80"/>
      <c r="BI62" s="80">
        <f>+BG62-BH62</f>
        <v>0</v>
      </c>
      <c r="BJ62" s="81"/>
      <c r="BK62" s="78">
        <v>46142</v>
      </c>
      <c r="BL62" s="78"/>
      <c r="BM62" s="79">
        <f t="shared" si="13"/>
        <v>0.1</v>
      </c>
      <c r="BN62" s="70">
        <f>+$I62*지급비율!BD$43</f>
        <v>16500000</v>
      </c>
      <c r="BO62" s="80"/>
      <c r="BP62" s="80">
        <f t="shared" si="14"/>
        <v>16500000</v>
      </c>
      <c r="BQ62" s="81"/>
      <c r="BR62" s="73"/>
      <c r="BS62" s="74" t="b">
        <f>+Q62+X62+AE62+AS62+AZ62+BG62+BN62=I62</f>
        <v>1</v>
      </c>
      <c r="BT62" s="74" t="b">
        <f>+R62+Y62+AF62+AT62+BA62+BH62+BO62=K62</f>
        <v>1</v>
      </c>
      <c r="BU62" s="74" t="b">
        <f>+BG62+BG63+AZ62+AZ63+AS62+AS63+AE62+AE63+X62+X63+Q62+Q63+BN62+BN63=([5]지급비율!$F$39+[5]지급비율!$F$40)*1.1*D61/1000</f>
        <v>1</v>
      </c>
      <c r="BV62" s="54"/>
      <c r="BW62" s="54"/>
      <c r="BX62" s="54"/>
      <c r="BY62" s="54"/>
      <c r="BZ62" s="54"/>
      <c r="CA62" s="54"/>
      <c r="CB62" s="54"/>
      <c r="CC62" s="54"/>
      <c r="CD62" s="58"/>
      <c r="CE62" s="58"/>
    </row>
    <row r="63" spans="1:83" ht="16.5" customHeight="1">
      <c r="A63" s="62"/>
      <c r="B63" s="1322"/>
      <c r="C63" s="1330"/>
      <c r="D63" s="1329"/>
      <c r="E63" s="1324"/>
      <c r="F63" s="75" t="s">
        <v>390</v>
      </c>
      <c r="G63" s="76">
        <f>+지급비율!F44*D61/1000</f>
        <v>75000000</v>
      </c>
      <c r="H63" s="76">
        <f>+G63*10%</f>
        <v>7500000</v>
      </c>
      <c r="I63" s="76">
        <f>SUM(G63:H63)</f>
        <v>82500000</v>
      </c>
      <c r="J63" s="75">
        <f t="shared" si="12"/>
        <v>0.89700000000000002</v>
      </c>
      <c r="K63" s="80">
        <f>+IFERROR(R63+Y63+AF63+AT63+BA63+BH63+BO63,"-")</f>
        <v>74002500</v>
      </c>
      <c r="L63" s="80">
        <f>+I63-K63</f>
        <v>8497500</v>
      </c>
      <c r="M63" s="1326"/>
      <c r="N63" s="78">
        <v>45855</v>
      </c>
      <c r="O63" s="78">
        <v>45867</v>
      </c>
      <c r="P63" s="79">
        <f>+IFERROR(Q63/$I63,"-")</f>
        <v>0.3</v>
      </c>
      <c r="Q63" s="70">
        <f>+$I63*지급비율!G$44</f>
        <v>24750000</v>
      </c>
      <c r="R63" s="80">
        <v>24750000</v>
      </c>
      <c r="S63" s="80">
        <f>+Q63-R63</f>
        <v>0</v>
      </c>
      <c r="T63" s="81"/>
      <c r="U63" s="78">
        <v>45930</v>
      </c>
      <c r="V63" s="78">
        <v>45922</v>
      </c>
      <c r="W63" s="79">
        <f>+IFERROR(X63/$I63,"-")</f>
        <v>0.1</v>
      </c>
      <c r="X63" s="80">
        <f>+$I63*지급비율!N$44</f>
        <v>8250000</v>
      </c>
      <c r="Y63" s="80">
        <v>8250000</v>
      </c>
      <c r="Z63" s="80">
        <f>+X63-Y63</f>
        <v>0</v>
      </c>
      <c r="AA63" s="81"/>
      <c r="AB63" s="78">
        <v>45961</v>
      </c>
      <c r="AC63" s="78">
        <v>45931</v>
      </c>
      <c r="AD63" s="79">
        <f>+IFERROR(AE63/$I63,"-")</f>
        <v>0.5</v>
      </c>
      <c r="AE63" s="80">
        <f>+$I63*지급비율!U$44</f>
        <v>41250000</v>
      </c>
      <c r="AF63" s="80">
        <v>41002500</v>
      </c>
      <c r="AG63" s="80">
        <f>+AE63-AF63</f>
        <v>247500</v>
      </c>
      <c r="AH63" s="81"/>
      <c r="AI63" s="72"/>
      <c r="AJ63" s="72"/>
      <c r="AK63" s="79">
        <f>+IFERROR(AL63/$I63,"-")</f>
        <v>0</v>
      </c>
      <c r="AL63" s="70">
        <f>+$I63*지급비율!AB44</f>
        <v>0</v>
      </c>
      <c r="AM63" s="80"/>
      <c r="AN63" s="80">
        <f>+AL63-AM63</f>
        <v>0</v>
      </c>
      <c r="AO63" s="81"/>
      <c r="AP63" s="72"/>
      <c r="AQ63" s="72"/>
      <c r="AR63" s="79"/>
      <c r="AS63" s="70">
        <f>+$I63*지급비율!AI44</f>
        <v>0</v>
      </c>
      <c r="AT63" s="80"/>
      <c r="AU63" s="80">
        <f>+AS63-AT63</f>
        <v>0</v>
      </c>
      <c r="AV63" s="81"/>
      <c r="AW63" s="72"/>
      <c r="AX63" s="72"/>
      <c r="AY63" s="79"/>
      <c r="AZ63" s="70">
        <f>+$I63*지급비율!AP44</f>
        <v>0</v>
      </c>
      <c r="BA63" s="80"/>
      <c r="BB63" s="80">
        <f>+AZ63-BA63</f>
        <v>0</v>
      </c>
      <c r="BC63" s="81"/>
      <c r="BD63" s="72"/>
      <c r="BE63" s="72"/>
      <c r="BF63" s="79"/>
      <c r="BG63" s="70">
        <f>+$I63*지급비율!AW$44</f>
        <v>0</v>
      </c>
      <c r="BH63" s="80"/>
      <c r="BI63" s="80">
        <f>+BG63-BH63</f>
        <v>0</v>
      </c>
      <c r="BJ63" s="81"/>
      <c r="BK63" s="78">
        <v>46142</v>
      </c>
      <c r="BL63" s="72"/>
      <c r="BM63" s="79">
        <f t="shared" si="13"/>
        <v>0.1</v>
      </c>
      <c r="BN63" s="70">
        <f>+$I63*지급비율!BD$44</f>
        <v>8250000</v>
      </c>
      <c r="BO63" s="80"/>
      <c r="BP63" s="80">
        <f t="shared" si="14"/>
        <v>8250000</v>
      </c>
      <c r="BQ63" s="81"/>
      <c r="BR63" s="73"/>
      <c r="BS63" s="74" t="b">
        <f>+Q63+X63+AE63+AS63+AZ63+BG63+BN63=I63</f>
        <v>1</v>
      </c>
      <c r="BT63" s="74" t="b">
        <f>+R63+Y63+AF63+AT63+BA63+BH63+BO63=K63</f>
        <v>1</v>
      </c>
      <c r="BU63" s="74"/>
      <c r="BV63" s="54"/>
      <c r="BW63" s="54"/>
      <c r="BX63" s="54"/>
      <c r="BY63" s="54"/>
      <c r="BZ63" s="54"/>
      <c r="CA63" s="54"/>
      <c r="CB63" s="54"/>
      <c r="CC63" s="54"/>
      <c r="CD63" s="58"/>
      <c r="CE63" s="58"/>
    </row>
    <row r="64" spans="1:83" ht="16.5" customHeight="1">
      <c r="A64" s="62"/>
      <c r="B64" s="1322"/>
      <c r="C64" s="1330"/>
      <c r="D64" s="1329"/>
      <c r="E64" s="1324"/>
      <c r="F64" s="101" t="s">
        <v>391</v>
      </c>
      <c r="G64" s="102">
        <f>+지급비율!F45*D61/1000</f>
        <v>87500000</v>
      </c>
      <c r="H64" s="102">
        <f>+G64*0.1</f>
        <v>8750000</v>
      </c>
      <c r="I64" s="102">
        <f>SUM(G64:H64)</f>
        <v>96250000</v>
      </c>
      <c r="J64" s="101">
        <f t="shared" si="12"/>
        <v>0</v>
      </c>
      <c r="K64" s="106">
        <f>+IFERROR(R64+Y64+AF64+AT64+BA64+BH64+BO64,"-")</f>
        <v>0</v>
      </c>
      <c r="L64" s="106">
        <f>+I64-K64</f>
        <v>96250000</v>
      </c>
      <c r="M64" s="1327"/>
      <c r="N64" s="85"/>
      <c r="O64" s="83"/>
      <c r="P64" s="86"/>
      <c r="Q64" s="70">
        <f>+$I64*지급비율!G$45</f>
        <v>0</v>
      </c>
      <c r="R64" s="87"/>
      <c r="S64" s="87"/>
      <c r="T64" s="83"/>
      <c r="U64" s="85"/>
      <c r="V64" s="83"/>
      <c r="W64" s="86"/>
      <c r="X64" s="87">
        <f>+$I64*지급비율!N$45</f>
        <v>0</v>
      </c>
      <c r="Y64" s="87"/>
      <c r="Z64" s="87"/>
      <c r="AA64" s="83"/>
      <c r="AB64" s="78"/>
      <c r="AC64" s="78"/>
      <c r="AD64" s="79"/>
      <c r="AE64" s="80">
        <f>+$I64*지급비율!U$45</f>
        <v>0</v>
      </c>
      <c r="AF64" s="80"/>
      <c r="AG64" s="80"/>
      <c r="AH64" s="81"/>
      <c r="AI64" s="85"/>
      <c r="AJ64" s="83"/>
      <c r="AK64" s="86"/>
      <c r="AL64" s="70">
        <f>+$I64*지급비율!AB45</f>
        <v>0</v>
      </c>
      <c r="AM64" s="87"/>
      <c r="AN64" s="87"/>
      <c r="AO64" s="83"/>
      <c r="AP64" s="85"/>
      <c r="AQ64" s="83"/>
      <c r="AR64" s="86"/>
      <c r="AS64" s="70">
        <f>+$I64*지급비율!AI45</f>
        <v>0</v>
      </c>
      <c r="AT64" s="87"/>
      <c r="AU64" s="87"/>
      <c r="AV64" s="83"/>
      <c r="AW64" s="85"/>
      <c r="AX64" s="83"/>
      <c r="AY64" s="86"/>
      <c r="AZ64" s="70">
        <f>+$I64*지급비율!AP45</f>
        <v>0</v>
      </c>
      <c r="BA64" s="87"/>
      <c r="BB64" s="87"/>
      <c r="BC64" s="83"/>
      <c r="BD64" s="85"/>
      <c r="BE64" s="83"/>
      <c r="BF64" s="86"/>
      <c r="BG64" s="70">
        <f>+$I64*지급비율!AW$45</f>
        <v>0</v>
      </c>
      <c r="BH64" s="87"/>
      <c r="BI64" s="87"/>
      <c r="BJ64" s="83"/>
      <c r="BK64" s="78">
        <v>46142</v>
      </c>
      <c r="BL64" s="101"/>
      <c r="BM64" s="105">
        <f t="shared" si="13"/>
        <v>1</v>
      </c>
      <c r="BN64" s="70">
        <f>+$I64*지급비율!BD$45</f>
        <v>96250000</v>
      </c>
      <c r="BO64" s="106"/>
      <c r="BP64" s="106">
        <f t="shared" si="14"/>
        <v>96250000</v>
      </c>
      <c r="BQ64" s="101"/>
      <c r="BR64" s="88"/>
      <c r="BS64" s="89" t="b">
        <f>+Q64+X64+AE64+AS64+AZ64+BG64+BN64=I64</f>
        <v>1</v>
      </c>
      <c r="BT64" s="90" t="b">
        <f>+R64+Y64+AF64+AT64+BA64+BH64+BO64=K64</f>
        <v>1</v>
      </c>
      <c r="BU64" s="90"/>
      <c r="BV64" s="54"/>
      <c r="BW64" s="54"/>
      <c r="BX64" s="54"/>
      <c r="BY64" s="54"/>
      <c r="BZ64" s="54"/>
      <c r="CA64" s="54"/>
      <c r="CB64" s="54"/>
      <c r="CC64" s="54"/>
      <c r="CD64" s="58"/>
      <c r="CE64" s="58"/>
    </row>
    <row r="65" spans="1:83" ht="16.5" customHeight="1">
      <c r="A65" s="62"/>
      <c r="B65" s="1322"/>
      <c r="C65" s="1330"/>
      <c r="D65" s="1329"/>
      <c r="E65" s="1324"/>
      <c r="F65" s="91" t="s">
        <v>392</v>
      </c>
      <c r="G65" s="92">
        <f>SUM(G61:G64)</f>
        <v>862500000</v>
      </c>
      <c r="H65" s="92">
        <f>SUM(H61:H64)</f>
        <v>86250000</v>
      </c>
      <c r="I65" s="92">
        <f>SUM(I61:I64)</f>
        <v>948750000</v>
      </c>
      <c r="J65" s="91">
        <f t="shared" si="12"/>
        <v>0.23446956521739132</v>
      </c>
      <c r="K65" s="92">
        <f>SUM(K61:K64)</f>
        <v>222453000</v>
      </c>
      <c r="L65" s="92">
        <f>SUM(L61:L64)</f>
        <v>726297000</v>
      </c>
      <c r="M65" s="419">
        <f>+X62+X63</f>
        <v>24750000</v>
      </c>
      <c r="N65" s="93"/>
      <c r="O65" s="91"/>
      <c r="P65" s="94">
        <f>+IFERROR(Q65/$I65,"-")</f>
        <v>7.8260869565217397E-2</v>
      </c>
      <c r="Q65" s="92">
        <f>SUM(Q61:Q64)</f>
        <v>74250000</v>
      </c>
      <c r="R65" s="170">
        <f>SUM(R61:R64)</f>
        <v>74250000</v>
      </c>
      <c r="S65" s="95">
        <f>+Q65-R65</f>
        <v>0</v>
      </c>
      <c r="T65" s="91"/>
      <c r="U65" s="93"/>
      <c r="V65" s="91"/>
      <c r="W65" s="94">
        <f>+IFERROR(X65/$I65,"-")</f>
        <v>2.6086956521739129E-2</v>
      </c>
      <c r="X65" s="92">
        <f>SUM(X61:X64)</f>
        <v>24750000</v>
      </c>
      <c r="Y65" s="170">
        <f>SUM(Y61:Y64)</f>
        <v>24700500</v>
      </c>
      <c r="Z65" s="95">
        <f>+X65-Y65</f>
        <v>49500</v>
      </c>
      <c r="AA65" s="91"/>
      <c r="AB65" s="93"/>
      <c r="AC65" s="91"/>
      <c r="AD65" s="94">
        <f>+IFERROR(AE65/$I65,"-")</f>
        <v>0.44927536231884058</v>
      </c>
      <c r="AE65" s="92">
        <f>SUM(AE61:AE64)</f>
        <v>426250000</v>
      </c>
      <c r="AF65" s="170">
        <f>SUM(AF61:AF64)</f>
        <v>123502500</v>
      </c>
      <c r="AG65" s="95">
        <f>+AE65-AF65</f>
        <v>302747500</v>
      </c>
      <c r="AH65" s="91"/>
      <c r="AI65" s="93"/>
      <c r="AJ65" s="91"/>
      <c r="AK65" s="94">
        <f>+IFERROR(AL65/$I65,"-")</f>
        <v>0</v>
      </c>
      <c r="AL65" s="92">
        <f>SUM(AL61:AL64)</f>
        <v>0</v>
      </c>
      <c r="AM65" s="92">
        <f>SUM(AM61:AM64)</f>
        <v>0</v>
      </c>
      <c r="AN65" s="95">
        <f>+AL65-AM65</f>
        <v>0</v>
      </c>
      <c r="AO65" s="91"/>
      <c r="AP65" s="93"/>
      <c r="AQ65" s="91"/>
      <c r="AR65" s="94">
        <f>+IFERROR(AS65/$I65,"-")</f>
        <v>0</v>
      </c>
      <c r="AS65" s="92">
        <f>SUM(AS61:AS64)</f>
        <v>0</v>
      </c>
      <c r="AT65" s="92">
        <f>SUM(AT61:AT64)</f>
        <v>0</v>
      </c>
      <c r="AU65" s="95">
        <f>+AS65-AT65</f>
        <v>0</v>
      </c>
      <c r="AV65" s="91"/>
      <c r="AW65" s="93"/>
      <c r="AX65" s="91"/>
      <c r="AY65" s="94">
        <f>+IFERROR(AZ65/$I65,"-")</f>
        <v>0</v>
      </c>
      <c r="AZ65" s="92">
        <f>SUM(AZ61:AZ64)</f>
        <v>0</v>
      </c>
      <c r="BA65" s="92">
        <f>SUM(BA61:BA64)</f>
        <v>0</v>
      </c>
      <c r="BB65" s="95">
        <f>+AZ65-BA65</f>
        <v>0</v>
      </c>
      <c r="BC65" s="91"/>
      <c r="BD65" s="93"/>
      <c r="BE65" s="91"/>
      <c r="BF65" s="94">
        <f>+IFERROR(BG65/$I65,"-")</f>
        <v>0.25507246376811593</v>
      </c>
      <c r="BG65" s="92">
        <f>SUM(BG61:BG64)</f>
        <v>242000000</v>
      </c>
      <c r="BH65" s="92">
        <f>SUM(BH61:BH64)</f>
        <v>0</v>
      </c>
      <c r="BI65" s="95">
        <f>+BG65-BH65</f>
        <v>242000000</v>
      </c>
      <c r="BJ65" s="91"/>
      <c r="BK65" s="93"/>
      <c r="BL65" s="91"/>
      <c r="BM65" s="94">
        <f t="shared" si="13"/>
        <v>0.19130434782608696</v>
      </c>
      <c r="BN65" s="92">
        <f>SUM(BN61:BN64)</f>
        <v>181500000</v>
      </c>
      <c r="BO65" s="92">
        <f>SUM(BO61:BO64)</f>
        <v>0</v>
      </c>
      <c r="BP65" s="95">
        <f t="shared" si="14"/>
        <v>181500000</v>
      </c>
      <c r="BQ65" s="91"/>
      <c r="BR65" s="88"/>
      <c r="BS65" s="96"/>
      <c r="BT65" s="97"/>
      <c r="BU65" s="97"/>
      <c r="BV65" s="54"/>
      <c r="BW65" s="54"/>
      <c r="BX65" s="54"/>
      <c r="BY65" s="54"/>
      <c r="BZ65" s="54"/>
      <c r="CA65" s="54"/>
      <c r="CB65" s="54"/>
      <c r="CC65" s="54"/>
      <c r="CD65" s="58"/>
      <c r="CE65" s="58"/>
    </row>
    <row r="66" spans="1:83" ht="16.5" customHeight="1">
      <c r="A66" s="62"/>
      <c r="B66" s="1322">
        <f t="shared" ref="B66" si="18">+B61+1</f>
        <v>12</v>
      </c>
      <c r="C66" s="1330" t="s">
        <v>402</v>
      </c>
      <c r="D66" s="1329">
        <v>127</v>
      </c>
      <c r="E66" s="1324" t="s">
        <v>387</v>
      </c>
      <c r="F66" s="63" t="s">
        <v>388</v>
      </c>
      <c r="G66" s="76">
        <f>+지급비율!F42*$D$66/1000</f>
        <v>139700000</v>
      </c>
      <c r="H66" s="64">
        <f>+G66*10%</f>
        <v>13970000</v>
      </c>
      <c r="I66" s="64">
        <f t="shared" ref="I66:I68" si="19">SUM(G66:H66)</f>
        <v>153670000</v>
      </c>
      <c r="J66" s="65">
        <f t="shared" ref="J66:J70" si="20">+IFERROR(K66/I66,"-")</f>
        <v>0</v>
      </c>
      <c r="K66" s="70">
        <f t="shared" ref="K66:K69" si="21">+IFERROR(R66+Y66+AF66+AT66+BA66+BH66+BO66,"-")</f>
        <v>0</v>
      </c>
      <c r="L66" s="70">
        <f>+I66-K66</f>
        <v>153670000</v>
      </c>
      <c r="M66" s="1331" t="s">
        <v>403</v>
      </c>
      <c r="N66" s="67"/>
      <c r="O66" s="72"/>
      <c r="P66" s="69"/>
      <c r="Q66" s="70">
        <f>+$I66*지급비율!G$42</f>
        <v>0</v>
      </c>
      <c r="R66" s="70"/>
      <c r="S66" s="70">
        <f>+Q66-R66</f>
        <v>0</v>
      </c>
      <c r="T66" s="81"/>
      <c r="U66" s="67"/>
      <c r="V66" s="68"/>
      <c r="W66" s="69"/>
      <c r="X66" s="70">
        <f>+$I66*지급비율!N$42</f>
        <v>0</v>
      </c>
      <c r="Y66" s="70"/>
      <c r="Z66" s="70">
        <f>+X66-Y66</f>
        <v>0</v>
      </c>
      <c r="AA66" s="71"/>
      <c r="AB66" s="67">
        <f>+EDATE(AI66,0)</f>
        <v>46019</v>
      </c>
      <c r="AC66" s="68"/>
      <c r="AD66" s="69">
        <f>+IFERROR(AE66/$I66,"-")</f>
        <v>0.5</v>
      </c>
      <c r="AE66" s="70">
        <f>+$I66*지급비율!U$42</f>
        <v>76835000</v>
      </c>
      <c r="AF66" s="70"/>
      <c r="AG66" s="70">
        <f>+AE66-AF66</f>
        <v>76835000</v>
      </c>
      <c r="AH66" s="71"/>
      <c r="AI66" s="67">
        <f>+EDATE(AP66,-1)</f>
        <v>46019</v>
      </c>
      <c r="AJ66" s="68"/>
      <c r="AK66" s="69">
        <f>+IFERROR(AL66/$I66,"-")</f>
        <v>0</v>
      </c>
      <c r="AL66" s="70">
        <f>+$I66*지급비율!AB74</f>
        <v>0</v>
      </c>
      <c r="AM66" s="70"/>
      <c r="AN66" s="70">
        <f>+AL66-AM66</f>
        <v>0</v>
      </c>
      <c r="AO66" s="71"/>
      <c r="AP66" s="67">
        <f>+EDATE(AW66,-1)</f>
        <v>46050</v>
      </c>
      <c r="AQ66" s="68"/>
      <c r="AR66" s="69">
        <f>+IFERROR(AS66/$I66,"-")</f>
        <v>0</v>
      </c>
      <c r="AS66" s="70">
        <f>+$I66*지급비율!AI74</f>
        <v>0</v>
      </c>
      <c r="AT66" s="70"/>
      <c r="AU66" s="70">
        <f>+AS66-AT66</f>
        <v>0</v>
      </c>
      <c r="AV66" s="71"/>
      <c r="AW66" s="67">
        <f>+EDATE(BD66,-1)</f>
        <v>46081</v>
      </c>
      <c r="AX66" s="68"/>
      <c r="AY66" s="69">
        <f>+IFERROR(AZ66/$I66,"-")</f>
        <v>0</v>
      </c>
      <c r="AZ66" s="70">
        <f>+$I66*지급비율!AP74</f>
        <v>0</v>
      </c>
      <c r="BA66" s="70"/>
      <c r="BB66" s="70">
        <f>+AZ66-BA66</f>
        <v>0</v>
      </c>
      <c r="BC66" s="71"/>
      <c r="BD66" s="67">
        <f>+EDATE(BK66,-1)</f>
        <v>46111</v>
      </c>
      <c r="BE66" s="68"/>
      <c r="BF66" s="69">
        <f>+IFERROR(BG66/$I66,"-")</f>
        <v>0.4</v>
      </c>
      <c r="BG66" s="70">
        <f>+$I66*지급비율!AW$42</f>
        <v>61468000</v>
      </c>
      <c r="BH66" s="70"/>
      <c r="BI66" s="70">
        <f>+BG66-BH66</f>
        <v>61468000</v>
      </c>
      <c r="BJ66" s="71"/>
      <c r="BK66" s="78">
        <v>46142</v>
      </c>
      <c r="BL66" s="68"/>
      <c r="BM66" s="69">
        <f t="shared" si="13"/>
        <v>0.1</v>
      </c>
      <c r="BN66" s="70">
        <f>+$I66*지급비율!BD$42</f>
        <v>15367000</v>
      </c>
      <c r="BO66" s="70"/>
      <c r="BP66" s="70">
        <f t="shared" si="14"/>
        <v>15367000</v>
      </c>
      <c r="BQ66" s="71"/>
      <c r="BR66" s="73"/>
      <c r="BS66" s="74" t="b">
        <f>+Q66+X66+AE66+AS66+AZ66+BG66+BN66=I66</f>
        <v>1</v>
      </c>
      <c r="BT66" s="74" t="b">
        <f>+R66+Y66+AF66+AT66+BA66+BH66+BO66=K66</f>
        <v>1</v>
      </c>
      <c r="BU66" s="74"/>
      <c r="BV66" s="54"/>
      <c r="BW66" s="54"/>
      <c r="BX66" s="54"/>
      <c r="BY66" s="54"/>
      <c r="BZ66" s="54"/>
      <c r="CA66" s="54"/>
      <c r="CB66" s="54"/>
      <c r="CC66" s="54"/>
      <c r="CD66" s="58"/>
      <c r="CE66" s="58"/>
    </row>
    <row r="67" spans="1:83" ht="16.5" customHeight="1">
      <c r="A67" s="62"/>
      <c r="B67" s="1322"/>
      <c r="C67" s="1330"/>
      <c r="D67" s="1329"/>
      <c r="E67" s="1324"/>
      <c r="F67" s="75" t="s">
        <v>389</v>
      </c>
      <c r="G67" s="76">
        <f>+지급비율!F43*$D$66/1000</f>
        <v>38100000</v>
      </c>
      <c r="H67" s="76">
        <f>+G67*10%</f>
        <v>3810000</v>
      </c>
      <c r="I67" s="76">
        <f t="shared" si="19"/>
        <v>41910000</v>
      </c>
      <c r="J67" s="75">
        <f t="shared" si="20"/>
        <v>0.3</v>
      </c>
      <c r="K67" s="80">
        <f t="shared" si="21"/>
        <v>12573000</v>
      </c>
      <c r="L67" s="80">
        <f t="shared" ref="L67:L69" si="22">+I67-K67</f>
        <v>29337000</v>
      </c>
      <c r="M67" s="1332"/>
      <c r="N67" s="78">
        <v>45930</v>
      </c>
      <c r="O67" s="78">
        <v>45922</v>
      </c>
      <c r="P67" s="79">
        <f t="shared" ref="P67:P68" si="23">+IFERROR(Q67/$I67,"-")</f>
        <v>0.3</v>
      </c>
      <c r="Q67" s="70">
        <f>+$I67*지급비율!G$43</f>
        <v>12573000</v>
      </c>
      <c r="R67" s="80">
        <v>12573000</v>
      </c>
      <c r="S67" s="80">
        <f t="shared" ref="S67:S68" si="24">+Q67-R67</f>
        <v>0</v>
      </c>
      <c r="T67" s="81"/>
      <c r="U67" s="284">
        <v>45991</v>
      </c>
      <c r="V67" s="284"/>
      <c r="W67" s="286">
        <f t="shared" ref="W67:W68" si="25">+IFERROR(X67/$I67,"-")</f>
        <v>0.1</v>
      </c>
      <c r="X67" s="290">
        <f>+$I67*지급비율!N$43</f>
        <v>4191000</v>
      </c>
      <c r="Y67" s="290"/>
      <c r="Z67" s="290">
        <f t="shared" ref="Z67:Z68" si="26">+X67-Y67</f>
        <v>4191000</v>
      </c>
      <c r="AA67" s="288"/>
      <c r="AB67" s="78">
        <v>46022</v>
      </c>
      <c r="AC67" s="78"/>
      <c r="AD67" s="79">
        <f t="shared" ref="AD67:AD68" si="27">+IFERROR(AE67/$I67,"-")</f>
        <v>0.5</v>
      </c>
      <c r="AE67" s="70">
        <f>+$I67*지급비율!U$43</f>
        <v>20955000</v>
      </c>
      <c r="AF67" s="80"/>
      <c r="AG67" s="80">
        <f t="shared" ref="AG67:AG68" si="28">+AE67-AF67</f>
        <v>20955000</v>
      </c>
      <c r="AH67" s="81"/>
      <c r="AI67" s="78"/>
      <c r="AJ67" s="78"/>
      <c r="AK67" s="79">
        <f t="shared" ref="AK67:AK68" si="29">+IFERROR(AL67/$I67,"-")</f>
        <v>0</v>
      </c>
      <c r="AL67" s="70">
        <f>+$I67*지급비율!AB75</f>
        <v>0</v>
      </c>
      <c r="AM67" s="80"/>
      <c r="AN67" s="80">
        <f t="shared" ref="AN67:AN68" si="30">+AL67-AM67</f>
        <v>0</v>
      </c>
      <c r="AO67" s="81"/>
      <c r="AP67" s="78"/>
      <c r="AQ67" s="78"/>
      <c r="AR67" s="79"/>
      <c r="AS67" s="70">
        <f>+$I67*지급비율!AI75</f>
        <v>0</v>
      </c>
      <c r="AT67" s="80"/>
      <c r="AU67" s="80">
        <f t="shared" ref="AU67:AU68" si="31">+AS67-AT67</f>
        <v>0</v>
      </c>
      <c r="AV67" s="81"/>
      <c r="AW67" s="78"/>
      <c r="AX67" s="78"/>
      <c r="AY67" s="79"/>
      <c r="AZ67" s="70">
        <f>+$I67*지급비율!AP75</f>
        <v>0</v>
      </c>
      <c r="BA67" s="80"/>
      <c r="BB67" s="80">
        <f t="shared" ref="BB67:BB68" si="32">+AZ67-BA67</f>
        <v>0</v>
      </c>
      <c r="BC67" s="81"/>
      <c r="BD67" s="78"/>
      <c r="BE67" s="78"/>
      <c r="BF67" s="79"/>
      <c r="BG67" s="70">
        <f>+$I67*지급비율!AW$43</f>
        <v>0</v>
      </c>
      <c r="BH67" s="80"/>
      <c r="BI67" s="80">
        <f t="shared" ref="BI67:BI68" si="33">+BG67-BH67</f>
        <v>0</v>
      </c>
      <c r="BJ67" s="81"/>
      <c r="BK67" s="78">
        <v>46142</v>
      </c>
      <c r="BL67" s="78"/>
      <c r="BM67" s="79">
        <f t="shared" ref="BM67:BM70" si="34">+IFERROR(BN67/$I67,"-")</f>
        <v>0.1</v>
      </c>
      <c r="BN67" s="70">
        <f>+$I67*지급비율!BD$43</f>
        <v>4191000</v>
      </c>
      <c r="BO67" s="80"/>
      <c r="BP67" s="80">
        <f t="shared" ref="BP67:BP70" si="35">+BN67-BO67</f>
        <v>4191000</v>
      </c>
      <c r="BQ67" s="81"/>
      <c r="BR67" s="73"/>
      <c r="BS67" s="74" t="b">
        <f t="shared" ref="BS67:BS68" si="36">+Q67+X67+AE67+AS67+AZ67+BG67+BN67=I67</f>
        <v>1</v>
      </c>
      <c r="BT67" s="74" t="b">
        <f t="shared" ref="BT67:BT69" si="37">+R67+Y67+AF67+AT67+BA67+BH67+BO67=K67</f>
        <v>1</v>
      </c>
      <c r="BU67" s="74" t="b">
        <f>+BG67+BG68+AZ67+AZ68+AS67+AS68+AE67+AE68+X67+X68+Q67+Q68+BN67+BN68=([5]지급비율!$F$39+[5]지급비율!$F$40)*1.1*D66/1000</f>
        <v>1</v>
      </c>
      <c r="BV67" s="54"/>
      <c r="BW67" s="54"/>
      <c r="BX67" s="54"/>
      <c r="BY67" s="54"/>
      <c r="BZ67" s="54"/>
      <c r="CA67" s="54"/>
      <c r="CB67" s="54"/>
      <c r="CC67" s="54"/>
      <c r="CD67" s="58"/>
      <c r="CE67" s="58"/>
    </row>
    <row r="68" spans="1:83" ht="16.5" customHeight="1">
      <c r="A68" s="62"/>
      <c r="B68" s="1322"/>
      <c r="C68" s="1330"/>
      <c r="D68" s="1329"/>
      <c r="E68" s="1324"/>
      <c r="F68" s="75" t="s">
        <v>390</v>
      </c>
      <c r="G68" s="76">
        <f>+지급비율!F44*$D$66/1000</f>
        <v>19050000</v>
      </c>
      <c r="H68" s="76">
        <f t="shared" ref="H68" si="38">+G68*10%</f>
        <v>1905000</v>
      </c>
      <c r="I68" s="76">
        <f t="shared" si="19"/>
        <v>20955000</v>
      </c>
      <c r="J68" s="75">
        <f t="shared" si="20"/>
        <v>0.3</v>
      </c>
      <c r="K68" s="80">
        <f t="shared" si="21"/>
        <v>6286500</v>
      </c>
      <c r="L68" s="80">
        <f t="shared" si="22"/>
        <v>14668500</v>
      </c>
      <c r="M68" s="1332"/>
      <c r="N68" s="78">
        <v>45930</v>
      </c>
      <c r="O68" s="78">
        <v>45922</v>
      </c>
      <c r="P68" s="79">
        <f t="shared" si="23"/>
        <v>0.3</v>
      </c>
      <c r="Q68" s="70">
        <f>+$I68*지급비율!G$44</f>
        <v>6286500</v>
      </c>
      <c r="R68" s="80">
        <v>6286500</v>
      </c>
      <c r="S68" s="80">
        <f t="shared" si="24"/>
        <v>0</v>
      </c>
      <c r="T68" s="81"/>
      <c r="U68" s="284">
        <v>45991</v>
      </c>
      <c r="V68" s="285"/>
      <c r="W68" s="286">
        <f t="shared" si="25"/>
        <v>0.1</v>
      </c>
      <c r="X68" s="290">
        <f>+$I68*지급비율!N$44</f>
        <v>2095500</v>
      </c>
      <c r="Y68" s="290"/>
      <c r="Z68" s="290">
        <f t="shared" si="26"/>
        <v>2095500</v>
      </c>
      <c r="AA68" s="288"/>
      <c r="AB68" s="78">
        <v>46022</v>
      </c>
      <c r="AC68" s="72"/>
      <c r="AD68" s="79">
        <f t="shared" si="27"/>
        <v>0.5</v>
      </c>
      <c r="AE68" s="70">
        <f>+$I68*지급비율!U$44</f>
        <v>10477500</v>
      </c>
      <c r="AF68" s="80"/>
      <c r="AG68" s="80">
        <f t="shared" si="28"/>
        <v>10477500</v>
      </c>
      <c r="AH68" s="81"/>
      <c r="AI68" s="72"/>
      <c r="AJ68" s="72"/>
      <c r="AK68" s="79">
        <f t="shared" si="29"/>
        <v>0</v>
      </c>
      <c r="AL68" s="70">
        <f>+$I68*지급비율!AB76</f>
        <v>0</v>
      </c>
      <c r="AM68" s="80"/>
      <c r="AN68" s="80">
        <f t="shared" si="30"/>
        <v>0</v>
      </c>
      <c r="AO68" s="81"/>
      <c r="AP68" s="72"/>
      <c r="AQ68" s="72"/>
      <c r="AR68" s="79"/>
      <c r="AS68" s="70">
        <f>+$I68*지급비율!AI76</f>
        <v>0</v>
      </c>
      <c r="AT68" s="80"/>
      <c r="AU68" s="80">
        <f t="shared" si="31"/>
        <v>0</v>
      </c>
      <c r="AV68" s="81"/>
      <c r="AW68" s="72"/>
      <c r="AX68" s="72"/>
      <c r="AY68" s="79"/>
      <c r="AZ68" s="70">
        <f>+$I68*지급비율!AP76</f>
        <v>0</v>
      </c>
      <c r="BA68" s="80"/>
      <c r="BB68" s="80">
        <f t="shared" si="32"/>
        <v>0</v>
      </c>
      <c r="BC68" s="81"/>
      <c r="BD68" s="72"/>
      <c r="BE68" s="72"/>
      <c r="BF68" s="79"/>
      <c r="BG68" s="70">
        <f>+$I68*지급비율!AW$44</f>
        <v>0</v>
      </c>
      <c r="BH68" s="80"/>
      <c r="BI68" s="80">
        <f t="shared" si="33"/>
        <v>0</v>
      </c>
      <c r="BJ68" s="81"/>
      <c r="BK68" s="78">
        <v>46142</v>
      </c>
      <c r="BL68" s="72"/>
      <c r="BM68" s="79">
        <f t="shared" si="34"/>
        <v>0.1</v>
      </c>
      <c r="BN68" s="70">
        <f>+$I68*지급비율!BD$44</f>
        <v>2095500</v>
      </c>
      <c r="BO68" s="80"/>
      <c r="BP68" s="80">
        <f t="shared" si="35"/>
        <v>2095500</v>
      </c>
      <c r="BQ68" s="81"/>
      <c r="BR68" s="73"/>
      <c r="BS68" s="74" t="b">
        <f t="shared" si="36"/>
        <v>1</v>
      </c>
      <c r="BT68" s="74" t="b">
        <f t="shared" si="37"/>
        <v>1</v>
      </c>
      <c r="BU68" s="74"/>
      <c r="BV68" s="54"/>
      <c r="BW68" s="54"/>
      <c r="BX68" s="54"/>
      <c r="BY68" s="54"/>
      <c r="BZ68" s="54"/>
      <c r="CA68" s="54"/>
      <c r="CB68" s="54"/>
      <c r="CC68" s="54"/>
      <c r="CD68" s="58"/>
      <c r="CE68" s="58"/>
    </row>
    <row r="69" spans="1:83" ht="16.5" customHeight="1">
      <c r="A69" s="62"/>
      <c r="B69" s="1322"/>
      <c r="C69" s="1330"/>
      <c r="D69" s="1329"/>
      <c r="E69" s="1324"/>
      <c r="F69" s="101" t="s">
        <v>391</v>
      </c>
      <c r="G69" s="102">
        <f>+지급비율!F45*$D$66/1000</f>
        <v>22225000</v>
      </c>
      <c r="H69" s="102">
        <f>+G69*0.1</f>
        <v>2222500</v>
      </c>
      <c r="I69" s="102">
        <f>SUM(G69:H69)</f>
        <v>24447500</v>
      </c>
      <c r="J69" s="101">
        <f t="shared" si="20"/>
        <v>0</v>
      </c>
      <c r="K69" s="106">
        <f t="shared" si="21"/>
        <v>0</v>
      </c>
      <c r="L69" s="106">
        <f t="shared" si="22"/>
        <v>24447500</v>
      </c>
      <c r="M69" s="1333"/>
      <c r="N69" s="85"/>
      <c r="O69" s="83"/>
      <c r="P69" s="86"/>
      <c r="Q69" s="70">
        <f>+$I69*지급비율!G$45</f>
        <v>0</v>
      </c>
      <c r="R69" s="87"/>
      <c r="S69" s="87"/>
      <c r="T69" s="83"/>
      <c r="U69" s="85"/>
      <c r="V69" s="83"/>
      <c r="W69" s="86"/>
      <c r="X69" s="87">
        <f>+$I69*지급비율!N$45</f>
        <v>0</v>
      </c>
      <c r="Y69" s="87"/>
      <c r="Z69" s="87"/>
      <c r="AA69" s="83"/>
      <c r="AB69" s="85"/>
      <c r="AC69" s="83"/>
      <c r="AD69" s="86"/>
      <c r="AE69" s="70">
        <f>+$I69*지급비율!U$45</f>
        <v>0</v>
      </c>
      <c r="AF69" s="87"/>
      <c r="AG69" s="87"/>
      <c r="AH69" s="83"/>
      <c r="AI69" s="85"/>
      <c r="AJ69" s="83"/>
      <c r="AK69" s="86"/>
      <c r="AL69" s="70">
        <f>+$I69*지급비율!AB77</f>
        <v>0</v>
      </c>
      <c r="AM69" s="87"/>
      <c r="AN69" s="87"/>
      <c r="AO69" s="83"/>
      <c r="AP69" s="85"/>
      <c r="AQ69" s="83"/>
      <c r="AR69" s="86"/>
      <c r="AS69" s="70">
        <f>+$I69*지급비율!AI77</f>
        <v>0</v>
      </c>
      <c r="AT69" s="87"/>
      <c r="AU69" s="87"/>
      <c r="AV69" s="83"/>
      <c r="AW69" s="85"/>
      <c r="AX69" s="83"/>
      <c r="AY69" s="86"/>
      <c r="AZ69" s="70">
        <f>+$I69*지급비율!AP77</f>
        <v>0</v>
      </c>
      <c r="BA69" s="87"/>
      <c r="BB69" s="87"/>
      <c r="BC69" s="83"/>
      <c r="BD69" s="85"/>
      <c r="BE69" s="83"/>
      <c r="BF69" s="86"/>
      <c r="BG69" s="70">
        <f>+$I69*지급비율!AW$45</f>
        <v>0</v>
      </c>
      <c r="BH69" s="87"/>
      <c r="BI69" s="87"/>
      <c r="BJ69" s="83"/>
      <c r="BK69" s="78">
        <v>46142</v>
      </c>
      <c r="BL69" s="101"/>
      <c r="BM69" s="105">
        <f t="shared" si="34"/>
        <v>1</v>
      </c>
      <c r="BN69" s="70">
        <f>+$I69*지급비율!BD$45</f>
        <v>24447500</v>
      </c>
      <c r="BO69" s="106"/>
      <c r="BP69" s="106">
        <f t="shared" si="35"/>
        <v>24447500</v>
      </c>
      <c r="BQ69" s="101"/>
      <c r="BR69" s="88"/>
      <c r="BS69" s="89" t="b">
        <f>+Q69+X69+AE69+AS69+AZ69+BG69+BN69=I69</f>
        <v>1</v>
      </c>
      <c r="BT69" s="90" t="b">
        <f t="shared" si="37"/>
        <v>1</v>
      </c>
      <c r="BU69" s="90"/>
      <c r="BV69" s="54"/>
      <c r="BW69" s="54"/>
      <c r="BX69" s="54"/>
      <c r="BY69" s="54"/>
      <c r="BZ69" s="54"/>
      <c r="CA69" s="54"/>
      <c r="CB69" s="54"/>
      <c r="CC69" s="54"/>
      <c r="CD69" s="58"/>
      <c r="CE69" s="58"/>
    </row>
    <row r="70" spans="1:83" ht="16.5" customHeight="1">
      <c r="A70" s="62"/>
      <c r="B70" s="1322"/>
      <c r="C70" s="1330"/>
      <c r="D70" s="1329"/>
      <c r="E70" s="1324"/>
      <c r="F70" s="91" t="s">
        <v>392</v>
      </c>
      <c r="G70" s="92">
        <f>SUM(G66:G69)</f>
        <v>219075000</v>
      </c>
      <c r="H70" s="92">
        <f>SUM(H66:H69)</f>
        <v>21907500</v>
      </c>
      <c r="I70" s="92">
        <f>SUM(I66:I69)</f>
        <v>240982500</v>
      </c>
      <c r="J70" s="91">
        <f t="shared" si="20"/>
        <v>7.8260869565217397E-2</v>
      </c>
      <c r="K70" s="92">
        <f>SUM(K66:K69)</f>
        <v>18859500</v>
      </c>
      <c r="L70" s="92">
        <f>SUM(L66:L69)</f>
        <v>222123000</v>
      </c>
      <c r="M70" s="419">
        <f>+Q67+Q68+X67+X68</f>
        <v>25146000</v>
      </c>
      <c r="N70" s="93"/>
      <c r="O70" s="91"/>
      <c r="P70" s="94">
        <f t="shared" ref="P70" si="39">+IFERROR(Q70/$I70,"-")</f>
        <v>7.8260869565217397E-2</v>
      </c>
      <c r="Q70" s="92">
        <f>SUM(Q66:Q69)</f>
        <v>18859500</v>
      </c>
      <c r="R70" s="170">
        <f>SUM(R66:R69)</f>
        <v>18859500</v>
      </c>
      <c r="S70" s="95">
        <f t="shared" ref="S70" si="40">+Q70-R70</f>
        <v>0</v>
      </c>
      <c r="T70" s="91"/>
      <c r="U70" s="93"/>
      <c r="V70" s="91"/>
      <c r="W70" s="94">
        <f t="shared" ref="W70" si="41">+IFERROR(X70/$I70,"-")</f>
        <v>2.6086956521739129E-2</v>
      </c>
      <c r="X70" s="92">
        <f>SUM(X66:X69)</f>
        <v>6286500</v>
      </c>
      <c r="Y70" s="92">
        <f>SUM(Y66:Y69)</f>
        <v>0</v>
      </c>
      <c r="Z70" s="95">
        <f t="shared" ref="Z70" si="42">+X70-Y70</f>
        <v>6286500</v>
      </c>
      <c r="AA70" s="91"/>
      <c r="AB70" s="93"/>
      <c r="AC70" s="91"/>
      <c r="AD70" s="94">
        <f t="shared" ref="AD70" si="43">+IFERROR(AE70/$I70,"-")</f>
        <v>0.44927536231884058</v>
      </c>
      <c r="AE70" s="92">
        <f>SUM(AE66:AE69)</f>
        <v>108267500</v>
      </c>
      <c r="AF70" s="92">
        <f>SUM(AF66:AF69)</f>
        <v>0</v>
      </c>
      <c r="AG70" s="95">
        <f t="shared" ref="AG70" si="44">+AE70-AF70</f>
        <v>108267500</v>
      </c>
      <c r="AH70" s="91"/>
      <c r="AI70" s="93"/>
      <c r="AJ70" s="91"/>
      <c r="AK70" s="94">
        <f t="shared" ref="AK70" si="45">+IFERROR(AL70/$I70,"-")</f>
        <v>0</v>
      </c>
      <c r="AL70" s="92">
        <f>SUM(AL66:AL69)</f>
        <v>0</v>
      </c>
      <c r="AM70" s="92">
        <f>SUM(AM66:AM69)</f>
        <v>0</v>
      </c>
      <c r="AN70" s="95">
        <f t="shared" ref="AN70" si="46">+AL70-AM70</f>
        <v>0</v>
      </c>
      <c r="AO70" s="91"/>
      <c r="AP70" s="93"/>
      <c r="AQ70" s="91"/>
      <c r="AR70" s="94">
        <f t="shared" ref="AR70" si="47">+IFERROR(AS70/$I70,"-")</f>
        <v>0</v>
      </c>
      <c r="AS70" s="92">
        <f>SUM(AS66:AS69)</f>
        <v>0</v>
      </c>
      <c r="AT70" s="92">
        <f>SUM(AT66:AT69)</f>
        <v>0</v>
      </c>
      <c r="AU70" s="95">
        <f t="shared" ref="AU70" si="48">+AS70-AT70</f>
        <v>0</v>
      </c>
      <c r="AV70" s="91"/>
      <c r="AW70" s="93"/>
      <c r="AX70" s="91"/>
      <c r="AY70" s="94">
        <f t="shared" ref="AY70" si="49">+IFERROR(AZ70/$I70,"-")</f>
        <v>0</v>
      </c>
      <c r="AZ70" s="92">
        <f>SUM(AZ66:AZ69)</f>
        <v>0</v>
      </c>
      <c r="BA70" s="92">
        <f>SUM(BA66:BA69)</f>
        <v>0</v>
      </c>
      <c r="BB70" s="95">
        <f t="shared" ref="BB70" si="50">+AZ70-BA70</f>
        <v>0</v>
      </c>
      <c r="BC70" s="91"/>
      <c r="BD70" s="93"/>
      <c r="BE70" s="91"/>
      <c r="BF70" s="94">
        <f t="shared" ref="BF70" si="51">+IFERROR(BG70/$I70,"-")</f>
        <v>0.25507246376811593</v>
      </c>
      <c r="BG70" s="92">
        <f>SUM(BG66:BG69)</f>
        <v>61468000</v>
      </c>
      <c r="BH70" s="92">
        <f>SUM(BH66:BH69)</f>
        <v>0</v>
      </c>
      <c r="BI70" s="95">
        <f t="shared" ref="BI70" si="52">+BG70-BH70</f>
        <v>61468000</v>
      </c>
      <c r="BJ70" s="91"/>
      <c r="BK70" s="93"/>
      <c r="BL70" s="91"/>
      <c r="BM70" s="94">
        <f t="shared" si="34"/>
        <v>0.19130434782608696</v>
      </c>
      <c r="BN70" s="92">
        <f>SUM(BN66:BN69)</f>
        <v>46101000</v>
      </c>
      <c r="BO70" s="92">
        <f>SUM(BO66:BO69)</f>
        <v>0</v>
      </c>
      <c r="BP70" s="95">
        <f t="shared" si="35"/>
        <v>46101000</v>
      </c>
      <c r="BQ70" s="91"/>
      <c r="BR70" s="88"/>
      <c r="BS70" s="96"/>
      <c r="BT70" s="97"/>
      <c r="BU70" s="97"/>
      <c r="BV70" s="54"/>
      <c r="BW70" s="54"/>
      <c r="BX70" s="54"/>
      <c r="BY70" s="54"/>
      <c r="BZ70" s="54"/>
      <c r="CA70" s="54"/>
      <c r="CB70" s="54"/>
      <c r="CC70" s="54"/>
      <c r="CD70" s="58"/>
      <c r="CE70" s="58"/>
    </row>
    <row r="71" spans="1:83" ht="16.5" customHeight="1">
      <c r="A71" s="62"/>
      <c r="B71" s="1322">
        <f t="shared" ref="B71" si="53">+B66+1</f>
        <v>13</v>
      </c>
      <c r="C71" s="1330" t="s">
        <v>404</v>
      </c>
      <c r="D71" s="1329">
        <v>161</v>
      </c>
      <c r="E71" s="1324" t="s">
        <v>387</v>
      </c>
      <c r="F71" s="63" t="s">
        <v>388</v>
      </c>
      <c r="G71" s="76">
        <f>+지급비율!F46*$D$71/1000</f>
        <v>177100000</v>
      </c>
      <c r="H71" s="64">
        <f>+G71*10%</f>
        <v>17710000</v>
      </c>
      <c r="I71" s="64">
        <f t="shared" ref="I71:I73" si="54">SUM(G71:H71)</f>
        <v>194810000</v>
      </c>
      <c r="J71" s="65">
        <f t="shared" ref="J71:J85" si="55">+IFERROR(K71/I71,"-")</f>
        <v>0</v>
      </c>
      <c r="K71" s="70">
        <f t="shared" ref="K71:K74" si="56">+IFERROR(R71+Y71+AF71+AT71+BA71+BH71+BO71,"-")</f>
        <v>0</v>
      </c>
      <c r="L71" s="70">
        <f>+I71-K71</f>
        <v>194810000</v>
      </c>
      <c r="M71" s="1331" t="s">
        <v>403</v>
      </c>
      <c r="N71" s="67"/>
      <c r="O71" s="72"/>
      <c r="P71" s="69"/>
      <c r="Q71" s="70">
        <f>+$I71*지급비율!G$46</f>
        <v>0</v>
      </c>
      <c r="R71" s="70"/>
      <c r="S71" s="70">
        <f>+Q71-R71</f>
        <v>0</v>
      </c>
      <c r="T71" s="81"/>
      <c r="U71" s="67"/>
      <c r="V71" s="68"/>
      <c r="W71" s="69"/>
      <c r="X71" s="70">
        <f>+$I71*지급비율!N$46</f>
        <v>0</v>
      </c>
      <c r="Y71" s="70"/>
      <c r="Z71" s="70">
        <f>+X71-Y71</f>
        <v>0</v>
      </c>
      <c r="AA71" s="71"/>
      <c r="AB71" s="67">
        <f>+EDATE(AI71,0)</f>
        <v>46019</v>
      </c>
      <c r="AC71" s="68"/>
      <c r="AD71" s="69">
        <f>+IFERROR(AE71/$I71,"-")</f>
        <v>0.5</v>
      </c>
      <c r="AE71" s="70">
        <f>+$I71*지급비율!U$46</f>
        <v>97405000</v>
      </c>
      <c r="AF71" s="70"/>
      <c r="AG71" s="70">
        <f>+AE71-AF71</f>
        <v>97405000</v>
      </c>
      <c r="AH71" s="71"/>
      <c r="AI71" s="67">
        <f>+EDATE(AP71,-1)</f>
        <v>46019</v>
      </c>
      <c r="AJ71" s="68"/>
      <c r="AK71" s="69">
        <f>+IFERROR(AL71/$I71,"-")</f>
        <v>0</v>
      </c>
      <c r="AL71" s="70">
        <f>+$I71*지급비율!AB$46</f>
        <v>0</v>
      </c>
      <c r="AM71" s="70"/>
      <c r="AN71" s="70">
        <f>+AL71-AM71</f>
        <v>0</v>
      </c>
      <c r="AO71" s="71"/>
      <c r="AP71" s="67">
        <f>+EDATE(AW71,-1)</f>
        <v>46050</v>
      </c>
      <c r="AQ71" s="68"/>
      <c r="AR71" s="69">
        <f>+IFERROR(AS71/$I71,"-")</f>
        <v>0</v>
      </c>
      <c r="AS71" s="70">
        <f>+$I71*지급비율!AI$46</f>
        <v>0</v>
      </c>
      <c r="AT71" s="70"/>
      <c r="AU71" s="70">
        <f>+AS71-AT71</f>
        <v>0</v>
      </c>
      <c r="AV71" s="71"/>
      <c r="AW71" s="67">
        <f>+EDATE(BD71,-1)</f>
        <v>46081</v>
      </c>
      <c r="AX71" s="68"/>
      <c r="AY71" s="69">
        <f>+IFERROR(AZ71/$I71,"-")</f>
        <v>0</v>
      </c>
      <c r="AZ71" s="70">
        <f>+$I71*지급비율!AP$46</f>
        <v>0</v>
      </c>
      <c r="BA71" s="70"/>
      <c r="BB71" s="70">
        <f>+AZ71-BA71</f>
        <v>0</v>
      </c>
      <c r="BC71" s="71"/>
      <c r="BD71" s="67">
        <f>+EDATE(BK71,-1)</f>
        <v>46111</v>
      </c>
      <c r="BE71" s="68"/>
      <c r="BF71" s="69">
        <f>+IFERROR(BG71/$I71,"-")</f>
        <v>0.4</v>
      </c>
      <c r="BG71" s="70">
        <f>+$I71*지급비율!AW$46</f>
        <v>77924000</v>
      </c>
      <c r="BH71" s="70"/>
      <c r="BI71" s="70">
        <f>+BG71-BH71</f>
        <v>77924000</v>
      </c>
      <c r="BJ71" s="71"/>
      <c r="BK71" s="78">
        <v>46142</v>
      </c>
      <c r="BL71" s="68"/>
      <c r="BM71" s="69">
        <f>+IFERROR(BN71/$I71,"-")</f>
        <v>0.1</v>
      </c>
      <c r="BN71" s="70">
        <f>+$I71*지급비율!BD$46</f>
        <v>19481000</v>
      </c>
      <c r="BO71" s="70"/>
      <c r="BP71" s="70">
        <f>+BN71-BO71</f>
        <v>19481000</v>
      </c>
      <c r="BQ71" s="71"/>
      <c r="BR71" s="73"/>
      <c r="BS71" s="74" t="b">
        <f>+Q71+X71+AE71+AS71+AZ71+BG71+BN71=I71</f>
        <v>1</v>
      </c>
      <c r="BT71" s="74" t="b">
        <f>+R71+Y71+AF71+AT71+BA71+BH71+BO71=K71</f>
        <v>1</v>
      </c>
      <c r="BU71" s="74"/>
      <c r="BV71" s="54"/>
      <c r="BW71" s="54"/>
      <c r="BX71" s="54"/>
      <c r="BY71" s="54"/>
      <c r="BZ71" s="54"/>
      <c r="CA71" s="54"/>
      <c r="CB71" s="54"/>
      <c r="CC71" s="54"/>
      <c r="CD71" s="58"/>
      <c r="CE71" s="58"/>
    </row>
    <row r="72" spans="1:83" ht="16.5" customHeight="1">
      <c r="A72" s="62"/>
      <c r="B72" s="1322"/>
      <c r="C72" s="1330"/>
      <c r="D72" s="1329"/>
      <c r="E72" s="1324"/>
      <c r="F72" s="75" t="s">
        <v>389</v>
      </c>
      <c r="G72" s="76">
        <f>+지급비율!F47*$D$71/1000</f>
        <v>48300000</v>
      </c>
      <c r="H72" s="76">
        <f>+G72*10%</f>
        <v>4830000</v>
      </c>
      <c r="I72" s="76">
        <f t="shared" si="54"/>
        <v>53130000</v>
      </c>
      <c r="J72" s="75">
        <f t="shared" si="55"/>
        <v>0.3</v>
      </c>
      <c r="K72" s="80">
        <f t="shared" si="56"/>
        <v>15939000</v>
      </c>
      <c r="L72" s="80">
        <f t="shared" ref="L72:L74" si="57">+I72-K72</f>
        <v>37191000</v>
      </c>
      <c r="M72" s="1332"/>
      <c r="N72" s="78">
        <v>45930</v>
      </c>
      <c r="O72" s="78">
        <v>45922</v>
      </c>
      <c r="P72" s="79">
        <f t="shared" ref="P72:P73" si="58">+IFERROR(Q72/$I72,"-")</f>
        <v>0.3</v>
      </c>
      <c r="Q72" s="70">
        <f>+$I72*지급비율!G$47</f>
        <v>15939000</v>
      </c>
      <c r="R72" s="80">
        <f>+Q72</f>
        <v>15939000</v>
      </c>
      <c r="S72" s="80">
        <f t="shared" ref="S72:S73" si="59">+Q72-R72</f>
        <v>0</v>
      </c>
      <c r="T72" s="81"/>
      <c r="U72" s="284">
        <v>45991</v>
      </c>
      <c r="V72" s="284"/>
      <c r="W72" s="286">
        <f t="shared" ref="W72:W73" si="60">+IFERROR(X72/$I72,"-")</f>
        <v>0.1</v>
      </c>
      <c r="X72" s="290">
        <f>+$I72*지급비율!N$47</f>
        <v>5313000</v>
      </c>
      <c r="Y72" s="290"/>
      <c r="Z72" s="290">
        <f t="shared" ref="Z72:Z73" si="61">+X72-Y72</f>
        <v>5313000</v>
      </c>
      <c r="AA72" s="288"/>
      <c r="AB72" s="78">
        <v>46022</v>
      </c>
      <c r="AC72" s="78"/>
      <c r="AD72" s="79">
        <f t="shared" ref="AD72:AD73" si="62">+IFERROR(AE72/$I72,"-")</f>
        <v>0.5</v>
      </c>
      <c r="AE72" s="70">
        <f>+$I72*지급비율!U$47</f>
        <v>26565000</v>
      </c>
      <c r="AF72" s="80"/>
      <c r="AG72" s="80">
        <f t="shared" ref="AG72:AG73" si="63">+AE72-AF72</f>
        <v>26565000</v>
      </c>
      <c r="AH72" s="81"/>
      <c r="AI72" s="78"/>
      <c r="AJ72" s="78"/>
      <c r="AK72" s="79">
        <f t="shared" ref="AK72:AK73" si="64">+IFERROR(AL72/$I72,"-")</f>
        <v>0</v>
      </c>
      <c r="AL72" s="70">
        <f>+$I72*지급비율!AB$47</f>
        <v>0</v>
      </c>
      <c r="AM72" s="80"/>
      <c r="AN72" s="80">
        <f t="shared" ref="AN72:AN73" si="65">+AL72-AM72</f>
        <v>0</v>
      </c>
      <c r="AO72" s="81"/>
      <c r="AP72" s="78"/>
      <c r="AQ72" s="78"/>
      <c r="AR72" s="79"/>
      <c r="AS72" s="70">
        <f>+$I72*지급비율!AI$47</f>
        <v>0</v>
      </c>
      <c r="AT72" s="80"/>
      <c r="AU72" s="80">
        <f t="shared" ref="AU72:AU73" si="66">+AS72-AT72</f>
        <v>0</v>
      </c>
      <c r="AV72" s="81"/>
      <c r="AW72" s="78"/>
      <c r="AX72" s="78"/>
      <c r="AY72" s="79"/>
      <c r="AZ72" s="70">
        <f>+$I72*지급비율!AP$47</f>
        <v>0</v>
      </c>
      <c r="BA72" s="80"/>
      <c r="BB72" s="80">
        <f t="shared" ref="BB72:BB73" si="67">+AZ72-BA72</f>
        <v>0</v>
      </c>
      <c r="BC72" s="81"/>
      <c r="BD72" s="78"/>
      <c r="BE72" s="78"/>
      <c r="BF72" s="79"/>
      <c r="BG72" s="70">
        <f>+$I72*지급비율!AW$47</f>
        <v>0</v>
      </c>
      <c r="BH72" s="80"/>
      <c r="BI72" s="80">
        <f t="shared" ref="BI72:BI73" si="68">+BG72-BH72</f>
        <v>0</v>
      </c>
      <c r="BJ72" s="81"/>
      <c r="BK72" s="78">
        <v>46142</v>
      </c>
      <c r="BL72" s="78"/>
      <c r="BM72" s="79">
        <f t="shared" ref="BM72:BM75" si="69">+IFERROR(BN72/$I72,"-")</f>
        <v>0.1</v>
      </c>
      <c r="BN72" s="70">
        <f>+$I72*지급비율!BD$47</f>
        <v>5313000</v>
      </c>
      <c r="BO72" s="80"/>
      <c r="BP72" s="80">
        <f t="shared" ref="BP72:BP75" si="70">+BN72-BO72</f>
        <v>5313000</v>
      </c>
      <c r="BQ72" s="81"/>
      <c r="BR72" s="73"/>
      <c r="BS72" s="74" t="b">
        <f t="shared" ref="BS72:BS73" si="71">+Q72+X72+AE72+AS72+AZ72+BG72+BN72=I72</f>
        <v>1</v>
      </c>
      <c r="BT72" s="74" t="b">
        <f t="shared" ref="BT72:BT74" si="72">+R72+Y72+AF72+AT72+BA72+BH72+BO72=K72</f>
        <v>1</v>
      </c>
      <c r="BU72" s="74" t="b">
        <f>+BG72+BG73+AZ72+AZ73+AS72+AS73+AE72+AE73+X72+X73+Q72+Q73+BN72+BN73=([5]지급비율!$F$39+[5]지급비율!$F$40)*1.1*D71/1000</f>
        <v>1</v>
      </c>
      <c r="BV72" s="54"/>
      <c r="BW72" s="54"/>
      <c r="BX72" s="54"/>
      <c r="BY72" s="54"/>
      <c r="BZ72" s="54"/>
      <c r="CA72" s="54"/>
      <c r="CB72" s="54"/>
      <c r="CC72" s="54"/>
      <c r="CD72" s="58"/>
      <c r="CE72" s="58"/>
    </row>
    <row r="73" spans="1:83" ht="16.5" customHeight="1">
      <c r="A73" s="62"/>
      <c r="B73" s="1322"/>
      <c r="C73" s="1330"/>
      <c r="D73" s="1329"/>
      <c r="E73" s="1324"/>
      <c r="F73" s="75" t="s">
        <v>390</v>
      </c>
      <c r="G73" s="76">
        <f>+지급비율!F48*$D$71/1000</f>
        <v>24150000</v>
      </c>
      <c r="H73" s="76">
        <f t="shared" ref="H73" si="73">+G73*10%</f>
        <v>2415000</v>
      </c>
      <c r="I73" s="76">
        <f t="shared" si="54"/>
        <v>26565000</v>
      </c>
      <c r="J73" s="75">
        <f t="shared" si="55"/>
        <v>0.3</v>
      </c>
      <c r="K73" s="80">
        <f t="shared" si="56"/>
        <v>7969500</v>
      </c>
      <c r="L73" s="80">
        <f t="shared" si="57"/>
        <v>18595500</v>
      </c>
      <c r="M73" s="1332"/>
      <c r="N73" s="78">
        <v>45930</v>
      </c>
      <c r="O73" s="78">
        <v>45922</v>
      </c>
      <c r="P73" s="79">
        <f t="shared" si="58"/>
        <v>0.3</v>
      </c>
      <c r="Q73" s="70">
        <f>+$I73*지급비율!G$48</f>
        <v>7969500</v>
      </c>
      <c r="R73" s="80">
        <f>+Q73</f>
        <v>7969500</v>
      </c>
      <c r="S73" s="80">
        <f t="shared" si="59"/>
        <v>0</v>
      </c>
      <c r="T73" s="81"/>
      <c r="U73" s="284">
        <v>45991</v>
      </c>
      <c r="V73" s="285"/>
      <c r="W73" s="286">
        <f t="shared" si="60"/>
        <v>0.1</v>
      </c>
      <c r="X73" s="290">
        <f>+$I73*지급비율!N$48</f>
        <v>2656500</v>
      </c>
      <c r="Y73" s="290"/>
      <c r="Z73" s="290">
        <f t="shared" si="61"/>
        <v>2656500</v>
      </c>
      <c r="AA73" s="288"/>
      <c r="AB73" s="78">
        <v>46022</v>
      </c>
      <c r="AC73" s="72"/>
      <c r="AD73" s="79">
        <f t="shared" si="62"/>
        <v>0.5</v>
      </c>
      <c r="AE73" s="70">
        <f>+$I73*지급비율!U$48</f>
        <v>13282500</v>
      </c>
      <c r="AF73" s="80"/>
      <c r="AG73" s="80">
        <f t="shared" si="63"/>
        <v>13282500</v>
      </c>
      <c r="AH73" s="81"/>
      <c r="AI73" s="72"/>
      <c r="AJ73" s="72"/>
      <c r="AK73" s="79">
        <f t="shared" si="64"/>
        <v>0</v>
      </c>
      <c r="AL73" s="70">
        <f>+$I73*지급비율!AB$48</f>
        <v>0</v>
      </c>
      <c r="AM73" s="80"/>
      <c r="AN73" s="80">
        <f t="shared" si="65"/>
        <v>0</v>
      </c>
      <c r="AO73" s="81"/>
      <c r="AP73" s="72"/>
      <c r="AQ73" s="72"/>
      <c r="AR73" s="79"/>
      <c r="AS73" s="70">
        <f>+$I73*지급비율!AI$48</f>
        <v>0</v>
      </c>
      <c r="AT73" s="80"/>
      <c r="AU73" s="80">
        <f t="shared" si="66"/>
        <v>0</v>
      </c>
      <c r="AV73" s="81"/>
      <c r="AW73" s="72"/>
      <c r="AX73" s="72"/>
      <c r="AY73" s="79"/>
      <c r="AZ73" s="70">
        <f>+$I73*지급비율!AP$48</f>
        <v>0</v>
      </c>
      <c r="BA73" s="80"/>
      <c r="BB73" s="80">
        <f t="shared" si="67"/>
        <v>0</v>
      </c>
      <c r="BC73" s="81"/>
      <c r="BD73" s="72"/>
      <c r="BE73" s="72"/>
      <c r="BF73" s="79"/>
      <c r="BG73" s="70">
        <f>+$I73*지급비율!AW$48</f>
        <v>0</v>
      </c>
      <c r="BH73" s="80"/>
      <c r="BI73" s="80">
        <f t="shared" si="68"/>
        <v>0</v>
      </c>
      <c r="BJ73" s="81"/>
      <c r="BK73" s="78">
        <v>46142</v>
      </c>
      <c r="BL73" s="72"/>
      <c r="BM73" s="79">
        <f t="shared" si="69"/>
        <v>0.1</v>
      </c>
      <c r="BN73" s="70">
        <f>+$I73*지급비율!BD$48</f>
        <v>2656500</v>
      </c>
      <c r="BO73" s="80"/>
      <c r="BP73" s="80">
        <f t="shared" si="70"/>
        <v>2656500</v>
      </c>
      <c r="BQ73" s="81"/>
      <c r="BR73" s="73"/>
      <c r="BS73" s="74" t="b">
        <f t="shared" si="71"/>
        <v>1</v>
      </c>
      <c r="BT73" s="74" t="b">
        <f t="shared" si="72"/>
        <v>1</v>
      </c>
      <c r="BU73" s="74"/>
      <c r="BV73" s="54"/>
      <c r="BW73" s="54"/>
      <c r="BX73" s="54"/>
      <c r="BY73" s="54"/>
      <c r="BZ73" s="54"/>
      <c r="CA73" s="54"/>
      <c r="CB73" s="54"/>
      <c r="CC73" s="54"/>
      <c r="CD73" s="58"/>
      <c r="CE73" s="58"/>
    </row>
    <row r="74" spans="1:83" ht="16.5" customHeight="1">
      <c r="A74" s="62"/>
      <c r="B74" s="1322"/>
      <c r="C74" s="1330"/>
      <c r="D74" s="1329"/>
      <c r="E74" s="1324"/>
      <c r="F74" s="101" t="s">
        <v>391</v>
      </c>
      <c r="G74" s="102">
        <f>+지급비율!F49*$D$71/1000</f>
        <v>32200000</v>
      </c>
      <c r="H74" s="102">
        <f>+G74*0.1</f>
        <v>3220000</v>
      </c>
      <c r="I74" s="102">
        <f>SUM(G74:H74)</f>
        <v>35420000</v>
      </c>
      <c r="J74" s="101">
        <f t="shared" si="55"/>
        <v>0</v>
      </c>
      <c r="K74" s="106">
        <f t="shared" si="56"/>
        <v>0</v>
      </c>
      <c r="L74" s="106">
        <f t="shared" si="57"/>
        <v>35420000</v>
      </c>
      <c r="M74" s="1333"/>
      <c r="N74" s="85"/>
      <c r="O74" s="83"/>
      <c r="P74" s="86"/>
      <c r="Q74" s="70">
        <f>+$I74*지급비율!G$49</f>
        <v>0</v>
      </c>
      <c r="R74" s="87"/>
      <c r="S74" s="87"/>
      <c r="T74" s="83"/>
      <c r="U74" s="85"/>
      <c r="V74" s="83"/>
      <c r="W74" s="86"/>
      <c r="X74" s="87">
        <f>+$I74*지급비율!N$49</f>
        <v>0</v>
      </c>
      <c r="Y74" s="87"/>
      <c r="Z74" s="87"/>
      <c r="AA74" s="83"/>
      <c r="AB74" s="85"/>
      <c r="AC74" s="83"/>
      <c r="AD74" s="86"/>
      <c r="AE74" s="70">
        <f>+$I74*지급비율!U$49</f>
        <v>0</v>
      </c>
      <c r="AF74" s="87"/>
      <c r="AG74" s="87"/>
      <c r="AH74" s="83"/>
      <c r="AI74" s="85"/>
      <c r="AJ74" s="83"/>
      <c r="AK74" s="86"/>
      <c r="AL74" s="70">
        <f>+$I74*지급비율!AB$49</f>
        <v>0</v>
      </c>
      <c r="AM74" s="87"/>
      <c r="AN74" s="87"/>
      <c r="AO74" s="83"/>
      <c r="AP74" s="85"/>
      <c r="AQ74" s="83"/>
      <c r="AR74" s="86"/>
      <c r="AS74" s="70">
        <f>+$I74*지급비율!AI$49</f>
        <v>0</v>
      </c>
      <c r="AT74" s="87"/>
      <c r="AU74" s="87"/>
      <c r="AV74" s="83"/>
      <c r="AW74" s="85"/>
      <c r="AX74" s="83"/>
      <c r="AY74" s="86"/>
      <c r="AZ74" s="70">
        <f>+$I74*지급비율!AP$49</f>
        <v>0</v>
      </c>
      <c r="BA74" s="87"/>
      <c r="BB74" s="87"/>
      <c r="BC74" s="83"/>
      <c r="BD74" s="85"/>
      <c r="BE74" s="83"/>
      <c r="BF74" s="86"/>
      <c r="BG74" s="70">
        <f>+$I74*지급비율!AW$49</f>
        <v>0</v>
      </c>
      <c r="BH74" s="87"/>
      <c r="BI74" s="87"/>
      <c r="BJ74" s="83"/>
      <c r="BK74" s="78">
        <v>46142</v>
      </c>
      <c r="BL74" s="101"/>
      <c r="BM74" s="105">
        <f t="shared" si="69"/>
        <v>1</v>
      </c>
      <c r="BN74" s="70">
        <f>+$I74*지급비율!BD$49</f>
        <v>35420000</v>
      </c>
      <c r="BO74" s="106"/>
      <c r="BP74" s="106">
        <f t="shared" si="70"/>
        <v>35420000</v>
      </c>
      <c r="BQ74" s="101"/>
      <c r="BR74" s="88"/>
      <c r="BS74" s="89" t="b">
        <f>+Q74+X74+AE74+AS74+AZ74+BG74+BN74=I74</f>
        <v>1</v>
      </c>
      <c r="BT74" s="90" t="b">
        <f t="shared" si="72"/>
        <v>1</v>
      </c>
      <c r="BU74" s="90"/>
      <c r="BV74" s="54"/>
      <c r="BW74" s="54"/>
      <c r="BX74" s="54"/>
      <c r="BY74" s="54"/>
      <c r="BZ74" s="54"/>
      <c r="CA74" s="54"/>
      <c r="CB74" s="54"/>
      <c r="CC74" s="54"/>
      <c r="CD74" s="58"/>
      <c r="CE74" s="58"/>
    </row>
    <row r="75" spans="1:83" ht="16.5" customHeight="1">
      <c r="A75" s="62"/>
      <c r="B75" s="1322"/>
      <c r="C75" s="1330"/>
      <c r="D75" s="1329"/>
      <c r="E75" s="1324"/>
      <c r="F75" s="91" t="s">
        <v>392</v>
      </c>
      <c r="G75" s="92">
        <f>SUM(G71:G74)</f>
        <v>281750000</v>
      </c>
      <c r="H75" s="92">
        <f>SUM(H71:H74)</f>
        <v>28175000</v>
      </c>
      <c r="I75" s="92">
        <f>SUM(I71:I74)</f>
        <v>309925000</v>
      </c>
      <c r="J75" s="91">
        <f t="shared" si="55"/>
        <v>7.7142857142857138E-2</v>
      </c>
      <c r="K75" s="92">
        <f>SUM(K71:K74)</f>
        <v>23908500</v>
      </c>
      <c r="L75" s="92">
        <f>SUM(L71:L74)</f>
        <v>286016500</v>
      </c>
      <c r="M75" s="419">
        <f>+Q72+Q73+X72+X73</f>
        <v>31878000</v>
      </c>
      <c r="N75" s="93"/>
      <c r="O75" s="91"/>
      <c r="P75" s="94">
        <f t="shared" ref="P75" si="74">+IFERROR(Q75/$I75,"-")</f>
        <v>7.7142857142857138E-2</v>
      </c>
      <c r="Q75" s="92">
        <f>SUM(Q71:Q74)</f>
        <v>23908500</v>
      </c>
      <c r="R75" s="170">
        <f>SUM(R71:R74)</f>
        <v>23908500</v>
      </c>
      <c r="S75" s="95">
        <f t="shared" ref="S75" si="75">+Q75-R75</f>
        <v>0</v>
      </c>
      <c r="T75" s="91"/>
      <c r="U75" s="93"/>
      <c r="V75" s="91"/>
      <c r="W75" s="94">
        <f t="shared" ref="W75" si="76">+IFERROR(X75/$I75,"-")</f>
        <v>2.5714285714285714E-2</v>
      </c>
      <c r="X75" s="92">
        <f>SUM(X71:X74)</f>
        <v>7969500</v>
      </c>
      <c r="Y75" s="92">
        <f>SUM(Y71:Y74)</f>
        <v>0</v>
      </c>
      <c r="Z75" s="95">
        <f t="shared" ref="Z75" si="77">+X75-Y75</f>
        <v>7969500</v>
      </c>
      <c r="AA75" s="91"/>
      <c r="AB75" s="93"/>
      <c r="AC75" s="91"/>
      <c r="AD75" s="94">
        <f t="shared" ref="AD75" si="78">+IFERROR(AE75/$I75,"-")</f>
        <v>0.44285714285714284</v>
      </c>
      <c r="AE75" s="92">
        <f>SUM(AE71:AE74)</f>
        <v>137252500</v>
      </c>
      <c r="AF75" s="92">
        <f>SUM(AF71:AF74)</f>
        <v>0</v>
      </c>
      <c r="AG75" s="95">
        <f t="shared" ref="AG75" si="79">+AE75-AF75</f>
        <v>137252500</v>
      </c>
      <c r="AH75" s="91"/>
      <c r="AI75" s="93"/>
      <c r="AJ75" s="91"/>
      <c r="AK75" s="94">
        <f t="shared" ref="AK75" si="80">+IFERROR(AL75/$I75,"-")</f>
        <v>0</v>
      </c>
      <c r="AL75" s="92">
        <f>SUM(AL71:AL74)</f>
        <v>0</v>
      </c>
      <c r="AM75" s="92">
        <f>SUM(AM71:AM74)</f>
        <v>0</v>
      </c>
      <c r="AN75" s="95">
        <f t="shared" ref="AN75" si="81">+AL75-AM75</f>
        <v>0</v>
      </c>
      <c r="AO75" s="91"/>
      <c r="AP75" s="93"/>
      <c r="AQ75" s="91"/>
      <c r="AR75" s="94">
        <f t="shared" ref="AR75" si="82">+IFERROR(AS75/$I75,"-")</f>
        <v>0</v>
      </c>
      <c r="AS75" s="92">
        <f>SUM(AS71:AS74)</f>
        <v>0</v>
      </c>
      <c r="AT75" s="92">
        <f>SUM(AT71:AT74)</f>
        <v>0</v>
      </c>
      <c r="AU75" s="95">
        <f t="shared" ref="AU75" si="83">+AS75-AT75</f>
        <v>0</v>
      </c>
      <c r="AV75" s="91"/>
      <c r="AW75" s="93"/>
      <c r="AX75" s="91"/>
      <c r="AY75" s="94">
        <f t="shared" ref="AY75" si="84">+IFERROR(AZ75/$I75,"-")</f>
        <v>0</v>
      </c>
      <c r="AZ75" s="92">
        <f>SUM(AZ71:AZ74)</f>
        <v>0</v>
      </c>
      <c r="BA75" s="92">
        <f>SUM(BA71:BA74)</f>
        <v>0</v>
      </c>
      <c r="BB75" s="95">
        <f t="shared" ref="BB75" si="85">+AZ75-BA75</f>
        <v>0</v>
      </c>
      <c r="BC75" s="91"/>
      <c r="BD75" s="93"/>
      <c r="BE75" s="91"/>
      <c r="BF75" s="94">
        <f t="shared" ref="BF75" si="86">+IFERROR(BG75/$I75,"-")</f>
        <v>0.25142857142857145</v>
      </c>
      <c r="BG75" s="92">
        <f>SUM(BG71:BG74)</f>
        <v>77924000</v>
      </c>
      <c r="BH75" s="92">
        <f>SUM(BH71:BH74)</f>
        <v>0</v>
      </c>
      <c r="BI75" s="95">
        <f t="shared" ref="BI75" si="87">+BG75-BH75</f>
        <v>77924000</v>
      </c>
      <c r="BJ75" s="91"/>
      <c r="BK75" s="93"/>
      <c r="BL75" s="91"/>
      <c r="BM75" s="94">
        <f t="shared" si="69"/>
        <v>0.20285714285714285</v>
      </c>
      <c r="BN75" s="92">
        <f>SUM(BN71:BN74)</f>
        <v>62870500</v>
      </c>
      <c r="BO75" s="92">
        <f>SUM(BO71:BO74)</f>
        <v>0</v>
      </c>
      <c r="BP75" s="95">
        <f t="shared" si="70"/>
        <v>62870500</v>
      </c>
      <c r="BQ75" s="91"/>
      <c r="BR75" s="88"/>
      <c r="BS75" s="96"/>
      <c r="BT75" s="97"/>
      <c r="BU75" s="97"/>
      <c r="BV75" s="54"/>
      <c r="BW75" s="54"/>
      <c r="BX75" s="54"/>
      <c r="BY75" s="54"/>
      <c r="BZ75" s="54"/>
      <c r="CA75" s="54"/>
      <c r="CB75" s="54"/>
      <c r="CC75" s="54"/>
      <c r="CD75" s="58"/>
      <c r="CE75" s="58"/>
    </row>
    <row r="76" spans="1:83" ht="16.5" customHeight="1">
      <c r="A76" s="62"/>
      <c r="B76" s="1322">
        <f t="shared" ref="B76" si="88">+B71+1</f>
        <v>14</v>
      </c>
      <c r="C76" s="1330" t="s">
        <v>405</v>
      </c>
      <c r="D76" s="1329">
        <v>269</v>
      </c>
      <c r="E76" s="1324" t="s">
        <v>387</v>
      </c>
      <c r="F76" s="63" t="s">
        <v>388</v>
      </c>
      <c r="G76" s="64">
        <f>+지급비율!F67*$D$76/1000</f>
        <v>295900000</v>
      </c>
      <c r="H76" s="64">
        <f>+G76*10%</f>
        <v>29590000</v>
      </c>
      <c r="I76" s="64">
        <f t="shared" ref="I76:I78" si="89">SUM(G76:H76)</f>
        <v>325490000</v>
      </c>
      <c r="J76" s="65">
        <f t="shared" si="55"/>
        <v>0</v>
      </c>
      <c r="K76" s="70">
        <f t="shared" ref="K76:K79" si="90">+IFERROR(R76+Y76+AF76+AT76+BA76+BH76+BO76,"-")</f>
        <v>0</v>
      </c>
      <c r="L76" s="70">
        <f>+I76-K76</f>
        <v>325490000</v>
      </c>
      <c r="M76" s="1331" t="s">
        <v>403</v>
      </c>
      <c r="N76" s="67"/>
      <c r="O76" s="72"/>
      <c r="P76" s="69"/>
      <c r="Q76" s="70">
        <f>+$I76*지급비율!G$67</f>
        <v>0</v>
      </c>
      <c r="R76" s="70"/>
      <c r="S76" s="70">
        <f>+Q76-R76</f>
        <v>0</v>
      </c>
      <c r="T76" s="81"/>
      <c r="U76" s="67"/>
      <c r="V76" s="68"/>
      <c r="W76" s="69"/>
      <c r="X76" s="70">
        <f>+$I76*지급비율!N$67</f>
        <v>0</v>
      </c>
      <c r="Y76" s="70"/>
      <c r="Z76" s="70">
        <f>+X76-Y76</f>
        <v>0</v>
      </c>
      <c r="AA76" s="71"/>
      <c r="AB76" s="67">
        <f>+EDATE(AI76,0)</f>
        <v>46019</v>
      </c>
      <c r="AC76" s="68"/>
      <c r="AD76" s="69">
        <f>+IFERROR(AE76/$I76,"-")</f>
        <v>0.5</v>
      </c>
      <c r="AE76" s="70">
        <f>+$I76*지급비율!U$67</f>
        <v>162745000</v>
      </c>
      <c r="AF76" s="70"/>
      <c r="AG76" s="70">
        <f>+AE76-AF76</f>
        <v>162745000</v>
      </c>
      <c r="AH76" s="71"/>
      <c r="AI76" s="67">
        <f>+EDATE(AP76,-1)</f>
        <v>46019</v>
      </c>
      <c r="AJ76" s="68"/>
      <c r="AK76" s="69">
        <f>+IFERROR(AL76/$I76,"-")</f>
        <v>0</v>
      </c>
      <c r="AL76" s="70">
        <f>+$I76*지급비율!AB$67</f>
        <v>0</v>
      </c>
      <c r="AM76" s="70"/>
      <c r="AN76" s="70">
        <f>+AL76-AM76</f>
        <v>0</v>
      </c>
      <c r="AO76" s="71"/>
      <c r="AP76" s="67">
        <f>+EDATE(AW76,-1)</f>
        <v>46050</v>
      </c>
      <c r="AQ76" s="68"/>
      <c r="AR76" s="69">
        <f>+IFERROR(AS76/$I76,"-")</f>
        <v>0</v>
      </c>
      <c r="AS76" s="70">
        <f>+$I76*지급비율!AI$67</f>
        <v>0</v>
      </c>
      <c r="AT76" s="70"/>
      <c r="AU76" s="70">
        <f>+AS76-AT76</f>
        <v>0</v>
      </c>
      <c r="AV76" s="71"/>
      <c r="AW76" s="67">
        <f>+EDATE(BD76,-1)</f>
        <v>46081</v>
      </c>
      <c r="AX76" s="68"/>
      <c r="AY76" s="69">
        <f>+IFERROR(AZ76/$I76,"-")</f>
        <v>0</v>
      </c>
      <c r="AZ76" s="70">
        <f>+$I76*지급비율!AP$67</f>
        <v>0</v>
      </c>
      <c r="BA76" s="70"/>
      <c r="BB76" s="70">
        <f>+AZ76-BA76</f>
        <v>0</v>
      </c>
      <c r="BC76" s="71"/>
      <c r="BD76" s="67">
        <f>+EDATE(BK76,-1)</f>
        <v>46111</v>
      </c>
      <c r="BE76" s="68"/>
      <c r="BF76" s="69">
        <f>+IFERROR(BG76/$I76,"-")</f>
        <v>0.4</v>
      </c>
      <c r="BG76" s="70">
        <f>+$I76*지급비율!AW$67</f>
        <v>130196000</v>
      </c>
      <c r="BH76" s="70"/>
      <c r="BI76" s="70">
        <f>+BG76-BH76</f>
        <v>130196000</v>
      </c>
      <c r="BJ76" s="71"/>
      <c r="BK76" s="78">
        <v>46142</v>
      </c>
      <c r="BL76" s="68"/>
      <c r="BM76" s="69">
        <f>+IFERROR(BN76/$I76,"-")</f>
        <v>0.1</v>
      </c>
      <c r="BN76" s="70">
        <f>+$I76*지급비율!BD$67</f>
        <v>32549000</v>
      </c>
      <c r="BO76" s="70"/>
      <c r="BP76" s="70">
        <f>+BN76-BO76</f>
        <v>32549000</v>
      </c>
      <c r="BQ76" s="71"/>
      <c r="BR76" s="73"/>
      <c r="BS76" s="74" t="b">
        <f>+Q76+X76+AE76+AS76+AZ76+BG76+BN76=I76</f>
        <v>1</v>
      </c>
      <c r="BT76" s="74" t="b">
        <f>+R76+Y76+AF76+AT76+BA76+BH76+BO76=K76</f>
        <v>1</v>
      </c>
      <c r="BU76" s="74"/>
      <c r="BV76" s="54"/>
      <c r="BW76" s="54"/>
      <c r="BX76" s="54"/>
      <c r="BY76" s="54"/>
      <c r="BZ76" s="54"/>
      <c r="CA76" s="54"/>
      <c r="CB76" s="54"/>
      <c r="CC76" s="54"/>
      <c r="CD76" s="58"/>
      <c r="CE76" s="58"/>
    </row>
    <row r="77" spans="1:83" ht="16.5" customHeight="1">
      <c r="A77" s="62"/>
      <c r="B77" s="1322"/>
      <c r="C77" s="1330"/>
      <c r="D77" s="1329"/>
      <c r="E77" s="1324"/>
      <c r="F77" s="75" t="s">
        <v>389</v>
      </c>
      <c r="G77" s="76">
        <f>+지급비율!F68*$D$76/1000</f>
        <v>80700000</v>
      </c>
      <c r="H77" s="76">
        <f>+G77*10%</f>
        <v>8070000</v>
      </c>
      <c r="I77" s="76">
        <f t="shared" si="89"/>
        <v>88770000</v>
      </c>
      <c r="J77" s="75">
        <f t="shared" si="55"/>
        <v>0.4</v>
      </c>
      <c r="K77" s="80">
        <f t="shared" si="90"/>
        <v>35508000</v>
      </c>
      <c r="L77" s="80">
        <f t="shared" ref="L77:L79" si="91">+I77-K77</f>
        <v>53262000</v>
      </c>
      <c r="M77" s="1332"/>
      <c r="N77" s="78">
        <v>45930</v>
      </c>
      <c r="O77" s="78">
        <v>45922</v>
      </c>
      <c r="P77" s="79">
        <f t="shared" ref="P77:P78" si="92">+IFERROR(Q77/$I77,"-")</f>
        <v>0.3</v>
      </c>
      <c r="Q77" s="70">
        <f>+$I77*지급비율!G$68</f>
        <v>26631000</v>
      </c>
      <c r="R77" s="80">
        <v>26631000</v>
      </c>
      <c r="S77" s="80">
        <f t="shared" ref="S77:S78" si="93">+Q77-R77</f>
        <v>0</v>
      </c>
      <c r="T77" s="81"/>
      <c r="U77" s="78">
        <v>45991</v>
      </c>
      <c r="V77" s="78">
        <v>45975</v>
      </c>
      <c r="W77" s="79">
        <f t="shared" ref="W77:W78" si="94">+IFERROR(X77/$I77,"-")</f>
        <v>0.1</v>
      </c>
      <c r="X77" s="80">
        <f>+$I77*지급비율!N$68</f>
        <v>8877000</v>
      </c>
      <c r="Y77" s="80">
        <v>8877000</v>
      </c>
      <c r="Z77" s="80">
        <f t="shared" ref="Z77:Z78" si="95">+X77-Y77</f>
        <v>0</v>
      </c>
      <c r="AA77" s="81"/>
      <c r="AB77" s="78">
        <v>46022</v>
      </c>
      <c r="AC77" s="78"/>
      <c r="AD77" s="79">
        <f t="shared" ref="AD77:AD78" si="96">+IFERROR(AE77/$I77,"-")</f>
        <v>0.5</v>
      </c>
      <c r="AE77" s="70">
        <f>+$I77*지급비율!U$68</f>
        <v>44385000</v>
      </c>
      <c r="AF77" s="80"/>
      <c r="AG77" s="80">
        <f t="shared" ref="AG77:AG78" si="97">+AE77-AF77</f>
        <v>44385000</v>
      </c>
      <c r="AH77" s="81"/>
      <c r="AI77" s="78"/>
      <c r="AJ77" s="78"/>
      <c r="AK77" s="79">
        <f t="shared" ref="AK77:AK78" si="98">+IFERROR(AL77/$I77,"-")</f>
        <v>0</v>
      </c>
      <c r="AL77" s="70">
        <f>+$I77*지급비율!AB$68</f>
        <v>0</v>
      </c>
      <c r="AM77" s="80"/>
      <c r="AN77" s="80">
        <f t="shared" ref="AN77:AN78" si="99">+AL77-AM77</f>
        <v>0</v>
      </c>
      <c r="AO77" s="81"/>
      <c r="AP77" s="78"/>
      <c r="AQ77" s="78"/>
      <c r="AR77" s="79"/>
      <c r="AS77" s="70">
        <f>+$I77*지급비율!AI$68</f>
        <v>0</v>
      </c>
      <c r="AT77" s="80"/>
      <c r="AU77" s="80">
        <f t="shared" ref="AU77:AU78" si="100">+AS77-AT77</f>
        <v>0</v>
      </c>
      <c r="AV77" s="81"/>
      <c r="AW77" s="78"/>
      <c r="AX77" s="78"/>
      <c r="AY77" s="79"/>
      <c r="AZ77" s="70">
        <f>+$I77*지급비율!AP$68</f>
        <v>0</v>
      </c>
      <c r="BA77" s="80"/>
      <c r="BB77" s="80">
        <f t="shared" ref="BB77:BB78" si="101">+AZ77-BA77</f>
        <v>0</v>
      </c>
      <c r="BC77" s="81"/>
      <c r="BD77" s="78"/>
      <c r="BE77" s="78"/>
      <c r="BF77" s="79"/>
      <c r="BG77" s="70">
        <f>+$I77*지급비율!AW$68</f>
        <v>0</v>
      </c>
      <c r="BH77" s="80"/>
      <c r="BI77" s="80">
        <f t="shared" ref="BI77:BI78" si="102">+BG77-BH77</f>
        <v>0</v>
      </c>
      <c r="BJ77" s="81"/>
      <c r="BK77" s="78">
        <v>46142</v>
      </c>
      <c r="BL77" s="78"/>
      <c r="BM77" s="79">
        <f t="shared" ref="BM77:BM80" si="103">+IFERROR(BN77/$I77,"-")</f>
        <v>0.1</v>
      </c>
      <c r="BN77" s="70">
        <f>+$I77*지급비율!BD$68</f>
        <v>8877000</v>
      </c>
      <c r="BO77" s="80"/>
      <c r="BP77" s="80">
        <f t="shared" ref="BP77:BP85" si="104">+BN77-BO77</f>
        <v>8877000</v>
      </c>
      <c r="BQ77" s="81"/>
      <c r="BR77" s="73"/>
      <c r="BS77" s="74" t="b">
        <f t="shared" ref="BS77:BS78" si="105">+Q77+X77+AE77+AS77+AZ77+BG77+BN77=I77</f>
        <v>1</v>
      </c>
      <c r="BT77" s="74" t="b">
        <f t="shared" ref="BT77:BT79" si="106">+R77+Y77+AF77+AT77+BA77+BH77+BO77=K77</f>
        <v>1</v>
      </c>
      <c r="BU77" s="74"/>
      <c r="BV77" s="54"/>
      <c r="BW77" s="54"/>
      <c r="BX77" s="54"/>
      <c r="BY77" s="54"/>
      <c r="BZ77" s="54"/>
      <c r="CA77" s="54"/>
      <c r="CB77" s="54"/>
      <c r="CC77" s="54"/>
      <c r="CD77" s="58"/>
      <c r="CE77" s="58"/>
    </row>
    <row r="78" spans="1:83" ht="16.5" customHeight="1">
      <c r="A78" s="62"/>
      <c r="B78" s="1322"/>
      <c r="C78" s="1330"/>
      <c r="D78" s="1329"/>
      <c r="E78" s="1324"/>
      <c r="F78" s="75" t="s">
        <v>390</v>
      </c>
      <c r="G78" s="76">
        <f>+지급비율!F69*$D$76/1000</f>
        <v>53800000</v>
      </c>
      <c r="H78" s="76">
        <f t="shared" ref="H78" si="107">+G78*10%</f>
        <v>5380000</v>
      </c>
      <c r="I78" s="76">
        <f t="shared" si="89"/>
        <v>59180000</v>
      </c>
      <c r="J78" s="75">
        <f t="shared" si="55"/>
        <v>0.4</v>
      </c>
      <c r="K78" s="80">
        <f t="shared" si="90"/>
        <v>23672000</v>
      </c>
      <c r="L78" s="80">
        <f t="shared" si="91"/>
        <v>35508000</v>
      </c>
      <c r="M78" s="1332"/>
      <c r="N78" s="78">
        <v>45930</v>
      </c>
      <c r="O78" s="78">
        <v>45922</v>
      </c>
      <c r="P78" s="79">
        <f t="shared" si="92"/>
        <v>0.3</v>
      </c>
      <c r="Q78" s="70">
        <f>+$I78*지급비율!G$69</f>
        <v>17754000</v>
      </c>
      <c r="R78" s="80">
        <v>17754000</v>
      </c>
      <c r="S78" s="80">
        <f t="shared" si="93"/>
        <v>0</v>
      </c>
      <c r="T78" s="81"/>
      <c r="U78" s="78">
        <v>45991</v>
      </c>
      <c r="V78" s="72">
        <v>45975</v>
      </c>
      <c r="W78" s="79">
        <f t="shared" si="94"/>
        <v>0.1</v>
      </c>
      <c r="X78" s="80">
        <f>+$I78*지급비율!N$69</f>
        <v>5918000</v>
      </c>
      <c r="Y78" s="80">
        <v>5918000</v>
      </c>
      <c r="Z78" s="80">
        <f t="shared" si="95"/>
        <v>0</v>
      </c>
      <c r="AA78" s="81"/>
      <c r="AB78" s="78">
        <v>46022</v>
      </c>
      <c r="AC78" s="72"/>
      <c r="AD78" s="79">
        <f t="shared" si="96"/>
        <v>0.5</v>
      </c>
      <c r="AE78" s="70">
        <f>+$I78*지급비율!U$69</f>
        <v>29590000</v>
      </c>
      <c r="AF78" s="80"/>
      <c r="AG78" s="80">
        <f t="shared" si="97"/>
        <v>29590000</v>
      </c>
      <c r="AH78" s="81"/>
      <c r="AI78" s="72"/>
      <c r="AJ78" s="72"/>
      <c r="AK78" s="79">
        <f t="shared" si="98"/>
        <v>0</v>
      </c>
      <c r="AL78" s="70">
        <f>+$I78*지급비율!AB$69</f>
        <v>0</v>
      </c>
      <c r="AM78" s="80"/>
      <c r="AN78" s="80">
        <f t="shared" si="99"/>
        <v>0</v>
      </c>
      <c r="AO78" s="81"/>
      <c r="AP78" s="72"/>
      <c r="AQ78" s="72"/>
      <c r="AR78" s="79"/>
      <c r="AS78" s="70">
        <f>+$I78*지급비율!AI$69</f>
        <v>0</v>
      </c>
      <c r="AT78" s="80"/>
      <c r="AU78" s="80">
        <f t="shared" si="100"/>
        <v>0</v>
      </c>
      <c r="AV78" s="81"/>
      <c r="AW78" s="72"/>
      <c r="AX78" s="72"/>
      <c r="AY78" s="79"/>
      <c r="AZ78" s="70">
        <f>+$I78*지급비율!AP$69</f>
        <v>0</v>
      </c>
      <c r="BA78" s="80"/>
      <c r="BB78" s="80">
        <f t="shared" si="101"/>
        <v>0</v>
      </c>
      <c r="BC78" s="81"/>
      <c r="BD78" s="72"/>
      <c r="BE78" s="72"/>
      <c r="BF78" s="79"/>
      <c r="BG78" s="70">
        <f>+$I78*지급비율!AW$69</f>
        <v>0</v>
      </c>
      <c r="BH78" s="80"/>
      <c r="BI78" s="80">
        <f t="shared" si="102"/>
        <v>0</v>
      </c>
      <c r="BJ78" s="81"/>
      <c r="BK78" s="78">
        <v>46142</v>
      </c>
      <c r="BL78" s="72"/>
      <c r="BM78" s="79">
        <f t="shared" si="103"/>
        <v>0.1</v>
      </c>
      <c r="BN78" s="70">
        <f>+$I78*지급비율!BD$69</f>
        <v>5918000</v>
      </c>
      <c r="BO78" s="80"/>
      <c r="BP78" s="80">
        <f t="shared" si="104"/>
        <v>5918000</v>
      </c>
      <c r="BQ78" s="81"/>
      <c r="BR78" s="73"/>
      <c r="BS78" s="74" t="b">
        <f t="shared" si="105"/>
        <v>1</v>
      </c>
      <c r="BT78" s="74" t="b">
        <f t="shared" si="106"/>
        <v>1</v>
      </c>
      <c r="BU78" s="74"/>
      <c r="BV78" s="54"/>
      <c r="BW78" s="54"/>
      <c r="BX78" s="54"/>
      <c r="BY78" s="54"/>
      <c r="BZ78" s="54"/>
      <c r="CA78" s="54"/>
      <c r="CB78" s="54"/>
      <c r="CC78" s="54"/>
      <c r="CD78" s="58"/>
      <c r="CE78" s="58"/>
    </row>
    <row r="79" spans="1:83" ht="16.5" customHeight="1">
      <c r="A79" s="62"/>
      <c r="B79" s="1322"/>
      <c r="C79" s="1330"/>
      <c r="D79" s="1329"/>
      <c r="E79" s="1324"/>
      <c r="F79" s="101" t="s">
        <v>391</v>
      </c>
      <c r="G79" s="102">
        <f>+지급비율!F70*$D$76/1000</f>
        <v>53800000</v>
      </c>
      <c r="H79" s="102">
        <f>+G79*0.1</f>
        <v>5380000</v>
      </c>
      <c r="I79" s="102">
        <f>SUM(G79:H79)</f>
        <v>59180000</v>
      </c>
      <c r="J79" s="101">
        <f t="shared" si="55"/>
        <v>0</v>
      </c>
      <c r="K79" s="106">
        <f t="shared" si="90"/>
        <v>0</v>
      </c>
      <c r="L79" s="106">
        <f t="shared" si="91"/>
        <v>59180000</v>
      </c>
      <c r="M79" s="1333"/>
      <c r="N79" s="85"/>
      <c r="O79" s="83"/>
      <c r="P79" s="86"/>
      <c r="Q79" s="70">
        <f>+$I79*지급비율!G$70</f>
        <v>0</v>
      </c>
      <c r="R79" s="87"/>
      <c r="S79" s="87"/>
      <c r="T79" s="83"/>
      <c r="U79" s="85"/>
      <c r="V79" s="83"/>
      <c r="W79" s="86"/>
      <c r="X79" s="87">
        <f>+$I79*지급비율!N$70</f>
        <v>0</v>
      </c>
      <c r="Y79" s="87"/>
      <c r="Z79" s="87"/>
      <c r="AA79" s="83"/>
      <c r="AB79" s="85"/>
      <c r="AC79" s="83"/>
      <c r="AD79" s="86"/>
      <c r="AE79" s="70">
        <f>+$I79*지급비율!U$70</f>
        <v>0</v>
      </c>
      <c r="AF79" s="87"/>
      <c r="AG79" s="87"/>
      <c r="AH79" s="83"/>
      <c r="AI79" s="85"/>
      <c r="AJ79" s="83"/>
      <c r="AK79" s="86"/>
      <c r="AL79" s="70">
        <f>+$I79*지급비율!AB$70</f>
        <v>0</v>
      </c>
      <c r="AM79" s="87"/>
      <c r="AN79" s="87"/>
      <c r="AO79" s="83"/>
      <c r="AP79" s="85"/>
      <c r="AQ79" s="83"/>
      <c r="AR79" s="86"/>
      <c r="AS79" s="70">
        <f>+$I79*지급비율!AI$70</f>
        <v>0</v>
      </c>
      <c r="AT79" s="87"/>
      <c r="AU79" s="87"/>
      <c r="AV79" s="83"/>
      <c r="AW79" s="85"/>
      <c r="AX79" s="83"/>
      <c r="AY79" s="86"/>
      <c r="AZ79" s="70">
        <f>+$I79*지급비율!AP$70</f>
        <v>0</v>
      </c>
      <c r="BA79" s="87"/>
      <c r="BB79" s="87"/>
      <c r="BC79" s="83"/>
      <c r="BD79" s="85"/>
      <c r="BE79" s="83"/>
      <c r="BF79" s="86"/>
      <c r="BG79" s="70">
        <f>+$I79*지급비율!AW$70</f>
        <v>0</v>
      </c>
      <c r="BH79" s="87"/>
      <c r="BI79" s="87"/>
      <c r="BJ79" s="83"/>
      <c r="BK79" s="78">
        <v>46142</v>
      </c>
      <c r="BL79" s="101"/>
      <c r="BM79" s="105">
        <f t="shared" si="103"/>
        <v>1</v>
      </c>
      <c r="BN79" s="70">
        <f>+$I79*지급비율!BD$70</f>
        <v>59180000</v>
      </c>
      <c r="BO79" s="106"/>
      <c r="BP79" s="106">
        <f t="shared" si="104"/>
        <v>59180000</v>
      </c>
      <c r="BQ79" s="101"/>
      <c r="BR79" s="88"/>
      <c r="BS79" s="89" t="b">
        <f>+Q79+X79+AE79+AS79+AZ79+BG79+BN79=I79</f>
        <v>1</v>
      </c>
      <c r="BT79" s="90" t="b">
        <f t="shared" si="106"/>
        <v>1</v>
      </c>
      <c r="BU79" s="90"/>
      <c r="BV79" s="54"/>
      <c r="BW79" s="54"/>
      <c r="BX79" s="54"/>
      <c r="BY79" s="54"/>
      <c r="BZ79" s="54"/>
      <c r="CA79" s="54"/>
      <c r="CB79" s="54"/>
      <c r="CC79" s="54"/>
      <c r="CD79" s="58"/>
      <c r="CE79" s="58"/>
    </row>
    <row r="80" spans="1:83" ht="16.5" customHeight="1">
      <c r="A80" s="62"/>
      <c r="B80" s="1322"/>
      <c r="C80" s="1330"/>
      <c r="D80" s="1329"/>
      <c r="E80" s="1324"/>
      <c r="F80" s="91" t="s">
        <v>392</v>
      </c>
      <c r="G80" s="92">
        <f>SUM(G76:G79)</f>
        <v>484200000</v>
      </c>
      <c r="H80" s="92">
        <f>SUM(H76:H79)</f>
        <v>48420000</v>
      </c>
      <c r="I80" s="92">
        <f>SUM(I76:I79)</f>
        <v>532620000</v>
      </c>
      <c r="J80" s="91">
        <f t="shared" si="55"/>
        <v>0.1111111111111111</v>
      </c>
      <c r="K80" s="92">
        <f>SUM(K76:K79)</f>
        <v>59180000</v>
      </c>
      <c r="L80" s="92">
        <f>SUM(L76:L79)</f>
        <v>473440000</v>
      </c>
      <c r="M80" s="419">
        <f>+Q77+Q78+X77+X78</f>
        <v>59180000</v>
      </c>
      <c r="N80" s="93"/>
      <c r="O80" s="91"/>
      <c r="P80" s="94">
        <f t="shared" ref="P80" si="108">+IFERROR(Q80/$I80,"-")</f>
        <v>8.3333333333333329E-2</v>
      </c>
      <c r="Q80" s="92">
        <f>SUM(Q76:Q79)</f>
        <v>44385000</v>
      </c>
      <c r="R80" s="170">
        <f>SUM(R76:R79)</f>
        <v>44385000</v>
      </c>
      <c r="S80" s="95">
        <f t="shared" ref="S80" si="109">+Q80-R80</f>
        <v>0</v>
      </c>
      <c r="T80" s="91"/>
      <c r="U80" s="93"/>
      <c r="V80" s="91"/>
      <c r="W80" s="94">
        <f t="shared" ref="W80" si="110">+IFERROR(X80/$I80,"-")</f>
        <v>2.7777777777777776E-2</v>
      </c>
      <c r="X80" s="92">
        <f>SUM(X76:X79)</f>
        <v>14795000</v>
      </c>
      <c r="Y80" s="92">
        <f>SUM(Y76:Y79)</f>
        <v>14795000</v>
      </c>
      <c r="Z80" s="95">
        <f t="shared" ref="Z80" si="111">+X80-Y80</f>
        <v>0</v>
      </c>
      <c r="AA80" s="91"/>
      <c r="AB80" s="93"/>
      <c r="AC80" s="91"/>
      <c r="AD80" s="94">
        <f t="shared" ref="AD80" si="112">+IFERROR(AE80/$I80,"-")</f>
        <v>0.44444444444444442</v>
      </c>
      <c r="AE80" s="92">
        <f>SUM(AE76:AE79)</f>
        <v>236720000</v>
      </c>
      <c r="AF80" s="92">
        <f>SUM(AF76:AF79)</f>
        <v>0</v>
      </c>
      <c r="AG80" s="95">
        <f t="shared" ref="AG80" si="113">+AE80-AF80</f>
        <v>236720000</v>
      </c>
      <c r="AH80" s="91"/>
      <c r="AI80" s="93"/>
      <c r="AJ80" s="91"/>
      <c r="AK80" s="94">
        <f t="shared" ref="AK80" si="114">+IFERROR(AL80/$I80,"-")</f>
        <v>0</v>
      </c>
      <c r="AL80" s="92">
        <f>SUM(AL76:AL79)</f>
        <v>0</v>
      </c>
      <c r="AM80" s="92">
        <f>SUM(AM76:AM79)</f>
        <v>0</v>
      </c>
      <c r="AN80" s="95">
        <f t="shared" ref="AN80" si="115">+AL80-AM80</f>
        <v>0</v>
      </c>
      <c r="AO80" s="91"/>
      <c r="AP80" s="93"/>
      <c r="AQ80" s="91"/>
      <c r="AR80" s="94">
        <f t="shared" ref="AR80" si="116">+IFERROR(AS80/$I80,"-")</f>
        <v>0</v>
      </c>
      <c r="AS80" s="92">
        <f>SUM(AS76:AS79)</f>
        <v>0</v>
      </c>
      <c r="AT80" s="92">
        <f>SUM(AT76:AT79)</f>
        <v>0</v>
      </c>
      <c r="AU80" s="95">
        <f t="shared" ref="AU80" si="117">+AS80-AT80</f>
        <v>0</v>
      </c>
      <c r="AV80" s="91"/>
      <c r="AW80" s="93"/>
      <c r="AX80" s="91"/>
      <c r="AY80" s="94">
        <f t="shared" ref="AY80" si="118">+IFERROR(AZ80/$I80,"-")</f>
        <v>0</v>
      </c>
      <c r="AZ80" s="92">
        <f>SUM(AZ76:AZ79)</f>
        <v>0</v>
      </c>
      <c r="BA80" s="92">
        <f>SUM(BA76:BA79)</f>
        <v>0</v>
      </c>
      <c r="BB80" s="95">
        <f t="shared" ref="BB80" si="119">+AZ80-BA80</f>
        <v>0</v>
      </c>
      <c r="BC80" s="91"/>
      <c r="BD80" s="93"/>
      <c r="BE80" s="91"/>
      <c r="BF80" s="94">
        <f t="shared" ref="BF80" si="120">+IFERROR(BG80/$I80,"-")</f>
        <v>0.24444444444444444</v>
      </c>
      <c r="BG80" s="92">
        <f>SUM(BG76:BG79)</f>
        <v>130196000</v>
      </c>
      <c r="BH80" s="92">
        <f>SUM(BH76:BH79)</f>
        <v>0</v>
      </c>
      <c r="BI80" s="95">
        <f t="shared" ref="BI80" si="121">+BG80-BH80</f>
        <v>130196000</v>
      </c>
      <c r="BJ80" s="91"/>
      <c r="BK80" s="93"/>
      <c r="BL80" s="91"/>
      <c r="BM80" s="94">
        <f t="shared" si="103"/>
        <v>0.2</v>
      </c>
      <c r="BN80" s="92">
        <f>SUM(BN76:BN79)</f>
        <v>106524000</v>
      </c>
      <c r="BO80" s="92">
        <f>SUM(BO76:BO79)</f>
        <v>0</v>
      </c>
      <c r="BP80" s="95">
        <f t="shared" si="104"/>
        <v>106524000</v>
      </c>
      <c r="BQ80" s="91"/>
      <c r="BR80" s="88"/>
      <c r="BS80" s="96"/>
      <c r="BT80" s="97"/>
      <c r="BU80" s="97"/>
      <c r="BV80" s="54"/>
      <c r="BW80" s="54"/>
      <c r="BX80" s="54"/>
      <c r="BY80" s="54"/>
      <c r="BZ80" s="54"/>
      <c r="CA80" s="54"/>
      <c r="CB80" s="54"/>
      <c r="CC80" s="54"/>
      <c r="CD80" s="58"/>
      <c r="CE80" s="58"/>
    </row>
    <row r="81" spans="1:83" ht="16.5" customHeight="1">
      <c r="A81" s="62"/>
      <c r="B81" s="1322">
        <f t="shared" ref="B81" si="122">+B76+1</f>
        <v>15</v>
      </c>
      <c r="C81" s="1337" t="s">
        <v>406</v>
      </c>
      <c r="D81" s="1340">
        <v>315</v>
      </c>
      <c r="E81" s="1343" t="s">
        <v>387</v>
      </c>
      <c r="F81" s="63" t="s">
        <v>388</v>
      </c>
      <c r="G81" s="64">
        <f>+지급비율!F63*$D$81/1000</f>
        <v>346500000</v>
      </c>
      <c r="H81" s="64">
        <f>+G81*10%</f>
        <v>34650000</v>
      </c>
      <c r="I81" s="64">
        <f>SUM(G81:H81)</f>
        <v>381150000</v>
      </c>
      <c r="J81" s="65">
        <f t="shared" si="55"/>
        <v>0</v>
      </c>
      <c r="K81" s="70">
        <f>+IFERROR(R81+Y81+AF81+AT81+BA81+BH81+BO81,"-")</f>
        <v>0</v>
      </c>
      <c r="L81" s="70">
        <f>+I81-K81</f>
        <v>381150000</v>
      </c>
      <c r="M81" s="1331" t="s">
        <v>407</v>
      </c>
      <c r="N81" s="67"/>
      <c r="O81" s="72"/>
      <c r="P81" s="69"/>
      <c r="Q81" s="70">
        <f>+지급비율!G63*$I81</f>
        <v>0</v>
      </c>
      <c r="R81" s="70"/>
      <c r="S81" s="70">
        <f>+Q81-R81</f>
        <v>0</v>
      </c>
      <c r="T81" s="81"/>
      <c r="U81" s="67"/>
      <c r="V81" s="68"/>
      <c r="W81" s="69"/>
      <c r="X81" s="70">
        <f>+지급비율!N63*$I81</f>
        <v>0</v>
      </c>
      <c r="Y81" s="70"/>
      <c r="Z81" s="70">
        <f>+X81-Y81</f>
        <v>0</v>
      </c>
      <c r="AA81" s="81"/>
      <c r="AB81" s="67">
        <f>+EDATE(AI81,-1)+1</f>
        <v>45990</v>
      </c>
      <c r="AC81" s="68"/>
      <c r="AD81" s="69"/>
      <c r="AE81" s="70">
        <f>+지급비율!U63*$I81</f>
        <v>190575000</v>
      </c>
      <c r="AF81" s="70"/>
      <c r="AG81" s="70">
        <f>+AE81-AF81</f>
        <v>190575000</v>
      </c>
      <c r="AH81" s="81"/>
      <c r="AI81" s="67">
        <f>+EDATE(AP81,-1)</f>
        <v>46019</v>
      </c>
      <c r="AJ81" s="68"/>
      <c r="AK81" s="69"/>
      <c r="AL81" s="70">
        <f>+지급비율!AB63*$I81</f>
        <v>0</v>
      </c>
      <c r="AM81" s="70"/>
      <c r="AN81" s="70">
        <f>+AL81-AM81</f>
        <v>0</v>
      </c>
      <c r="AO81" s="81"/>
      <c r="AP81" s="67">
        <f>+EDATE(AW81,-1)</f>
        <v>46050</v>
      </c>
      <c r="AQ81" s="68"/>
      <c r="AR81" s="69"/>
      <c r="AS81" s="70">
        <f>+지급비율!AI63*$I81</f>
        <v>0</v>
      </c>
      <c r="AT81" s="70"/>
      <c r="AU81" s="70">
        <f>+AS81-AT81</f>
        <v>0</v>
      </c>
      <c r="AV81" s="81"/>
      <c r="AW81" s="67">
        <f>+EDATE(BD81,-1)</f>
        <v>46081</v>
      </c>
      <c r="AX81" s="68"/>
      <c r="AY81" s="69"/>
      <c r="AZ81" s="70">
        <f>+지급비율!AP63*$I81</f>
        <v>0</v>
      </c>
      <c r="BA81" s="70"/>
      <c r="BB81" s="70">
        <f>+AZ81-BA81</f>
        <v>0</v>
      </c>
      <c r="BC81" s="81"/>
      <c r="BD81" s="67">
        <f>+EDATE(BK81,-1)</f>
        <v>46111</v>
      </c>
      <c r="BE81" s="68"/>
      <c r="BF81" s="69"/>
      <c r="BG81" s="70">
        <f>+지급비율!AW63*$I81</f>
        <v>152460000</v>
      </c>
      <c r="BH81" s="70"/>
      <c r="BI81" s="70">
        <f>+BG81-BH81</f>
        <v>152460000</v>
      </c>
      <c r="BJ81" s="81"/>
      <c r="BK81" s="78">
        <v>46142</v>
      </c>
      <c r="BL81" s="68"/>
      <c r="BM81" s="69"/>
      <c r="BN81" s="70">
        <f>+지급비율!BD63*$I81</f>
        <v>38115000</v>
      </c>
      <c r="BO81" s="70"/>
      <c r="BP81" s="70">
        <f t="shared" si="104"/>
        <v>38115000</v>
      </c>
      <c r="BQ81" s="81"/>
      <c r="BR81" s="73"/>
      <c r="BS81" s="74" t="b">
        <f>+Q81+X81+AE81+AS81+AZ81+BG81+BN81=I81</f>
        <v>1</v>
      </c>
      <c r="BT81" s="74" t="b">
        <f>+R81+Y81+AF81+AT81+BA81+BH81+BO81=K81</f>
        <v>1</v>
      </c>
      <c r="BU81" s="74"/>
      <c r="BV81" s="54"/>
      <c r="BW81" s="54"/>
      <c r="BX81" s="54"/>
      <c r="BY81" s="54"/>
      <c r="BZ81" s="54"/>
      <c r="CA81" s="54"/>
      <c r="CB81" s="54"/>
      <c r="CC81" s="54"/>
      <c r="CD81" s="58"/>
      <c r="CE81" s="58"/>
    </row>
    <row r="82" spans="1:83" ht="16.5" customHeight="1">
      <c r="A82" s="62"/>
      <c r="B82" s="1322"/>
      <c r="C82" s="1338"/>
      <c r="D82" s="1341"/>
      <c r="E82" s="1344"/>
      <c r="F82" s="75" t="s">
        <v>389</v>
      </c>
      <c r="G82" s="76">
        <f>+지급비율!F64*$D$81/1000</f>
        <v>94500000</v>
      </c>
      <c r="H82" s="76">
        <f>+G82*10%</f>
        <v>9450000</v>
      </c>
      <c r="I82" s="76">
        <f>SUM(G82:H82)</f>
        <v>103950000</v>
      </c>
      <c r="J82" s="75">
        <f t="shared" si="55"/>
        <v>0.3</v>
      </c>
      <c r="K82" s="80">
        <f>+IFERROR(R82+Y82+AF82+AT82+BA82+BH82+BO82,"-")</f>
        <v>31185000</v>
      </c>
      <c r="L82" s="80">
        <f>+I82-K82</f>
        <v>72765000</v>
      </c>
      <c r="M82" s="1332"/>
      <c r="N82" s="78">
        <v>45935</v>
      </c>
      <c r="O82" s="78">
        <v>45922</v>
      </c>
      <c r="P82" s="79">
        <f>+IFERROR(Q82/$I82,"-")</f>
        <v>0.3</v>
      </c>
      <c r="Q82" s="70">
        <f>+지급비율!G64*$I82</f>
        <v>31185000</v>
      </c>
      <c r="R82" s="80">
        <f>+Q82</f>
        <v>31185000</v>
      </c>
      <c r="S82" s="80">
        <f>+Q82-R82</f>
        <v>0</v>
      </c>
      <c r="T82" s="81"/>
      <c r="U82" s="78">
        <v>45991</v>
      </c>
      <c r="V82" s="78"/>
      <c r="W82" s="79">
        <f>+IFERROR(X82/$I82,"-")</f>
        <v>0.1</v>
      </c>
      <c r="X82" s="70">
        <f>+지급비율!N64*$I82</f>
        <v>10395000</v>
      </c>
      <c r="Y82" s="70"/>
      <c r="Z82" s="70">
        <f>+X82-Y82</f>
        <v>10395000</v>
      </c>
      <c r="AA82" s="161"/>
      <c r="AB82" s="78">
        <v>45991</v>
      </c>
      <c r="AC82" s="78"/>
      <c r="AD82" s="79">
        <f>+IFERROR(AE82/$I82,"-")</f>
        <v>0.5</v>
      </c>
      <c r="AE82" s="70">
        <f>+지급비율!U64*$I82</f>
        <v>51975000</v>
      </c>
      <c r="AF82" s="70"/>
      <c r="AG82" s="70">
        <f>+AE82-AF82</f>
        <v>51975000</v>
      </c>
      <c r="AH82" s="161"/>
      <c r="AI82" s="78"/>
      <c r="AJ82" s="78"/>
      <c r="AK82" s="79">
        <f>+IFERROR(AL82/$I82,"-")</f>
        <v>0</v>
      </c>
      <c r="AL82" s="70">
        <f>+지급비율!AB64*$I82</f>
        <v>0</v>
      </c>
      <c r="AM82" s="70"/>
      <c r="AN82" s="70">
        <f>+AL82-AM82</f>
        <v>0</v>
      </c>
      <c r="AO82" s="161"/>
      <c r="AP82" s="78"/>
      <c r="AQ82" s="78"/>
      <c r="AR82" s="79">
        <f>+IFERROR(AS82/$I82,"-")</f>
        <v>0</v>
      </c>
      <c r="AS82" s="70">
        <f>+지급비율!AI64*$I82</f>
        <v>0</v>
      </c>
      <c r="AT82" s="70"/>
      <c r="AU82" s="70">
        <f>+AS82-AT82</f>
        <v>0</v>
      </c>
      <c r="AV82" s="161"/>
      <c r="AW82" s="78"/>
      <c r="AX82" s="78"/>
      <c r="AY82" s="79">
        <f>+IFERROR(AZ82/$I82,"-")</f>
        <v>0</v>
      </c>
      <c r="AZ82" s="70">
        <f>+지급비율!AP64*$I82</f>
        <v>0</v>
      </c>
      <c r="BA82" s="70"/>
      <c r="BB82" s="70">
        <f>+AZ82-BA82</f>
        <v>0</v>
      </c>
      <c r="BC82" s="161"/>
      <c r="BD82" s="78"/>
      <c r="BE82" s="78"/>
      <c r="BF82" s="79">
        <f>+IFERROR(BG82/$I82,"-")</f>
        <v>0</v>
      </c>
      <c r="BG82" s="70">
        <f>+지급비율!AW64*$I82</f>
        <v>0</v>
      </c>
      <c r="BH82" s="70"/>
      <c r="BI82" s="70">
        <f>+BG82-BH82</f>
        <v>0</v>
      </c>
      <c r="BJ82" s="161"/>
      <c r="BK82" s="78">
        <v>46142</v>
      </c>
      <c r="BL82" s="78"/>
      <c r="BM82" s="79">
        <f>+IFERROR(BN82/$I82,"-")</f>
        <v>0.1</v>
      </c>
      <c r="BN82" s="70">
        <f>+지급비율!BD64*$I82</f>
        <v>10395000</v>
      </c>
      <c r="BO82" s="70"/>
      <c r="BP82" s="70">
        <f t="shared" si="104"/>
        <v>10395000</v>
      </c>
      <c r="BQ82" s="161"/>
      <c r="BR82" s="73"/>
      <c r="BS82" s="74" t="b">
        <f>+Q82+X82+AE82+AS82+AZ82+BG82+BN82=I82</f>
        <v>1</v>
      </c>
      <c r="BT82" s="74" t="b">
        <f>+R82+Y82+AF82+AT82+BA82+BH82+BO82=K82</f>
        <v>1</v>
      </c>
      <c r="BU82" s="74" t="b">
        <f>+BG82+BG83+AZ82+AZ83+AS82+AS83+AE82+AE83+X82+X83+Q82+Q83+BN82+BN83=([5]지급비율!$F$39+[5]지급비율!$F$40)*1.1*D81/1000</f>
        <v>0</v>
      </c>
      <c r="BV82" s="54"/>
      <c r="BW82" s="54"/>
      <c r="BX82" s="54"/>
      <c r="BY82" s="54"/>
      <c r="BZ82" s="54"/>
      <c r="CA82" s="54"/>
      <c r="CB82" s="54"/>
      <c r="CC82" s="54"/>
      <c r="CD82" s="58"/>
      <c r="CE82" s="58"/>
    </row>
    <row r="83" spans="1:83" ht="16.5" customHeight="1">
      <c r="A83" s="62"/>
      <c r="B83" s="1322"/>
      <c r="C83" s="1338"/>
      <c r="D83" s="1341"/>
      <c r="E83" s="1344"/>
      <c r="F83" s="75" t="s">
        <v>390</v>
      </c>
      <c r="G83" s="76">
        <f>+지급비율!F65*$D$81/1000</f>
        <v>63000000</v>
      </c>
      <c r="H83" s="76">
        <f>+G83*10%</f>
        <v>6300000</v>
      </c>
      <c r="I83" s="76">
        <f>SUM(G83:H83)</f>
        <v>69300000</v>
      </c>
      <c r="J83" s="75">
        <f t="shared" si="55"/>
        <v>0.3</v>
      </c>
      <c r="K83" s="80">
        <f>+IFERROR(R83+Y83+AF83+AT83+BA83+BH83+BO83,"-")</f>
        <v>20790000</v>
      </c>
      <c r="L83" s="80">
        <f>+I83-K83</f>
        <v>48510000</v>
      </c>
      <c r="M83" s="1332"/>
      <c r="N83" s="78">
        <v>45935</v>
      </c>
      <c r="O83" s="78">
        <v>45922</v>
      </c>
      <c r="P83" s="79">
        <f>+IFERROR(Q83/$I83,"-")</f>
        <v>0.3</v>
      </c>
      <c r="Q83" s="70">
        <f>+지급비율!G65*$I83</f>
        <v>20790000</v>
      </c>
      <c r="R83" s="80">
        <f>+Q83</f>
        <v>20790000</v>
      </c>
      <c r="S83" s="80">
        <f>+Q83-R83</f>
        <v>0</v>
      </c>
      <c r="T83" s="81"/>
      <c r="U83" s="78">
        <v>45991</v>
      </c>
      <c r="V83" s="72"/>
      <c r="W83" s="79">
        <f>+IFERROR(X83/$I83,"-")</f>
        <v>0.1</v>
      </c>
      <c r="X83" s="70">
        <f>+지급비율!N65*$I83</f>
        <v>6930000</v>
      </c>
      <c r="Y83" s="70"/>
      <c r="Z83" s="70">
        <f>+X83-Y83</f>
        <v>6930000</v>
      </c>
      <c r="AA83" s="161"/>
      <c r="AB83" s="78">
        <v>45991</v>
      </c>
      <c r="AC83" s="72"/>
      <c r="AD83" s="79">
        <f>+IFERROR(AE83/$I83,"-")</f>
        <v>0.5</v>
      </c>
      <c r="AE83" s="70">
        <f>+지급비율!U65*$I83</f>
        <v>34650000</v>
      </c>
      <c r="AF83" s="70"/>
      <c r="AG83" s="70">
        <f>+AE83-AF83</f>
        <v>34650000</v>
      </c>
      <c r="AH83" s="161"/>
      <c r="AI83" s="72"/>
      <c r="AJ83" s="72"/>
      <c r="AK83" s="79">
        <f>+IFERROR(AL83/$I83,"-")</f>
        <v>0</v>
      </c>
      <c r="AL83" s="70">
        <f>+지급비율!AB65*$I83</f>
        <v>0</v>
      </c>
      <c r="AM83" s="70"/>
      <c r="AN83" s="70">
        <f>+AL83-AM83</f>
        <v>0</v>
      </c>
      <c r="AO83" s="161"/>
      <c r="AP83" s="72"/>
      <c r="AQ83" s="72"/>
      <c r="AR83" s="79">
        <f>+IFERROR(AS83/$I83,"-")</f>
        <v>0</v>
      </c>
      <c r="AS83" s="70">
        <f>+지급비율!AI65*$I83</f>
        <v>0</v>
      </c>
      <c r="AT83" s="70"/>
      <c r="AU83" s="70">
        <f>+AS83-AT83</f>
        <v>0</v>
      </c>
      <c r="AV83" s="161"/>
      <c r="AW83" s="72"/>
      <c r="AX83" s="72"/>
      <c r="AY83" s="79">
        <f>+IFERROR(AZ83/$I83,"-")</f>
        <v>0</v>
      </c>
      <c r="AZ83" s="70">
        <f>+지급비율!AP65*$I83</f>
        <v>0</v>
      </c>
      <c r="BA83" s="70"/>
      <c r="BB83" s="70">
        <f>+AZ83-BA83</f>
        <v>0</v>
      </c>
      <c r="BC83" s="161"/>
      <c r="BD83" s="72"/>
      <c r="BE83" s="72"/>
      <c r="BF83" s="79">
        <f>+IFERROR(BG83/$I83,"-")</f>
        <v>0</v>
      </c>
      <c r="BG83" s="70">
        <f>+지급비율!AW65*$I83</f>
        <v>0</v>
      </c>
      <c r="BH83" s="70"/>
      <c r="BI83" s="70">
        <f>+BG83-BH83</f>
        <v>0</v>
      </c>
      <c r="BJ83" s="161"/>
      <c r="BK83" s="78">
        <v>46142</v>
      </c>
      <c r="BL83" s="72"/>
      <c r="BM83" s="79">
        <f>+IFERROR(BN83/$I83,"-")</f>
        <v>0.1</v>
      </c>
      <c r="BN83" s="70">
        <f>+지급비율!BD65*$I83</f>
        <v>6930000</v>
      </c>
      <c r="BO83" s="70"/>
      <c r="BP83" s="70">
        <f t="shared" si="104"/>
        <v>6930000</v>
      </c>
      <c r="BQ83" s="161"/>
      <c r="BR83" s="73"/>
      <c r="BS83" s="74" t="b">
        <f>+Q83+X83+AE83+AS83+AZ83+BG83+BN83=I83</f>
        <v>1</v>
      </c>
      <c r="BT83" s="74" t="b">
        <f>+R83+Y83+AF83+AT83+BA83+BH83+BO83=K83</f>
        <v>1</v>
      </c>
      <c r="BU83" s="74"/>
      <c r="BV83" s="54"/>
      <c r="BW83" s="54"/>
      <c r="BX83" s="54"/>
      <c r="BY83" s="54"/>
      <c r="BZ83" s="54"/>
      <c r="CA83" s="54"/>
      <c r="CB83" s="54"/>
      <c r="CC83" s="54"/>
      <c r="CD83" s="58"/>
      <c r="CE83" s="58"/>
    </row>
    <row r="84" spans="1:83" ht="16.5" customHeight="1">
      <c r="A84" s="62"/>
      <c r="B84" s="1322"/>
      <c r="C84" s="1338"/>
      <c r="D84" s="1341"/>
      <c r="E84" s="1344"/>
      <c r="F84" s="101" t="s">
        <v>391</v>
      </c>
      <c r="G84" s="102">
        <f>+지급비율!F66*$D$81/1000</f>
        <v>55125000</v>
      </c>
      <c r="H84" s="102">
        <f>+G84*0.1</f>
        <v>5512500</v>
      </c>
      <c r="I84" s="102">
        <f>SUM(G84:H84)</f>
        <v>60637500</v>
      </c>
      <c r="J84" s="101">
        <f t="shared" si="55"/>
        <v>0</v>
      </c>
      <c r="K84" s="106">
        <f>+IFERROR(R84+Y84+AF84+AT84+BA84+BH84+BO84,"-")</f>
        <v>0</v>
      </c>
      <c r="L84" s="106">
        <f>+I84-K84</f>
        <v>60637500</v>
      </c>
      <c r="M84" s="1333"/>
      <c r="N84" s="85"/>
      <c r="O84" s="83"/>
      <c r="P84" s="86"/>
      <c r="Q84" s="70">
        <f>+지급비율!G66*$I84</f>
        <v>0</v>
      </c>
      <c r="R84" s="87"/>
      <c r="S84" s="87"/>
      <c r="T84" s="83"/>
      <c r="U84" s="85"/>
      <c r="V84" s="83"/>
      <c r="W84" s="86"/>
      <c r="X84" s="70">
        <f>+지급비율!N66*$I84</f>
        <v>0</v>
      </c>
      <c r="Y84" s="87"/>
      <c r="Z84" s="87"/>
      <c r="AA84" s="83"/>
      <c r="AB84" s="85"/>
      <c r="AC84" s="83"/>
      <c r="AD84" s="86"/>
      <c r="AE84" s="70">
        <f>+지급비율!U66*$I84</f>
        <v>0</v>
      </c>
      <c r="AF84" s="87"/>
      <c r="AG84" s="87"/>
      <c r="AH84" s="83"/>
      <c r="AI84" s="85"/>
      <c r="AJ84" s="83"/>
      <c r="AK84" s="86"/>
      <c r="AL84" s="70">
        <f>+지급비율!AB66*$I84</f>
        <v>0</v>
      </c>
      <c r="AM84" s="87"/>
      <c r="AN84" s="87"/>
      <c r="AO84" s="83"/>
      <c r="AP84" s="85"/>
      <c r="AQ84" s="83"/>
      <c r="AR84" s="86"/>
      <c r="AS84" s="70">
        <f>+지급비율!AI66*$I84</f>
        <v>0</v>
      </c>
      <c r="AT84" s="87"/>
      <c r="AU84" s="87"/>
      <c r="AV84" s="83"/>
      <c r="AW84" s="85"/>
      <c r="AX84" s="83"/>
      <c r="AY84" s="86"/>
      <c r="AZ84" s="70">
        <f>+지급비율!AP66*$I84</f>
        <v>0</v>
      </c>
      <c r="BA84" s="87"/>
      <c r="BB84" s="87"/>
      <c r="BC84" s="83"/>
      <c r="BD84" s="85"/>
      <c r="BE84" s="83"/>
      <c r="BF84" s="86"/>
      <c r="BG84" s="70">
        <f>+지급비율!AW66*$I84</f>
        <v>0</v>
      </c>
      <c r="BH84" s="87"/>
      <c r="BI84" s="87"/>
      <c r="BJ84" s="83"/>
      <c r="BK84" s="78">
        <v>46142</v>
      </c>
      <c r="BL84" s="101"/>
      <c r="BM84" s="86"/>
      <c r="BN84" s="70">
        <f>+지급비율!BD66*$I84</f>
        <v>60637500</v>
      </c>
      <c r="BO84" s="87"/>
      <c r="BP84" s="70">
        <f t="shared" si="104"/>
        <v>60637500</v>
      </c>
      <c r="BQ84" s="83"/>
      <c r="BR84" s="88"/>
      <c r="BS84" s="89" t="b">
        <f>+Q84+X84+AE84+AS84+AZ84+BG84+BN84=I84</f>
        <v>1</v>
      </c>
      <c r="BT84" s="90" t="b">
        <f>+R84+Y84+AF84+AT84+BA84+BH84+BO84=K84</f>
        <v>1</v>
      </c>
      <c r="BU84" s="90"/>
      <c r="BV84" s="54"/>
      <c r="BW84" s="54"/>
      <c r="BX84" s="54"/>
      <c r="BY84" s="54"/>
      <c r="BZ84" s="54"/>
      <c r="CA84" s="54"/>
      <c r="CB84" s="54"/>
      <c r="CC84" s="54"/>
      <c r="CD84" s="58"/>
      <c r="CE84" s="58"/>
    </row>
    <row r="85" spans="1:83" ht="16.5" customHeight="1">
      <c r="A85" s="62"/>
      <c r="B85" s="1322"/>
      <c r="C85" s="1339"/>
      <c r="D85" s="1342"/>
      <c r="E85" s="1345"/>
      <c r="F85" s="91" t="s">
        <v>392</v>
      </c>
      <c r="G85" s="92">
        <f>SUM(G81:G84)</f>
        <v>559125000</v>
      </c>
      <c r="H85" s="92">
        <f>SUM(H81:H84)</f>
        <v>55912500</v>
      </c>
      <c r="I85" s="92">
        <f>SUM(I81:I84)</f>
        <v>615037500</v>
      </c>
      <c r="J85" s="91">
        <f t="shared" si="55"/>
        <v>8.4507042253521125E-2</v>
      </c>
      <c r="K85" s="92">
        <f>SUM(K81:K84)</f>
        <v>51975000</v>
      </c>
      <c r="L85" s="92">
        <f>SUM(L81:L84)</f>
        <v>563062500</v>
      </c>
      <c r="M85" s="419">
        <f>+Q82+Q83</f>
        <v>51975000</v>
      </c>
      <c r="N85" s="93"/>
      <c r="O85" s="91"/>
      <c r="P85" s="94">
        <f t="shared" ref="P85:P90" si="123">+IFERROR(Q85/$I85,"-")</f>
        <v>8.4507042253521125E-2</v>
      </c>
      <c r="Q85" s="92">
        <f>SUM(Q81:Q84)</f>
        <v>51975000</v>
      </c>
      <c r="R85" s="170">
        <f>SUM(R81:R84)</f>
        <v>51975000</v>
      </c>
      <c r="S85" s="95">
        <f t="shared" ref="S85" si="124">+Q85-R85</f>
        <v>0</v>
      </c>
      <c r="T85" s="91"/>
      <c r="U85" s="93"/>
      <c r="V85" s="91"/>
      <c r="W85" s="94">
        <f>+IFERROR(X85/$I85,"-")</f>
        <v>2.8169014084507043E-2</v>
      </c>
      <c r="X85" s="92">
        <f>SUM(X81:X84)</f>
        <v>17325000</v>
      </c>
      <c r="Y85" s="92">
        <f>SUM(Y81:Y84)</f>
        <v>0</v>
      </c>
      <c r="Z85" s="95">
        <f t="shared" ref="Z85" si="125">+X85-Y85</f>
        <v>17325000</v>
      </c>
      <c r="AA85" s="91"/>
      <c r="AB85" s="93"/>
      <c r="AC85" s="91"/>
      <c r="AD85" s="94">
        <f>+IFERROR(AE85/$I85,"-")</f>
        <v>0.45070422535211269</v>
      </c>
      <c r="AE85" s="92">
        <f>SUM(AE81:AE84)</f>
        <v>277200000</v>
      </c>
      <c r="AF85" s="92">
        <f>SUM(AF81:AF84)</f>
        <v>0</v>
      </c>
      <c r="AG85" s="95">
        <f t="shared" ref="AG85" si="126">+AE85-AF85</f>
        <v>277200000</v>
      </c>
      <c r="AH85" s="91"/>
      <c r="AI85" s="93"/>
      <c r="AJ85" s="91"/>
      <c r="AK85" s="94">
        <f t="shared" ref="AK85" si="127">+IFERROR(AL85/$I85,"-")</f>
        <v>0</v>
      </c>
      <c r="AL85" s="92">
        <f>SUM(AL81:AL84)</f>
        <v>0</v>
      </c>
      <c r="AM85" s="92">
        <f>SUM(AM81:AM84)</f>
        <v>0</v>
      </c>
      <c r="AN85" s="95">
        <f t="shared" ref="AN85" si="128">+AL85-AM85</f>
        <v>0</v>
      </c>
      <c r="AO85" s="91"/>
      <c r="AP85" s="93"/>
      <c r="AQ85" s="91"/>
      <c r="AR85" s="94">
        <f>+IFERROR(AS85/$I85,"-")</f>
        <v>0</v>
      </c>
      <c r="AS85" s="92">
        <f>SUM(AS81:AS84)</f>
        <v>0</v>
      </c>
      <c r="AT85" s="92">
        <f>SUM(AT81:AT84)</f>
        <v>0</v>
      </c>
      <c r="AU85" s="95">
        <f t="shared" ref="AU85" si="129">+AS85-AT85</f>
        <v>0</v>
      </c>
      <c r="AV85" s="91"/>
      <c r="AW85" s="93"/>
      <c r="AX85" s="91"/>
      <c r="AY85" s="94">
        <f>+IFERROR(AZ85/$I85,"-")</f>
        <v>0</v>
      </c>
      <c r="AZ85" s="92">
        <f>SUM(AZ81:AZ84)</f>
        <v>0</v>
      </c>
      <c r="BA85" s="92">
        <f>SUM(BA81:BA84)</f>
        <v>0</v>
      </c>
      <c r="BB85" s="95">
        <f t="shared" ref="BB85" si="130">+AZ85-BA85</f>
        <v>0</v>
      </c>
      <c r="BC85" s="91"/>
      <c r="BD85" s="93"/>
      <c r="BE85" s="91"/>
      <c r="BF85" s="94">
        <f>+IFERROR(BG85/$I85,"-")</f>
        <v>0.24788732394366197</v>
      </c>
      <c r="BG85" s="92">
        <f>SUM(BG81:BG84)</f>
        <v>152460000</v>
      </c>
      <c r="BH85" s="92">
        <f>SUM(BH81:BH84)</f>
        <v>0</v>
      </c>
      <c r="BI85" s="95">
        <f t="shared" ref="BI85" si="131">+BG85-BH85</f>
        <v>152460000</v>
      </c>
      <c r="BJ85" s="91"/>
      <c r="BK85" s="93"/>
      <c r="BL85" s="91"/>
      <c r="BM85" s="94">
        <f t="shared" ref="BM85" si="132">+IFERROR(BN85/$I85,"-")</f>
        <v>0.18873239436619718</v>
      </c>
      <c r="BN85" s="92">
        <f>SUM(BN81:BN84)</f>
        <v>116077500</v>
      </c>
      <c r="BO85" s="92">
        <f>SUM(BO81:BO84)</f>
        <v>0</v>
      </c>
      <c r="BP85" s="95">
        <f t="shared" si="104"/>
        <v>116077500</v>
      </c>
      <c r="BQ85" s="91"/>
      <c r="BR85" s="88"/>
      <c r="BS85" s="96"/>
      <c r="BT85" s="97"/>
      <c r="BU85" s="97"/>
      <c r="BV85" s="54"/>
      <c r="BW85" s="54"/>
      <c r="BX85" s="54"/>
      <c r="BY85" s="54"/>
      <c r="BZ85" s="54"/>
      <c r="CA85" s="54"/>
      <c r="CB85" s="54"/>
      <c r="CC85" s="54"/>
      <c r="CD85" s="58"/>
      <c r="CE85" s="58"/>
    </row>
    <row r="86" spans="1:83" ht="16.5" customHeight="1">
      <c r="A86" s="62"/>
      <c r="B86" s="1346" t="s">
        <v>392</v>
      </c>
      <c r="C86" s="1346"/>
      <c r="D86" s="1348">
        <f>+SUM(D11:D80)</f>
        <v>4375.1400000000003</v>
      </c>
      <c r="E86" s="1346"/>
      <c r="F86" s="108" t="s">
        <v>388</v>
      </c>
      <c r="G86" s="109">
        <f>G11+G16+G21+G26+G31+G36+G41+G46+G51+G56+G61+G66+G71+G76+G81</f>
        <v>5159154000</v>
      </c>
      <c r="H86" s="109">
        <f>+G86*10%</f>
        <v>515915400</v>
      </c>
      <c r="I86" s="109">
        <f>SUM(G86:H86)</f>
        <v>5675069400</v>
      </c>
      <c r="J86" s="108">
        <f>+IFERROR(K86/I86,"-")</f>
        <v>4.5061367883888787E-2</v>
      </c>
      <c r="K86" s="109">
        <f>K11+K16+K21+K26+K31+K36+K41+K46+K51+K56+K61+K66+K71+K76+K81</f>
        <v>255726390</v>
      </c>
      <c r="L86" s="109">
        <f>L11+L16+L21+L26+L31+L36+L41+L46+L51+L56+L61+L66+L71+L76+L81</f>
        <v>5419343010</v>
      </c>
      <c r="M86" s="426"/>
      <c r="N86" s="110"/>
      <c r="O86" s="110"/>
      <c r="P86" s="111">
        <f t="shared" si="123"/>
        <v>0</v>
      </c>
      <c r="Q86" s="109">
        <f>Q11+Q16+Q21+Q26+Q31+Q36+Q41+Q46+Q51+Q56+Q61+Q66+Q71+Q76+Q81</f>
        <v>0</v>
      </c>
      <c r="R86" s="109">
        <f>R11+R16+R21+R26+R31+R36+R41+R46+R51+R56+R61+R66+R71+R76+R81</f>
        <v>0</v>
      </c>
      <c r="S86" s="109">
        <f>+Q86-R86</f>
        <v>0</v>
      </c>
      <c r="T86" s="112"/>
      <c r="U86" s="110"/>
      <c r="V86" s="110"/>
      <c r="W86" s="111">
        <f>+IFERROR(X86/$I86,"-")</f>
        <v>0</v>
      </c>
      <c r="X86" s="109">
        <f>X11+X16+X21+X26+X31+X36+X41+X46+X51+X56+X61+X66+X71+X76+X81</f>
        <v>0</v>
      </c>
      <c r="Y86" s="109">
        <f>Y11+Y16+Y21+Y26+Y31+Y36+Y41+Y46+Y51+Y56+Y61+Y66+Y71+Y76+Y81</f>
        <v>255726390</v>
      </c>
      <c r="Z86" s="109">
        <f>+X86-Y86</f>
        <v>-255726390</v>
      </c>
      <c r="AA86" s="112"/>
      <c r="AB86" s="110"/>
      <c r="AC86" s="110"/>
      <c r="AD86" s="111">
        <f>+IFERROR(AE86/$I86,"-")</f>
        <v>0.5</v>
      </c>
      <c r="AE86" s="109">
        <f>AE11+AE16+AE21+AE26+AE31+AE36+AE41+AE46+AE51+AE56+AE61+AE66+AE71+AE76+AE81</f>
        <v>2837534700</v>
      </c>
      <c r="AF86" s="109">
        <f>AF11+AF16+AF21+AF26+AF31+AF36+AF41+AF46+AF51+AF56+AF61+AF66+AF71+AF76+AF81</f>
        <v>0</v>
      </c>
      <c r="AG86" s="109">
        <f>+AE86-AF86</f>
        <v>2837534700</v>
      </c>
      <c r="AH86" s="112"/>
      <c r="AI86" s="110"/>
      <c r="AJ86" s="110"/>
      <c r="AK86" s="111">
        <f>+IFERROR(AL86/$I86,"-")</f>
        <v>0</v>
      </c>
      <c r="AL86" s="109">
        <f>AL11+AL16+AL21+AL26+AL31+AL36+AL41+AL46+AL51+AL56+AL61+AL66+AL71+AL76+AL81</f>
        <v>0</v>
      </c>
      <c r="AM86" s="109">
        <f>AM11+AM16+AM21+AM26+AM31+AM36+AM41+AM46+AM51+AM56+AM61+AM66+AM71+AM76+AM81</f>
        <v>0</v>
      </c>
      <c r="AN86" s="109">
        <f>+AL86-AM86</f>
        <v>0</v>
      </c>
      <c r="AO86" s="112"/>
      <c r="AP86" s="110"/>
      <c r="AQ86" s="110"/>
      <c r="AR86" s="111">
        <f>+IFERROR(AS86/$I86,"-")</f>
        <v>0</v>
      </c>
      <c r="AS86" s="109">
        <f>AS11+AS16+AS21+AS26+AS31+AS36+AS41+AS46+AS51+AS56+AS61+AS66+AS71+AS76+AS81</f>
        <v>0</v>
      </c>
      <c r="AT86" s="109">
        <f>AT11+AT16+AT21+AT26+AT31+AT36+AT41+AT46+AT51+AT56+AT61+AT66+AT71+AT76+AT81</f>
        <v>0</v>
      </c>
      <c r="AU86" s="109">
        <f>+AS86-AT86</f>
        <v>0</v>
      </c>
      <c r="AV86" s="112"/>
      <c r="AW86" s="110"/>
      <c r="AX86" s="110"/>
      <c r="AY86" s="111">
        <f>+IFERROR(AZ86/$I86,"-")</f>
        <v>0</v>
      </c>
      <c r="AZ86" s="109">
        <f>AZ11+AZ16+AZ21+AZ26+AZ31+AZ36+AZ41+AZ46+AZ51+AZ56+AZ61+AZ66+AZ71+AZ76+AZ81</f>
        <v>0</v>
      </c>
      <c r="BA86" s="109">
        <f>BA11+BA16+BA21+BA26+BA31+BA36+BA41+BA46+BA51+BA56+BA61+BA66+BA71+BA76+BA81</f>
        <v>0</v>
      </c>
      <c r="BB86" s="109">
        <f>+AZ86-BA86</f>
        <v>0</v>
      </c>
      <c r="BC86" s="112"/>
      <c r="BD86" s="110"/>
      <c r="BE86" s="110"/>
      <c r="BF86" s="111">
        <f>+IFERROR(BG86/$I86,"-")</f>
        <v>0.4</v>
      </c>
      <c r="BG86" s="109">
        <f>BG11+BG16+BG21+BG26+BG31+BG36+BG41+BG46+BG51+BG56+BG61+BG66+BG71+BG76+BG81</f>
        <v>2270027760</v>
      </c>
      <c r="BH86" s="109">
        <f>BH11+BH16+BH21+BH26+BH31+BH36+BH41+BH46+BH51+BH56+BH61+BH66+BH71+BH76+BH81</f>
        <v>0</v>
      </c>
      <c r="BI86" s="109">
        <f>+BG86-BH86</f>
        <v>2270027760</v>
      </c>
      <c r="BJ86" s="112"/>
      <c r="BK86" s="110"/>
      <c r="BL86" s="110"/>
      <c r="BM86" s="111">
        <f>+IFERROR(BN86/$I86,"-")</f>
        <v>0.1</v>
      </c>
      <c r="BN86" s="109">
        <f>BN11+BN16+BN21+BN26+BN31+BN36+BN41+BN46+BN51+BN56+BN61+BN66+BN71+BN76+BN81</f>
        <v>567506940</v>
      </c>
      <c r="BO86" s="109">
        <f>BO11+BO16+BO21+BO26+BO31+BO36+BO41+BO46+BO51+BO56+BO61+BO66+BO71+BO76+BO81</f>
        <v>0</v>
      </c>
      <c r="BP86" s="109">
        <f>+BN86-BO86</f>
        <v>567506940</v>
      </c>
      <c r="BQ86" s="112"/>
      <c r="BR86" s="73"/>
      <c r="BS86" s="113" t="b">
        <f>+Q86+X86+AE86+AS86+AZ86+BG86+BN86=I86</f>
        <v>1</v>
      </c>
      <c r="BT86" s="113" t="b">
        <f>+R86+Y86+AF86+AT86+BA86+BH86+BO86=K86</f>
        <v>1</v>
      </c>
      <c r="BU86" s="113"/>
      <c r="BV86" s="54"/>
      <c r="BW86" s="54"/>
      <c r="BX86" s="54"/>
      <c r="BY86" s="54"/>
      <c r="BZ86" s="54"/>
      <c r="CA86" s="54"/>
      <c r="CB86" s="54"/>
      <c r="CC86" s="54"/>
      <c r="CD86" s="58"/>
      <c r="CE86" s="58"/>
    </row>
    <row r="87" spans="1:83" ht="16.5" customHeight="1">
      <c r="A87" s="62"/>
      <c r="B87" s="1346"/>
      <c r="C87" s="1346"/>
      <c r="D87" s="1348"/>
      <c r="E87" s="1346"/>
      <c r="F87" s="114" t="s">
        <v>389</v>
      </c>
      <c r="G87" s="109">
        <f t="shared" ref="G87:G89" si="133">G12+G17+G22+G27+G32+G37+G42+G47+G52+G57+G62+G67+G72+G77+G82</f>
        <v>1407042000</v>
      </c>
      <c r="H87" s="115">
        <f>+G87*10%</f>
        <v>140704200</v>
      </c>
      <c r="I87" s="115">
        <f>SUM(G87:H87)</f>
        <v>1547746200</v>
      </c>
      <c r="J87" s="114">
        <f>+IFERROR(K87/I87,"-")</f>
        <v>0.66900496993628544</v>
      </c>
      <c r="K87" s="109">
        <f t="shared" ref="K87:L89" si="134">K12+K17+K22+K27+K32+K37+K42+K47+K52+K57+K62+K67+K72+K77+K82</f>
        <v>1035449900</v>
      </c>
      <c r="L87" s="109">
        <f t="shared" si="134"/>
        <v>512296300</v>
      </c>
      <c r="M87" s="426"/>
      <c r="N87" s="116"/>
      <c r="O87" s="116"/>
      <c r="P87" s="117">
        <f t="shared" si="123"/>
        <v>0.3</v>
      </c>
      <c r="Q87" s="109">
        <f t="shared" ref="Q87:R87" si="135">Q12+Q17+Q22+Q27+Q32+Q37+Q42+Q47+Q52+Q57+Q62+Q67+Q72+Q77+Q82</f>
        <v>464323860</v>
      </c>
      <c r="R87" s="109">
        <f t="shared" si="135"/>
        <v>464607000</v>
      </c>
      <c r="S87" s="115">
        <f>+Q87-R87</f>
        <v>-283140</v>
      </c>
      <c r="T87" s="118"/>
      <c r="U87" s="116"/>
      <c r="V87" s="116"/>
      <c r="W87" s="117">
        <f t="shared" ref="W87:W90" si="136">+IFERROR(X87/$I87,"-")</f>
        <v>0.1</v>
      </c>
      <c r="X87" s="109">
        <f t="shared" ref="X87:Y87" si="137">X12+X17+X22+X27+X32+X37+X42+X47+X52+X57+X62+X67+X72+X77+X82</f>
        <v>154774620</v>
      </c>
      <c r="Y87" s="109">
        <f t="shared" si="137"/>
        <v>129244500</v>
      </c>
      <c r="Z87" s="115">
        <f>+X87-Y87</f>
        <v>25530120</v>
      </c>
      <c r="AA87" s="118"/>
      <c r="AB87" s="116"/>
      <c r="AC87" s="116"/>
      <c r="AD87" s="117">
        <f t="shared" ref="AD87:AD90" si="138">+IFERROR(AE87/$I87,"-")</f>
        <v>0.5</v>
      </c>
      <c r="AE87" s="109">
        <f t="shared" ref="AE87:AF87" si="139">AE12+AE17+AE22+AE27+AE32+AE37+AE42+AE47+AE52+AE57+AE62+AE67+AE72+AE77+AE82</f>
        <v>773873100</v>
      </c>
      <c r="AF87" s="109">
        <f t="shared" si="139"/>
        <v>441598400</v>
      </c>
      <c r="AG87" s="115">
        <f>+AE87-AF87</f>
        <v>332274700</v>
      </c>
      <c r="AH87" s="118"/>
      <c r="AI87" s="116"/>
      <c r="AJ87" s="116"/>
      <c r="AK87" s="117">
        <f t="shared" ref="AK87:AK90" si="140">+IFERROR(AL87/$I87,"-")</f>
        <v>0</v>
      </c>
      <c r="AL87" s="109">
        <f t="shared" ref="AL87:AM87" si="141">AL12+AL17+AL22+AL27+AL32+AL37+AL42+AL47+AL52+AL57+AL62+AL67+AL72+AL77+AL82</f>
        <v>0</v>
      </c>
      <c r="AM87" s="109">
        <f t="shared" si="141"/>
        <v>0</v>
      </c>
      <c r="AN87" s="115">
        <f>+AL87-AM87</f>
        <v>0</v>
      </c>
      <c r="AO87" s="118"/>
      <c r="AP87" s="116"/>
      <c r="AQ87" s="116"/>
      <c r="AR87" s="117">
        <f t="shared" ref="AR87:AR90" si="142">+IFERROR(AS87/$I87,"-")</f>
        <v>0</v>
      </c>
      <c r="AS87" s="109">
        <f t="shared" ref="AS87:AT87" si="143">AS12+AS17+AS22+AS27+AS32+AS37+AS42+AS47+AS52+AS57+AS62+AS67+AS72+AS77+AS82</f>
        <v>0</v>
      </c>
      <c r="AT87" s="109">
        <f t="shared" si="143"/>
        <v>0</v>
      </c>
      <c r="AU87" s="115">
        <f>+AS87-AT87</f>
        <v>0</v>
      </c>
      <c r="AV87" s="118"/>
      <c r="AW87" s="116"/>
      <c r="AX87" s="116"/>
      <c r="AY87" s="117">
        <f t="shared" ref="AY87:AY90" si="144">+IFERROR(AZ87/$I87,"-")</f>
        <v>0</v>
      </c>
      <c r="AZ87" s="109">
        <f t="shared" ref="AZ87:BA87" si="145">AZ12+AZ17+AZ22+AZ27+AZ32+AZ37+AZ42+AZ47+AZ52+AZ57+AZ62+AZ67+AZ72+AZ77+AZ82</f>
        <v>0</v>
      </c>
      <c r="BA87" s="109">
        <f t="shared" si="145"/>
        <v>0</v>
      </c>
      <c r="BB87" s="115">
        <f>+AZ87-BA87</f>
        <v>0</v>
      </c>
      <c r="BC87" s="118"/>
      <c r="BD87" s="116"/>
      <c r="BE87" s="116"/>
      <c r="BF87" s="117">
        <f t="shared" ref="BF87:BF90" si="146">+IFERROR(BG87/$I87,"-")</f>
        <v>0</v>
      </c>
      <c r="BG87" s="109">
        <f t="shared" ref="BG87:BH87" si="147">BG12+BG17+BG22+BG27+BG32+BG37+BG42+BG47+BG52+BG57+BG62+BG67+BG72+BG77+BG82</f>
        <v>0</v>
      </c>
      <c r="BH87" s="109">
        <f t="shared" si="147"/>
        <v>0</v>
      </c>
      <c r="BI87" s="115">
        <f>+BG87-BH87</f>
        <v>0</v>
      </c>
      <c r="BJ87" s="118"/>
      <c r="BK87" s="116"/>
      <c r="BL87" s="116"/>
      <c r="BM87" s="117">
        <f t="shared" ref="BM87:BM90" si="148">+IFERROR(BN87/$I87,"-")</f>
        <v>0.1</v>
      </c>
      <c r="BN87" s="109">
        <f t="shared" ref="BN87:BO87" si="149">BN12+BN17+BN22+BN27+BN32+BN37+BN42+BN47+BN52+BN57+BN62+BN67+BN72+BN77+BN82</f>
        <v>154774620</v>
      </c>
      <c r="BO87" s="109">
        <f t="shared" si="149"/>
        <v>0</v>
      </c>
      <c r="BP87" s="115">
        <f>+BN87-BO87</f>
        <v>154774620</v>
      </c>
      <c r="BQ87" s="118"/>
      <c r="BR87" s="73"/>
      <c r="BS87" s="113" t="b">
        <f t="shared" ref="BS87:BS89" si="150">+Q87+X87+AE87+AS87+AZ87+BG87+BN87=I87</f>
        <v>1</v>
      </c>
      <c r="BT87" s="113" t="b">
        <f t="shared" ref="BT87:BT89" si="151">+R87+Y87+AF87+AT87+BA87+BH87+BO87=K87</f>
        <v>1</v>
      </c>
      <c r="BU87" s="113"/>
      <c r="BV87" s="54"/>
      <c r="BW87" s="54"/>
      <c r="BX87" s="54"/>
      <c r="BY87" s="54"/>
      <c r="BZ87" s="54"/>
      <c r="CA87" s="54"/>
      <c r="CB87" s="54"/>
      <c r="CC87" s="54"/>
      <c r="CD87" s="58"/>
      <c r="CE87" s="58"/>
    </row>
    <row r="88" spans="1:83" ht="16.5" customHeight="1">
      <c r="A88" s="62"/>
      <c r="B88" s="1346"/>
      <c r="C88" s="1346"/>
      <c r="D88" s="1348"/>
      <c r="E88" s="1346"/>
      <c r="F88" s="114" t="s">
        <v>390</v>
      </c>
      <c r="G88" s="109">
        <f t="shared" si="133"/>
        <v>588307000</v>
      </c>
      <c r="H88" s="115">
        <f t="shared" ref="H88" si="152">+G88*10%</f>
        <v>58830700</v>
      </c>
      <c r="I88" s="115">
        <f>SUM(G88:H88)</f>
        <v>647137700</v>
      </c>
      <c r="J88" s="114">
        <f>+IFERROR(K88/I88,"-")</f>
        <v>0.59634850511722626</v>
      </c>
      <c r="K88" s="109">
        <f t="shared" si="134"/>
        <v>385919600</v>
      </c>
      <c r="L88" s="109">
        <f t="shared" si="134"/>
        <v>261218100</v>
      </c>
      <c r="M88" s="426"/>
      <c r="N88" s="116"/>
      <c r="O88" s="116"/>
      <c r="P88" s="117">
        <f t="shared" si="123"/>
        <v>0.3</v>
      </c>
      <c r="Q88" s="109">
        <f t="shared" ref="Q88:R88" si="153">Q13+Q18+Q23+Q28+Q33+Q38+Q43+Q48+Q53+Q58+Q63+Q68+Q73+Q78+Q83</f>
        <v>194141310</v>
      </c>
      <c r="R88" s="109">
        <f t="shared" si="153"/>
        <v>194188500</v>
      </c>
      <c r="S88" s="115">
        <f>+Q88-R88</f>
        <v>-47190</v>
      </c>
      <c r="T88" s="118"/>
      <c r="U88" s="116"/>
      <c r="V88" s="116"/>
      <c r="W88" s="117">
        <f t="shared" si="136"/>
        <v>0.1</v>
      </c>
      <c r="X88" s="109">
        <f t="shared" ref="X88:Y88" si="154">X13+X18+X23+X28+X33+X38+X43+X48+X53+X58+X63+X68+X73+X78+X83</f>
        <v>64713770</v>
      </c>
      <c r="Y88" s="109">
        <f t="shared" si="154"/>
        <v>50209500</v>
      </c>
      <c r="Z88" s="115">
        <f>+X88-Y88</f>
        <v>14504270</v>
      </c>
      <c r="AA88" s="118"/>
      <c r="AB88" s="116"/>
      <c r="AC88" s="116"/>
      <c r="AD88" s="117">
        <f t="shared" si="138"/>
        <v>0.5</v>
      </c>
      <c r="AE88" s="109">
        <f t="shared" ref="AE88:AF88" si="155">AE13+AE18+AE23+AE28+AE33+AE38+AE43+AE48+AE53+AE58+AE63+AE68+AE73+AE78+AE83</f>
        <v>323568850</v>
      </c>
      <c r="AF88" s="109">
        <f t="shared" si="155"/>
        <v>141521600</v>
      </c>
      <c r="AG88" s="115">
        <f>+AE88-AF88</f>
        <v>182047250</v>
      </c>
      <c r="AH88" s="118"/>
      <c r="AI88" s="116"/>
      <c r="AJ88" s="116"/>
      <c r="AK88" s="117">
        <f t="shared" si="140"/>
        <v>0</v>
      </c>
      <c r="AL88" s="109">
        <f t="shared" ref="AL88:AM88" si="156">AL13+AL18+AL23+AL28+AL33+AL38+AL43+AL48+AL53+AL58+AL63+AL68+AL73+AL78+AL83</f>
        <v>0</v>
      </c>
      <c r="AM88" s="109">
        <f t="shared" si="156"/>
        <v>0</v>
      </c>
      <c r="AN88" s="115">
        <f>+AL88-AM88</f>
        <v>0</v>
      </c>
      <c r="AO88" s="118"/>
      <c r="AP88" s="116"/>
      <c r="AQ88" s="116"/>
      <c r="AR88" s="117">
        <f t="shared" si="142"/>
        <v>0</v>
      </c>
      <c r="AS88" s="109">
        <f t="shared" ref="AS88:AT88" si="157">AS13+AS18+AS23+AS28+AS33+AS38+AS43+AS48+AS53+AS58+AS63+AS68+AS73+AS78+AS83</f>
        <v>0</v>
      </c>
      <c r="AT88" s="109">
        <f t="shared" si="157"/>
        <v>0</v>
      </c>
      <c r="AU88" s="115">
        <f>+AS88-AT88</f>
        <v>0</v>
      </c>
      <c r="AV88" s="118"/>
      <c r="AW88" s="116"/>
      <c r="AX88" s="116"/>
      <c r="AY88" s="117">
        <f t="shared" si="144"/>
        <v>0</v>
      </c>
      <c r="AZ88" s="109">
        <f t="shared" ref="AZ88:BA88" si="158">AZ13+AZ18+AZ23+AZ28+AZ33+AZ38+AZ43+AZ48+AZ53+AZ58+AZ63+AZ68+AZ73+AZ78+AZ83</f>
        <v>0</v>
      </c>
      <c r="BA88" s="109">
        <f t="shared" si="158"/>
        <v>0</v>
      </c>
      <c r="BB88" s="115">
        <f>+AZ88-BA88</f>
        <v>0</v>
      </c>
      <c r="BC88" s="118"/>
      <c r="BD88" s="116"/>
      <c r="BE88" s="116"/>
      <c r="BF88" s="117">
        <f t="shared" si="146"/>
        <v>0</v>
      </c>
      <c r="BG88" s="109">
        <f t="shared" ref="BG88:BH88" si="159">BG13+BG18+BG23+BG28+BG33+BG38+BG43+BG48+BG53+BG58+BG63+BG68+BG73+BG78+BG83</f>
        <v>0</v>
      </c>
      <c r="BH88" s="109">
        <f t="shared" si="159"/>
        <v>0</v>
      </c>
      <c r="BI88" s="115">
        <f>+BG88-BH88</f>
        <v>0</v>
      </c>
      <c r="BJ88" s="118"/>
      <c r="BK88" s="116"/>
      <c r="BL88" s="116"/>
      <c r="BM88" s="117">
        <f t="shared" si="148"/>
        <v>0.1</v>
      </c>
      <c r="BN88" s="109">
        <f t="shared" ref="BN88:BO88" si="160">BN13+BN18+BN23+BN28+BN33+BN38+BN43+BN48+BN53+BN58+BN63+BN68+BN73+BN78+BN83</f>
        <v>64713770</v>
      </c>
      <c r="BO88" s="109">
        <f t="shared" si="160"/>
        <v>0</v>
      </c>
      <c r="BP88" s="115">
        <f>+BN88-BO88</f>
        <v>64713770</v>
      </c>
      <c r="BQ88" s="118"/>
      <c r="BR88" s="73"/>
      <c r="BS88" s="113" t="b">
        <f t="shared" si="150"/>
        <v>1</v>
      </c>
      <c r="BT88" s="113" t="b">
        <f t="shared" si="151"/>
        <v>1</v>
      </c>
      <c r="BU88" s="113"/>
      <c r="BV88" s="54"/>
      <c r="BW88" s="54"/>
      <c r="BX88" s="54"/>
      <c r="BY88" s="54"/>
      <c r="BZ88" s="54"/>
      <c r="CA88" s="54"/>
      <c r="CB88" s="54"/>
      <c r="CC88" s="54"/>
      <c r="CD88" s="58"/>
      <c r="CE88" s="58"/>
    </row>
    <row r="89" spans="1:83" ht="16.5" customHeight="1">
      <c r="A89" s="62"/>
      <c r="B89" s="1346"/>
      <c r="C89" s="1346"/>
      <c r="D89" s="1348"/>
      <c r="E89" s="1346"/>
      <c r="F89" s="119" t="s">
        <v>391</v>
      </c>
      <c r="G89" s="109">
        <f t="shared" si="133"/>
        <v>849949500</v>
      </c>
      <c r="H89" s="120">
        <f>+G89*0.1</f>
        <v>84994950</v>
      </c>
      <c r="I89" s="120">
        <f>SUM(G89:H89)</f>
        <v>934944450</v>
      </c>
      <c r="J89" s="119">
        <f>+IFERROR(K89/I89,"-")</f>
        <v>0</v>
      </c>
      <c r="K89" s="109">
        <f t="shared" si="134"/>
        <v>0</v>
      </c>
      <c r="L89" s="109">
        <f t="shared" si="134"/>
        <v>934944450</v>
      </c>
      <c r="M89" s="427"/>
      <c r="N89" s="119"/>
      <c r="O89" s="119"/>
      <c r="P89" s="121">
        <f t="shared" si="123"/>
        <v>0</v>
      </c>
      <c r="Q89" s="109">
        <f t="shared" ref="Q89:R89" si="161">Q14+Q19+Q24+Q29+Q34+Q39+Q44+Q49+Q54+Q59+Q64+Q69+Q74+Q79+Q84</f>
        <v>0</v>
      </c>
      <c r="R89" s="109">
        <f t="shared" si="161"/>
        <v>0</v>
      </c>
      <c r="S89" s="120">
        <f>+Q89-R89</f>
        <v>0</v>
      </c>
      <c r="T89" s="119"/>
      <c r="U89" s="119"/>
      <c r="V89" s="119"/>
      <c r="W89" s="121">
        <f t="shared" si="136"/>
        <v>0</v>
      </c>
      <c r="X89" s="109">
        <f t="shared" ref="X89:Y89" si="162">X14+X19+X24+X29+X34+X39+X44+X49+X54+X59+X64+X69+X74+X79+X84</f>
        <v>0</v>
      </c>
      <c r="Y89" s="109">
        <f t="shared" si="162"/>
        <v>0</v>
      </c>
      <c r="Z89" s="120">
        <f>+X89-Y89</f>
        <v>0</v>
      </c>
      <c r="AA89" s="119"/>
      <c r="AB89" s="119"/>
      <c r="AC89" s="119"/>
      <c r="AD89" s="121">
        <f t="shared" si="138"/>
        <v>0</v>
      </c>
      <c r="AE89" s="109">
        <f t="shared" ref="AE89:AF89" si="163">AE14+AE19+AE24+AE29+AE34+AE39+AE44+AE49+AE54+AE59+AE64+AE69+AE74+AE79+AE84</f>
        <v>0</v>
      </c>
      <c r="AF89" s="109">
        <f t="shared" si="163"/>
        <v>0</v>
      </c>
      <c r="AG89" s="120">
        <f>+AE89-AF89</f>
        <v>0</v>
      </c>
      <c r="AH89" s="119"/>
      <c r="AI89" s="119"/>
      <c r="AJ89" s="119"/>
      <c r="AK89" s="121">
        <f t="shared" si="140"/>
        <v>0</v>
      </c>
      <c r="AL89" s="109">
        <f t="shared" ref="AL89:AM89" si="164">AL14+AL19+AL24+AL29+AL34+AL39+AL44+AL49+AL54+AL59+AL64+AL69+AL74+AL79+AL84</f>
        <v>0</v>
      </c>
      <c r="AM89" s="109">
        <f t="shared" si="164"/>
        <v>0</v>
      </c>
      <c r="AN89" s="120">
        <f>+AL89-AM89</f>
        <v>0</v>
      </c>
      <c r="AO89" s="119"/>
      <c r="AP89" s="119"/>
      <c r="AQ89" s="119"/>
      <c r="AR89" s="121">
        <f t="shared" si="142"/>
        <v>0</v>
      </c>
      <c r="AS89" s="109">
        <f t="shared" ref="AS89:AT89" si="165">AS14+AS19+AS24+AS29+AS34+AS39+AS44+AS49+AS54+AS59+AS64+AS69+AS74+AS79+AS84</f>
        <v>0</v>
      </c>
      <c r="AT89" s="109">
        <f t="shared" si="165"/>
        <v>0</v>
      </c>
      <c r="AU89" s="120">
        <f>+AS89-AT89</f>
        <v>0</v>
      </c>
      <c r="AV89" s="119"/>
      <c r="AW89" s="119"/>
      <c r="AX89" s="119"/>
      <c r="AY89" s="121">
        <f t="shared" si="144"/>
        <v>0</v>
      </c>
      <c r="AZ89" s="109">
        <f t="shared" ref="AZ89:BA89" si="166">AZ14+AZ19+AZ24+AZ29+AZ34+AZ39+AZ44+AZ49+AZ54+AZ59+AZ64+AZ69+AZ74+AZ79+AZ84</f>
        <v>0</v>
      </c>
      <c r="BA89" s="109">
        <f t="shared" si="166"/>
        <v>0</v>
      </c>
      <c r="BB89" s="120">
        <f>+AZ89-BA89</f>
        <v>0</v>
      </c>
      <c r="BC89" s="119"/>
      <c r="BD89" s="119"/>
      <c r="BE89" s="119"/>
      <c r="BF89" s="121">
        <f t="shared" si="146"/>
        <v>0</v>
      </c>
      <c r="BG89" s="109">
        <f t="shared" ref="BG89:BH89" si="167">BG14+BG19+BG24+BG29+BG34+BG39+BG44+BG49+BG54+BG59+BG64+BG69+BG74+BG79+BG84</f>
        <v>0</v>
      </c>
      <c r="BH89" s="109">
        <f t="shared" si="167"/>
        <v>0</v>
      </c>
      <c r="BI89" s="120">
        <f>+BG89-BH89</f>
        <v>0</v>
      </c>
      <c r="BJ89" s="119"/>
      <c r="BK89" s="119"/>
      <c r="BL89" s="119"/>
      <c r="BM89" s="121">
        <f t="shared" si="148"/>
        <v>1</v>
      </c>
      <c r="BN89" s="109">
        <f t="shared" ref="BN89:BO89" si="168">BN14+BN19+BN24+BN29+BN34+BN39+BN44+BN49+BN54+BN59+BN64+BN69+BN74+BN79+BN84</f>
        <v>934944450</v>
      </c>
      <c r="BO89" s="109">
        <f t="shared" si="168"/>
        <v>0</v>
      </c>
      <c r="BP89" s="120">
        <f>+BN89-BO89</f>
        <v>934944450</v>
      </c>
      <c r="BQ89" s="119"/>
      <c r="BR89" s="88"/>
      <c r="BS89" s="122" t="b">
        <f t="shared" si="150"/>
        <v>1</v>
      </c>
      <c r="BT89" s="123" t="b">
        <f t="shared" si="151"/>
        <v>1</v>
      </c>
      <c r="BU89" s="123"/>
      <c r="BV89" s="54"/>
      <c r="BW89" s="54"/>
      <c r="BX89" s="54"/>
      <c r="BY89" s="54"/>
      <c r="BZ89" s="54"/>
      <c r="CA89" s="54"/>
      <c r="CB89" s="54"/>
      <c r="CC89" s="54"/>
      <c r="CD89" s="58"/>
      <c r="CE89" s="58"/>
    </row>
    <row r="90" spans="1:83" ht="16.5" customHeight="1">
      <c r="A90" s="62"/>
      <c r="B90" s="1347"/>
      <c r="C90" s="1347"/>
      <c r="D90" s="1347"/>
      <c r="E90" s="1347"/>
      <c r="F90" s="124" t="s">
        <v>392</v>
      </c>
      <c r="G90" s="125">
        <f>SUM(G86:G89)</f>
        <v>8004452500</v>
      </c>
      <c r="H90" s="125">
        <f>SUM(H86:H89)</f>
        <v>800445250</v>
      </c>
      <c r="I90" s="125">
        <f>SUM(I86:I89)</f>
        <v>8804897750</v>
      </c>
      <c r="J90" s="124">
        <f>+IFERROR(K90/I90,"-")</f>
        <v>0.19047306824204743</v>
      </c>
      <c r="K90" s="125">
        <f>SUM(K86:K89)</f>
        <v>1677095890</v>
      </c>
      <c r="L90" s="125">
        <f>SUM(L86:L89)</f>
        <v>7127801860</v>
      </c>
      <c r="M90" s="424"/>
      <c r="N90" s="126"/>
      <c r="O90" s="124"/>
      <c r="P90" s="127">
        <f t="shared" si="123"/>
        <v>7.4783965549174033E-2</v>
      </c>
      <c r="Q90" s="125">
        <f>SUM(Q86:Q89)</f>
        <v>658465170</v>
      </c>
      <c r="R90" s="125">
        <f>SUM(R86:R89)</f>
        <v>658795500</v>
      </c>
      <c r="S90" s="128">
        <f>+Q90-R90</f>
        <v>-330330</v>
      </c>
      <c r="T90" s="124"/>
      <c r="U90" s="126"/>
      <c r="V90" s="124"/>
      <c r="W90" s="127">
        <f t="shared" si="136"/>
        <v>2.4927988516391344E-2</v>
      </c>
      <c r="X90" s="125">
        <f>SUM(X86:X89)</f>
        <v>219488390</v>
      </c>
      <c r="Y90" s="125">
        <f>SUM(Y86:Y89)</f>
        <v>435180390</v>
      </c>
      <c r="Z90" s="128">
        <f>+X90-Y90</f>
        <v>-215692000</v>
      </c>
      <c r="AA90" s="124"/>
      <c r="AB90" s="126"/>
      <c r="AC90" s="124"/>
      <c r="AD90" s="127">
        <f t="shared" si="138"/>
        <v>0.44690770543019653</v>
      </c>
      <c r="AE90" s="125">
        <f>SUM(AE86:AE89)</f>
        <v>3934976650</v>
      </c>
      <c r="AF90" s="125">
        <f>SUM(AF86:AF89)</f>
        <v>583120000</v>
      </c>
      <c r="AG90" s="128">
        <f>+AE90-AF90</f>
        <v>3351856650</v>
      </c>
      <c r="AH90" s="124"/>
      <c r="AI90" s="126"/>
      <c r="AJ90" s="124"/>
      <c r="AK90" s="127">
        <f t="shared" si="140"/>
        <v>0</v>
      </c>
      <c r="AL90" s="125">
        <f>SUM(AL86:AL89)</f>
        <v>0</v>
      </c>
      <c r="AM90" s="125">
        <f>SUM(AM86:AM89)</f>
        <v>0</v>
      </c>
      <c r="AN90" s="128">
        <f>+AL90-AM90</f>
        <v>0</v>
      </c>
      <c r="AO90" s="124"/>
      <c r="AP90" s="126"/>
      <c r="AQ90" s="124"/>
      <c r="AR90" s="127">
        <f t="shared" si="142"/>
        <v>0</v>
      </c>
      <c r="AS90" s="125">
        <f>SUM(AS86:AS89)</f>
        <v>0</v>
      </c>
      <c r="AT90" s="125">
        <f>SUM(AT86:AT89)</f>
        <v>0</v>
      </c>
      <c r="AU90" s="128">
        <f>+AS90-AT90</f>
        <v>0</v>
      </c>
      <c r="AV90" s="124"/>
      <c r="AW90" s="126"/>
      <c r="AX90" s="124"/>
      <c r="AY90" s="127">
        <f t="shared" si="144"/>
        <v>0</v>
      </c>
      <c r="AZ90" s="125">
        <f>SUM(AZ86:AZ89)</f>
        <v>0</v>
      </c>
      <c r="BA90" s="125">
        <f>SUM(BA86:BA89)</f>
        <v>0</v>
      </c>
      <c r="BB90" s="128">
        <f>+AZ90-BA90</f>
        <v>0</v>
      </c>
      <c r="BC90" s="124"/>
      <c r="BD90" s="126"/>
      <c r="BE90" s="124"/>
      <c r="BF90" s="127">
        <f t="shared" si="146"/>
        <v>0.2578142102785918</v>
      </c>
      <c r="BG90" s="125">
        <f>SUM(BG86:BG89)</f>
        <v>2270027760</v>
      </c>
      <c r="BH90" s="125">
        <f>SUM(BH86:BH89)</f>
        <v>0</v>
      </c>
      <c r="BI90" s="128">
        <f>+BG90-BH90</f>
        <v>2270027760</v>
      </c>
      <c r="BJ90" s="124"/>
      <c r="BK90" s="126"/>
      <c r="BL90" s="124"/>
      <c r="BM90" s="127">
        <f t="shared" si="148"/>
        <v>0.19556613022564628</v>
      </c>
      <c r="BN90" s="125">
        <f>SUM(BN86:BN89)</f>
        <v>1721939780</v>
      </c>
      <c r="BO90" s="125">
        <f>SUM(BO86:BO89)</f>
        <v>0</v>
      </c>
      <c r="BP90" s="128">
        <f>+BN90-BO90</f>
        <v>1721939780</v>
      </c>
      <c r="BQ90" s="124"/>
      <c r="BR90" s="88"/>
      <c r="BS90" s="129"/>
      <c r="BT90" s="130"/>
      <c r="BU90" s="130"/>
      <c r="BV90" s="54"/>
      <c r="BW90" s="54"/>
      <c r="BX90" s="54"/>
      <c r="BY90" s="54"/>
      <c r="BZ90" s="54"/>
      <c r="CA90" s="54"/>
      <c r="CB90" s="54"/>
      <c r="CC90" s="54"/>
      <c r="CD90" s="58"/>
      <c r="CE90" s="58"/>
    </row>
    <row r="91" spans="1:83">
      <c r="G91" s="131"/>
    </row>
    <row r="92" spans="1:83">
      <c r="D92" s="834">
        <f>+D86-D81</f>
        <v>4060.1400000000003</v>
      </c>
    </row>
    <row r="93" spans="1:83">
      <c r="G93" s="449">
        <f>+G86-G81</f>
        <v>4812654000</v>
      </c>
      <c r="H93" s="449">
        <f>+H86-H81</f>
        <v>481265400</v>
      </c>
      <c r="I93" s="449">
        <f>+I86-I81</f>
        <v>5293919400</v>
      </c>
      <c r="AF93" s="131"/>
    </row>
    <row r="94" spans="1:83">
      <c r="G94" s="449"/>
      <c r="H94" s="449"/>
    </row>
    <row r="95" spans="1:83">
      <c r="G95" s="449"/>
      <c r="H95" s="449"/>
      <c r="L95" s="449"/>
    </row>
    <row r="96" spans="1:83">
      <c r="G96" s="131">
        <f>+G14+G19+G24+G29+G34+G39+G44+G49+G54+G59+G64+G69+G74+G79</f>
        <v>794824500</v>
      </c>
      <c r="H96" s="449">
        <f>+H89-H84</f>
        <v>79482450</v>
      </c>
      <c r="I96" s="449">
        <f>+I89-I84</f>
        <v>874306950</v>
      </c>
      <c r="L96" s="449"/>
    </row>
    <row r="97" spans="7:78">
      <c r="I97" s="1050">
        <f>+I96/1470</f>
        <v>594766.63265306118</v>
      </c>
      <c r="L97" s="449"/>
      <c r="X97" s="132"/>
      <c r="Z97" s="132"/>
      <c r="AE97" s="132"/>
      <c r="AG97" s="132"/>
      <c r="AL97" s="132"/>
      <c r="AN97" s="132"/>
      <c r="AS97" s="132"/>
      <c r="AU97" s="132"/>
      <c r="AZ97" s="132"/>
      <c r="BB97" s="132"/>
      <c r="BG97" s="132"/>
      <c r="BI97" s="132"/>
      <c r="BN97" s="132"/>
      <c r="BP97" s="132"/>
      <c r="BV97" s="132"/>
      <c r="BW97" s="133"/>
      <c r="BZ97" s="133"/>
    </row>
    <row r="98" spans="7:78">
      <c r="L98" s="449"/>
    </row>
    <row r="99" spans="7:78">
      <c r="G99" s="449">
        <v>2360</v>
      </c>
      <c r="H99" s="449">
        <v>33000</v>
      </c>
      <c r="I99" s="449">
        <f t="shared" ref="I99:I105" si="169">+H99*G99</f>
        <v>77880000</v>
      </c>
      <c r="L99" s="449">
        <v>135000000</v>
      </c>
    </row>
    <row r="100" spans="7:78">
      <c r="G100" s="449">
        <v>2022</v>
      </c>
      <c r="H100" s="449">
        <v>33000</v>
      </c>
      <c r="I100" s="449">
        <f t="shared" si="169"/>
        <v>66726000</v>
      </c>
      <c r="L100" s="449">
        <f>+L99-13500000</f>
        <v>121500000</v>
      </c>
    </row>
    <row r="101" spans="7:78">
      <c r="G101" s="449">
        <f>+G99-G100</f>
        <v>338</v>
      </c>
      <c r="H101" s="449">
        <v>33000</v>
      </c>
      <c r="I101" s="449">
        <f t="shared" si="169"/>
        <v>11154000</v>
      </c>
      <c r="L101" s="449"/>
    </row>
    <row r="102" spans="7:78">
      <c r="G102" s="449">
        <f>+ROUND(G99*(1-3%),-1)</f>
        <v>2290</v>
      </c>
      <c r="H102" s="449">
        <v>33000</v>
      </c>
      <c r="I102" s="449">
        <f t="shared" si="169"/>
        <v>75570000</v>
      </c>
      <c r="J102" s="449"/>
      <c r="K102" s="449">
        <f>+I102-I100</f>
        <v>8844000</v>
      </c>
      <c r="L102" s="449">
        <f>+I101-K102</f>
        <v>2310000</v>
      </c>
    </row>
    <row r="103" spans="7:78">
      <c r="G103" s="449">
        <f>+ROUND(G99*(1+3%),-1)</f>
        <v>2430</v>
      </c>
      <c r="H103" s="449">
        <v>33000</v>
      </c>
      <c r="I103" s="449">
        <f t="shared" si="169"/>
        <v>80190000</v>
      </c>
      <c r="K103" s="449">
        <f>+I103-I100</f>
        <v>13464000</v>
      </c>
      <c r="L103" s="449">
        <f>+K103-I101</f>
        <v>2310000</v>
      </c>
    </row>
    <row r="104" spans="7:78">
      <c r="G104" s="449">
        <v>5050</v>
      </c>
      <c r="H104" s="449">
        <v>33000</v>
      </c>
      <c r="I104" s="449">
        <f t="shared" si="169"/>
        <v>166650000</v>
      </c>
      <c r="K104" s="449">
        <f>+I104-I100</f>
        <v>99924000</v>
      </c>
      <c r="L104" s="449">
        <f>+K104+I100</f>
        <v>166650000</v>
      </c>
    </row>
    <row r="105" spans="7:78">
      <c r="G105" s="449">
        <v>8780</v>
      </c>
      <c r="H105" s="449">
        <v>33000</v>
      </c>
      <c r="I105" s="449">
        <f t="shared" si="169"/>
        <v>289740000</v>
      </c>
      <c r="L105" s="449">
        <f>+L104-45000000</f>
        <v>121650000</v>
      </c>
    </row>
    <row r="106" spans="7:78">
      <c r="G106" s="449"/>
      <c r="H106" s="449"/>
      <c r="I106" s="449"/>
      <c r="L106" s="449">
        <f>+L100+45000000</f>
        <v>166500000</v>
      </c>
    </row>
    <row r="107" spans="7:78">
      <c r="G107" s="449">
        <f>+ROUND(G99*(1+30%),-1)</f>
        <v>3070</v>
      </c>
      <c r="H107" s="449"/>
      <c r="I107" s="449"/>
      <c r="L107" s="449">
        <f>+I105-L106</f>
        <v>123240000</v>
      </c>
    </row>
    <row r="108" spans="7:78">
      <c r="G108" s="449">
        <f>+ROUND(G107*(1+30%),-1)</f>
        <v>3990</v>
      </c>
      <c r="H108" s="449"/>
      <c r="I108" s="449"/>
    </row>
    <row r="109" spans="7:78">
      <c r="G109" s="449">
        <f>+ROUND(G108*(1+30%),-1)</f>
        <v>5190</v>
      </c>
      <c r="H109" s="449"/>
      <c r="I109" s="449"/>
    </row>
    <row r="110" spans="7:78">
      <c r="G110" s="449">
        <f>+ROUND(G109*(1+30%),-1)</f>
        <v>6750</v>
      </c>
      <c r="H110" s="449"/>
      <c r="I110" s="449"/>
    </row>
    <row r="111" spans="7:78">
      <c r="G111" s="449">
        <f>+ROUND(G110*(1+30%),-1)</f>
        <v>8780</v>
      </c>
      <c r="H111" s="449"/>
      <c r="I111" s="449"/>
    </row>
    <row r="112" spans="7:78">
      <c r="G112" s="449">
        <f>+ROUND(G111*(1+30%),-1)</f>
        <v>11410</v>
      </c>
      <c r="H112" s="449">
        <v>33000</v>
      </c>
      <c r="I112" s="449">
        <f>+H112*G112</f>
        <v>376530000</v>
      </c>
      <c r="L112" s="449">
        <f>+I112-L106</f>
        <v>210030000</v>
      </c>
    </row>
    <row r="113" spans="7:9">
      <c r="G113" s="449"/>
      <c r="H113" s="449"/>
      <c r="I113" s="449"/>
    </row>
    <row r="114" spans="7:9">
      <c r="G114" s="449"/>
      <c r="H114" s="449"/>
      <c r="I114" s="449"/>
    </row>
    <row r="115" spans="7:9">
      <c r="G115" s="449"/>
      <c r="H115" s="449"/>
      <c r="I115" s="449"/>
    </row>
    <row r="116" spans="7:9">
      <c r="G116" s="449"/>
      <c r="H116" s="449"/>
      <c r="I116" s="449"/>
    </row>
    <row r="117" spans="7:9">
      <c r="G117" s="449"/>
      <c r="H117" s="449"/>
      <c r="I117" s="449"/>
    </row>
  </sheetData>
  <mergeCells count="97">
    <mergeCell ref="B16:B20"/>
    <mergeCell ref="C16:C20"/>
    <mergeCell ref="D16:D20"/>
    <mergeCell ref="E16:E20"/>
    <mergeCell ref="M16:M19"/>
    <mergeCell ref="B11:B15"/>
    <mergeCell ref="C11:C15"/>
    <mergeCell ref="D11:D15"/>
    <mergeCell ref="E11:E15"/>
    <mergeCell ref="M11:M14"/>
    <mergeCell ref="M81:M84"/>
    <mergeCell ref="B21:B25"/>
    <mergeCell ref="C21:C25"/>
    <mergeCell ref="D21:D25"/>
    <mergeCell ref="E21:E25"/>
    <mergeCell ref="B26:B30"/>
    <mergeCell ref="C26:C30"/>
    <mergeCell ref="D26:D30"/>
    <mergeCell ref="E26:E30"/>
    <mergeCell ref="B31:B35"/>
    <mergeCell ref="D31:D35"/>
    <mergeCell ref="E31:E35"/>
    <mergeCell ref="B36:B40"/>
    <mergeCell ref="C36:C40"/>
    <mergeCell ref="D36:D40"/>
    <mergeCell ref="E36:E40"/>
    <mergeCell ref="B8:C8"/>
    <mergeCell ref="B9:B10"/>
    <mergeCell ref="C9:C10"/>
    <mergeCell ref="D9:D10"/>
    <mergeCell ref="E9:E10"/>
    <mergeCell ref="C61:C65"/>
    <mergeCell ref="D61:D65"/>
    <mergeCell ref="E61:E65"/>
    <mergeCell ref="F9:F10"/>
    <mergeCell ref="M9:M10"/>
    <mergeCell ref="M26:M29"/>
    <mergeCell ref="M31:M34"/>
    <mergeCell ref="M36:M39"/>
    <mergeCell ref="M41:M44"/>
    <mergeCell ref="M46:M49"/>
    <mergeCell ref="M51:M54"/>
    <mergeCell ref="M56:M59"/>
    <mergeCell ref="M61:M64"/>
    <mergeCell ref="C31:C35"/>
    <mergeCell ref="BS9:BU10"/>
    <mergeCell ref="AI9:AO9"/>
    <mergeCell ref="AP9:AV9"/>
    <mergeCell ref="AW9:BC9"/>
    <mergeCell ref="BD9:BJ9"/>
    <mergeCell ref="BK9:BQ9"/>
    <mergeCell ref="AB9:AH9"/>
    <mergeCell ref="G9:G10"/>
    <mergeCell ref="H9:H10"/>
    <mergeCell ref="I9:I10"/>
    <mergeCell ref="J9:L9"/>
    <mergeCell ref="N9:T9"/>
    <mergeCell ref="U9:AA9"/>
    <mergeCell ref="B41:B45"/>
    <mergeCell ref="C41:C45"/>
    <mergeCell ref="D41:D45"/>
    <mergeCell ref="E41:E45"/>
    <mergeCell ref="B46:B50"/>
    <mergeCell ref="C46:C50"/>
    <mergeCell ref="D46:D50"/>
    <mergeCell ref="E46:E50"/>
    <mergeCell ref="B86:C90"/>
    <mergeCell ref="D86:D90"/>
    <mergeCell ref="E86:E90"/>
    <mergeCell ref="B51:B55"/>
    <mergeCell ref="C51:C55"/>
    <mergeCell ref="D51:D55"/>
    <mergeCell ref="E51:E55"/>
    <mergeCell ref="B56:B60"/>
    <mergeCell ref="C56:C60"/>
    <mergeCell ref="D56:D60"/>
    <mergeCell ref="E56:E60"/>
    <mergeCell ref="B61:B65"/>
    <mergeCell ref="B81:B85"/>
    <mergeCell ref="C81:C85"/>
    <mergeCell ref="D81:D85"/>
    <mergeCell ref="E81:E85"/>
    <mergeCell ref="M66:M69"/>
    <mergeCell ref="M71:M74"/>
    <mergeCell ref="M76:M79"/>
    <mergeCell ref="B71:B75"/>
    <mergeCell ref="C71:C75"/>
    <mergeCell ref="D71:D75"/>
    <mergeCell ref="E71:E75"/>
    <mergeCell ref="B76:B80"/>
    <mergeCell ref="C76:C80"/>
    <mergeCell ref="D76:D80"/>
    <mergeCell ref="E76:E80"/>
    <mergeCell ref="B66:B70"/>
    <mergeCell ref="C66:C70"/>
    <mergeCell ref="D66:D70"/>
    <mergeCell ref="E66:E70"/>
  </mergeCells>
  <phoneticPr fontId="9" type="noConversion"/>
  <printOptions horizontalCentered="1"/>
  <pageMargins left="0" right="0" top="0.39370078740157483" bottom="0" header="0" footer="0"/>
  <pageSetup paperSize="8" scale="22" orientation="landscape" r:id="rId1"/>
  <ignoredErrors>
    <ignoredError sqref="K15:L15" formula="1"/>
  </ignoredErrors>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C9587-F21A-4DE5-9AD5-14814C6397CD}">
  <dimension ref="B2:BZ78"/>
  <sheetViews>
    <sheetView showGridLines="0" topLeftCell="A29" zoomScale="115" zoomScaleNormal="115" workbookViewId="0">
      <selection activeCell="F40" sqref="F40"/>
    </sheetView>
  </sheetViews>
  <sheetFormatPr defaultColWidth="9.140625" defaultRowHeight="12.75" outlineLevelCol="1"/>
  <cols>
    <col min="1" max="1" width="1.85546875" style="171" customWidth="1"/>
    <col min="2" max="2" width="13.85546875" style="171" customWidth="1"/>
    <col min="3" max="4" width="9.140625" style="171"/>
    <col min="5" max="6" width="32.28515625" style="171" customWidth="1"/>
    <col min="7" max="7" width="10.7109375" style="171" bestFit="1" customWidth="1"/>
    <col min="8" max="13" width="0" style="171" hidden="1" customWidth="1" outlineLevel="1"/>
    <col min="14" max="14" width="10.7109375" style="171" bestFit="1" customWidth="1" collapsed="1"/>
    <col min="15" max="20" width="10.5703125" style="171" hidden="1" customWidth="1" outlineLevel="1"/>
    <col min="21" max="21" width="10.7109375" style="171" bestFit="1" customWidth="1" collapsed="1"/>
    <col min="22" max="27" width="10.7109375" style="171" hidden="1" customWidth="1" outlineLevel="1"/>
    <col min="28" max="28" width="10.7109375" style="171" bestFit="1" customWidth="1" collapsed="1"/>
    <col min="29" max="34" width="10.5703125" style="171" hidden="1" customWidth="1" outlineLevel="1"/>
    <col min="35" max="35" width="11.85546875" style="171" bestFit="1" customWidth="1" collapsed="1"/>
    <col min="36" max="41" width="11.7109375" style="171" hidden="1" customWidth="1" outlineLevel="1"/>
    <col min="42" max="42" width="11.85546875" style="171" bestFit="1" customWidth="1" collapsed="1"/>
    <col min="43" max="48" width="11.7109375" style="171" hidden="1" customWidth="1" outlineLevel="1"/>
    <col min="49" max="49" width="11.7109375" style="171" customWidth="1" collapsed="1"/>
    <col min="50" max="55" width="11.7109375" style="171" hidden="1" customWidth="1" outlineLevel="1"/>
    <col min="56" max="56" width="11.7109375" style="171" customWidth="1" collapsed="1"/>
    <col min="57" max="57" width="10.42578125" style="171" bestFit="1" customWidth="1"/>
    <col min="58" max="77" width="9.140625" style="171"/>
    <col min="78" max="78" width="12" style="171" bestFit="1" customWidth="1"/>
    <col min="79" max="16384" width="9.140625" style="171"/>
  </cols>
  <sheetData>
    <row r="2" spans="2:78">
      <c r="F2" s="172">
        <f>+'[8]GM Batch1'!D11*F6/1000</f>
        <v>549769000</v>
      </c>
    </row>
    <row r="3" spans="2:78" ht="14.25" thickBot="1">
      <c r="B3" s="171" t="s">
        <v>836</v>
      </c>
    </row>
    <row r="4" spans="2:78" s="176" customFormat="1" ht="13.5">
      <c r="B4" s="1504" t="s">
        <v>837</v>
      </c>
      <c r="C4" s="1505"/>
      <c r="D4" s="1505"/>
      <c r="E4" s="1506"/>
      <c r="F4" s="173" t="s">
        <v>838</v>
      </c>
      <c r="G4" s="173" t="s">
        <v>839</v>
      </c>
      <c r="H4" s="173"/>
      <c r="I4" s="173"/>
      <c r="J4" s="173"/>
      <c r="K4" s="173"/>
      <c r="L4" s="173"/>
      <c r="M4" s="173"/>
      <c r="N4" s="173" t="s">
        <v>840</v>
      </c>
      <c r="O4" s="173"/>
      <c r="P4" s="173"/>
      <c r="Q4" s="173"/>
      <c r="R4" s="173"/>
      <c r="S4" s="173"/>
      <c r="T4" s="173"/>
      <c r="U4" s="173" t="s">
        <v>841</v>
      </c>
      <c r="V4" s="173"/>
      <c r="W4" s="173"/>
      <c r="X4" s="173"/>
      <c r="Y4" s="173"/>
      <c r="Z4" s="173"/>
      <c r="AA4" s="173"/>
      <c r="AB4" s="173" t="s">
        <v>842</v>
      </c>
      <c r="AC4" s="173"/>
      <c r="AD4" s="173"/>
      <c r="AE4" s="173"/>
      <c r="AF4" s="173"/>
      <c r="AG4" s="173"/>
      <c r="AH4" s="173"/>
      <c r="AI4" s="173" t="s">
        <v>843</v>
      </c>
      <c r="AJ4" s="173"/>
      <c r="AK4" s="173"/>
      <c r="AL4" s="173"/>
      <c r="AM4" s="173"/>
      <c r="AN4" s="173"/>
      <c r="AO4" s="173"/>
      <c r="AP4" s="173" t="s">
        <v>844</v>
      </c>
      <c r="AQ4" s="174"/>
      <c r="AR4" s="174"/>
      <c r="AS4" s="174"/>
      <c r="AT4" s="174"/>
      <c r="AU4" s="174"/>
      <c r="AV4" s="174"/>
      <c r="AW4" s="174" t="s">
        <v>845</v>
      </c>
      <c r="AX4" s="174"/>
      <c r="AY4" s="174"/>
      <c r="AZ4" s="174"/>
      <c r="BA4" s="174"/>
      <c r="BB4" s="174"/>
      <c r="BC4" s="174"/>
      <c r="BD4" s="174" t="s">
        <v>846</v>
      </c>
      <c r="BE4" s="175" t="s">
        <v>847</v>
      </c>
      <c r="BN4" s="171"/>
      <c r="BO4" s="171"/>
      <c r="BP4" s="171"/>
      <c r="BQ4" s="171"/>
    </row>
    <row r="5" spans="2:78" s="176" customFormat="1">
      <c r="B5" s="1500" t="s">
        <v>848</v>
      </c>
      <c r="C5" s="1507" t="s">
        <v>849</v>
      </c>
      <c r="D5" s="1507"/>
      <c r="E5" s="177" t="s">
        <v>388</v>
      </c>
      <c r="F5" s="178">
        <v>1050000000</v>
      </c>
      <c r="G5" s="179"/>
      <c r="H5" s="179"/>
      <c r="I5" s="179"/>
      <c r="J5" s="179"/>
      <c r="K5" s="179"/>
      <c r="L5" s="179"/>
      <c r="M5" s="179"/>
      <c r="N5" s="179"/>
      <c r="O5" s="179"/>
      <c r="P5" s="179"/>
      <c r="Q5" s="179"/>
      <c r="R5" s="179"/>
      <c r="S5" s="179"/>
      <c r="T5" s="179"/>
      <c r="U5" s="179">
        <v>0.2</v>
      </c>
      <c r="V5" s="179"/>
      <c r="W5" s="179"/>
      <c r="X5" s="179"/>
      <c r="Y5" s="179"/>
      <c r="Z5" s="179"/>
      <c r="AA5" s="179"/>
      <c r="AB5" s="179"/>
      <c r="AC5" s="179"/>
      <c r="AD5" s="179"/>
      <c r="AE5" s="179"/>
      <c r="AF5" s="179"/>
      <c r="AG5" s="179"/>
      <c r="AH5" s="179"/>
      <c r="AI5" s="179">
        <v>0.1</v>
      </c>
      <c r="AJ5" s="179"/>
      <c r="AK5" s="179"/>
      <c r="AL5" s="179"/>
      <c r="AM5" s="179"/>
      <c r="AN5" s="179"/>
      <c r="AO5" s="179"/>
      <c r="AP5" s="179">
        <v>0.4</v>
      </c>
      <c r="AQ5" s="180"/>
      <c r="AR5" s="180"/>
      <c r="AS5" s="180"/>
      <c r="AT5" s="180"/>
      <c r="AU5" s="180"/>
      <c r="AV5" s="180"/>
      <c r="AW5" s="179">
        <v>0.25</v>
      </c>
      <c r="AX5" s="180"/>
      <c r="AY5" s="180"/>
      <c r="AZ5" s="180"/>
      <c r="BA5" s="180"/>
      <c r="BB5" s="180"/>
      <c r="BC5" s="180"/>
      <c r="BD5" s="179">
        <v>0.05</v>
      </c>
      <c r="BE5" s="181">
        <f>SUM(G5:BD5)</f>
        <v>1</v>
      </c>
      <c r="BN5" s="171"/>
      <c r="BO5" s="171"/>
      <c r="BP5" s="171"/>
      <c r="BQ5" s="171"/>
    </row>
    <row r="6" spans="2:78" s="176" customFormat="1">
      <c r="B6" s="1495"/>
      <c r="C6" s="1498"/>
      <c r="D6" s="1498"/>
      <c r="E6" s="177" t="s">
        <v>389</v>
      </c>
      <c r="F6" s="178">
        <v>550000000</v>
      </c>
      <c r="G6" s="179">
        <v>0.55000000000000004</v>
      </c>
      <c r="H6" s="179"/>
      <c r="I6" s="179"/>
      <c r="J6" s="179"/>
      <c r="K6" s="179"/>
      <c r="L6" s="179"/>
      <c r="M6" s="179"/>
      <c r="N6" s="179">
        <v>0.15</v>
      </c>
      <c r="O6" s="179"/>
      <c r="P6" s="179"/>
      <c r="Q6" s="179"/>
      <c r="R6" s="179"/>
      <c r="S6" s="179"/>
      <c r="T6" s="179"/>
      <c r="U6" s="179"/>
      <c r="V6" s="182"/>
      <c r="W6" s="182"/>
      <c r="X6" s="182"/>
      <c r="Y6" s="182"/>
      <c r="Z6" s="182"/>
      <c r="AA6" s="182"/>
      <c r="AB6" s="182"/>
      <c r="AC6" s="182"/>
      <c r="AD6" s="182"/>
      <c r="AE6" s="182"/>
      <c r="AF6" s="182"/>
      <c r="AG6" s="182"/>
      <c r="AH6" s="182"/>
      <c r="AI6" s="183"/>
      <c r="AJ6" s="183"/>
      <c r="AK6" s="183"/>
      <c r="AL6" s="183"/>
      <c r="AM6" s="183"/>
      <c r="AN6" s="183"/>
      <c r="AO6" s="183"/>
      <c r="AP6" s="183"/>
      <c r="AQ6" s="184"/>
      <c r="AR6" s="184"/>
      <c r="AS6" s="184"/>
      <c r="AT6" s="184"/>
      <c r="AU6" s="184"/>
      <c r="AV6" s="184"/>
      <c r="AW6" s="184"/>
      <c r="AX6" s="184"/>
      <c r="AY6" s="184"/>
      <c r="AZ6" s="184"/>
      <c r="BA6" s="184"/>
      <c r="BB6" s="184"/>
      <c r="BC6" s="184"/>
      <c r="BD6" s="179">
        <v>0.3</v>
      </c>
      <c r="BE6" s="181">
        <f t="shared" ref="BE6:BE19" si="0">SUM(G6:BD6)</f>
        <v>1</v>
      </c>
      <c r="BN6" s="171"/>
      <c r="BO6" s="171"/>
      <c r="BP6" s="171"/>
      <c r="BQ6" s="171"/>
    </row>
    <row r="7" spans="2:78" s="176" customFormat="1" ht="13.5">
      <c r="B7" s="1495"/>
      <c r="C7" s="1498"/>
      <c r="D7" s="1498"/>
      <c r="E7" s="177" t="s">
        <v>850</v>
      </c>
      <c r="F7" s="178"/>
      <c r="G7" s="179"/>
      <c r="H7" s="179"/>
      <c r="I7" s="179"/>
      <c r="J7" s="179"/>
      <c r="K7" s="179"/>
      <c r="L7" s="179"/>
      <c r="M7" s="179"/>
      <c r="N7" s="179"/>
      <c r="O7" s="179"/>
      <c r="P7" s="179"/>
      <c r="Q7" s="179"/>
      <c r="R7" s="179"/>
      <c r="S7" s="179"/>
      <c r="T7" s="179"/>
      <c r="U7" s="179"/>
      <c r="V7" s="183"/>
      <c r="W7" s="183"/>
      <c r="X7" s="183"/>
      <c r="Y7" s="183"/>
      <c r="Z7" s="183"/>
      <c r="AA7" s="183"/>
      <c r="AB7" s="183"/>
      <c r="AC7" s="183"/>
      <c r="AD7" s="183"/>
      <c r="AE7" s="183"/>
      <c r="AF7" s="183"/>
      <c r="AG7" s="183"/>
      <c r="AH7" s="183"/>
      <c r="AI7" s="183"/>
      <c r="AJ7" s="183"/>
      <c r="AK7" s="183"/>
      <c r="AL7" s="183"/>
      <c r="AM7" s="183"/>
      <c r="AN7" s="183"/>
      <c r="AO7" s="183"/>
      <c r="AP7" s="183"/>
      <c r="AQ7" s="184"/>
      <c r="AR7" s="184"/>
      <c r="AS7" s="184"/>
      <c r="AT7" s="184"/>
      <c r="AU7" s="184"/>
      <c r="AV7" s="184"/>
      <c r="AW7" s="184"/>
      <c r="AX7" s="184"/>
      <c r="AY7" s="184"/>
      <c r="AZ7" s="184"/>
      <c r="BA7" s="184"/>
      <c r="BB7" s="184"/>
      <c r="BC7" s="184"/>
      <c r="BD7" s="185"/>
      <c r="BE7" s="181">
        <f t="shared" si="0"/>
        <v>0</v>
      </c>
      <c r="BN7" s="171"/>
      <c r="BO7" s="171"/>
      <c r="BP7" s="171"/>
      <c r="BQ7" s="171"/>
      <c r="BZ7" s="186">
        <v>45473</v>
      </c>
    </row>
    <row r="8" spans="2:78" s="176" customFormat="1">
      <c r="B8" s="1495"/>
      <c r="C8" s="1498"/>
      <c r="D8" s="1498"/>
      <c r="E8" s="177" t="s">
        <v>851</v>
      </c>
      <c r="F8" s="178"/>
      <c r="G8" s="179"/>
      <c r="H8" s="179"/>
      <c r="I8" s="179"/>
      <c r="J8" s="179"/>
      <c r="K8" s="179"/>
      <c r="L8" s="179"/>
      <c r="M8" s="179"/>
      <c r="N8" s="179"/>
      <c r="O8" s="179"/>
      <c r="P8" s="179"/>
      <c r="Q8" s="179"/>
      <c r="R8" s="179"/>
      <c r="S8" s="179"/>
      <c r="T8" s="179"/>
      <c r="U8" s="179"/>
      <c r="V8" s="182"/>
      <c r="W8" s="182"/>
      <c r="X8" s="182"/>
      <c r="Y8" s="182"/>
      <c r="Z8" s="182"/>
      <c r="AA8" s="182"/>
      <c r="AB8" s="182"/>
      <c r="AC8" s="182"/>
      <c r="AD8" s="182"/>
      <c r="AE8" s="182"/>
      <c r="AF8" s="182"/>
      <c r="AG8" s="182"/>
      <c r="AH8" s="182"/>
      <c r="AI8" s="183"/>
      <c r="AJ8" s="183"/>
      <c r="AK8" s="183"/>
      <c r="AL8" s="183"/>
      <c r="AM8" s="183"/>
      <c r="AN8" s="183"/>
      <c r="AO8" s="183"/>
      <c r="AP8" s="183"/>
      <c r="AQ8" s="184"/>
      <c r="AR8" s="184"/>
      <c r="AS8" s="184"/>
      <c r="AT8" s="184"/>
      <c r="AU8" s="184"/>
      <c r="AV8" s="184"/>
      <c r="AW8" s="184"/>
      <c r="AX8" s="184"/>
      <c r="AY8" s="184"/>
      <c r="AZ8" s="184"/>
      <c r="BA8" s="184"/>
      <c r="BB8" s="184"/>
      <c r="BC8" s="184"/>
      <c r="BD8" s="179"/>
      <c r="BE8" s="181">
        <f t="shared" si="0"/>
        <v>0</v>
      </c>
      <c r="BN8" s="171"/>
      <c r="BO8" s="171"/>
      <c r="BP8" s="171"/>
      <c r="BQ8" s="171"/>
    </row>
    <row r="9" spans="2:78" s="176" customFormat="1" ht="14.25" thickBot="1">
      <c r="B9" s="1496"/>
      <c r="C9" s="1498"/>
      <c r="D9" s="1499"/>
      <c r="E9" s="187" t="s">
        <v>852</v>
      </c>
      <c r="F9" s="188"/>
      <c r="G9" s="189"/>
      <c r="H9" s="189"/>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90"/>
      <c r="AQ9" s="191"/>
      <c r="AR9" s="191"/>
      <c r="AS9" s="191"/>
      <c r="AT9" s="191"/>
      <c r="AU9" s="191"/>
      <c r="AV9" s="191"/>
      <c r="AW9" s="191"/>
      <c r="AX9" s="191"/>
      <c r="AY9" s="191"/>
      <c r="AZ9" s="191"/>
      <c r="BA9" s="191"/>
      <c r="BB9" s="191"/>
      <c r="BC9" s="191"/>
      <c r="BD9" s="189"/>
      <c r="BE9" s="192">
        <f t="shared" si="0"/>
        <v>0</v>
      </c>
      <c r="BN9" s="171"/>
      <c r="BO9" s="171"/>
      <c r="BP9" s="171"/>
      <c r="BQ9" s="171"/>
    </row>
    <row r="10" spans="2:78">
      <c r="B10" s="1500" t="s">
        <v>853</v>
      </c>
      <c r="C10" s="1498"/>
      <c r="D10" s="1497" t="s">
        <v>854</v>
      </c>
      <c r="E10" s="177" t="s">
        <v>388</v>
      </c>
      <c r="F10" s="178">
        <v>1050000000</v>
      </c>
      <c r="G10" s="179"/>
      <c r="H10" s="179"/>
      <c r="I10" s="179"/>
      <c r="J10" s="179"/>
      <c r="K10" s="179"/>
      <c r="L10" s="179"/>
      <c r="M10" s="179"/>
      <c r="N10" s="179"/>
      <c r="O10" s="179"/>
      <c r="P10" s="179"/>
      <c r="Q10" s="179"/>
      <c r="R10" s="179"/>
      <c r="S10" s="179"/>
      <c r="T10" s="179"/>
      <c r="U10" s="179">
        <v>0.2</v>
      </c>
      <c r="V10" s="179"/>
      <c r="W10" s="179"/>
      <c r="X10" s="179"/>
      <c r="Y10" s="179"/>
      <c r="Z10" s="179"/>
      <c r="AA10" s="179"/>
      <c r="AB10" s="179"/>
      <c r="AC10" s="179"/>
      <c r="AD10" s="179"/>
      <c r="AE10" s="179"/>
      <c r="AF10" s="179"/>
      <c r="AG10" s="179"/>
      <c r="AH10" s="179"/>
      <c r="AI10" s="179">
        <v>0.1</v>
      </c>
      <c r="AJ10" s="179"/>
      <c r="AK10" s="179"/>
      <c r="AL10" s="179"/>
      <c r="AM10" s="179"/>
      <c r="AN10" s="179"/>
      <c r="AO10" s="179"/>
      <c r="AP10" s="179">
        <v>0.4</v>
      </c>
      <c r="AQ10" s="180"/>
      <c r="AR10" s="180"/>
      <c r="AS10" s="180"/>
      <c r="AT10" s="180"/>
      <c r="AU10" s="180"/>
      <c r="AV10" s="180"/>
      <c r="AW10" s="179">
        <v>0.25</v>
      </c>
      <c r="AX10" s="180"/>
      <c r="AY10" s="180"/>
      <c r="AZ10" s="180"/>
      <c r="BA10" s="180"/>
      <c r="BB10" s="180"/>
      <c r="BC10" s="180"/>
      <c r="BD10" s="179">
        <v>0.05</v>
      </c>
      <c r="BE10" s="181">
        <f>SUM(G10:BD10)</f>
        <v>1</v>
      </c>
      <c r="BF10" s="132"/>
    </row>
    <row r="11" spans="2:78">
      <c r="B11" s="1495"/>
      <c r="C11" s="1498"/>
      <c r="D11" s="1498"/>
      <c r="E11" s="177" t="s">
        <v>389</v>
      </c>
      <c r="F11" s="178">
        <v>350000000</v>
      </c>
      <c r="G11" s="179">
        <v>0.4</v>
      </c>
      <c r="H11" s="179"/>
      <c r="I11" s="179"/>
      <c r="J11" s="179"/>
      <c r="K11" s="179"/>
      <c r="L11" s="179"/>
      <c r="M11" s="179"/>
      <c r="N11" s="179">
        <v>0.2</v>
      </c>
      <c r="O11" s="179"/>
      <c r="P11" s="179"/>
      <c r="Q11" s="179"/>
      <c r="R11" s="179"/>
      <c r="S11" s="179"/>
      <c r="T11" s="179"/>
      <c r="U11" s="179">
        <v>0.3</v>
      </c>
      <c r="V11" s="182"/>
      <c r="W11" s="182"/>
      <c r="X11" s="182"/>
      <c r="Y11" s="182"/>
      <c r="Z11" s="182"/>
      <c r="AA11" s="182"/>
      <c r="AB11" s="182"/>
      <c r="AC11" s="182"/>
      <c r="AD11" s="182"/>
      <c r="AE11" s="182"/>
      <c r="AF11" s="182"/>
      <c r="AG11" s="182"/>
      <c r="AH11" s="182"/>
      <c r="AI11" s="183"/>
      <c r="AJ11" s="183"/>
      <c r="AK11" s="183"/>
      <c r="AL11" s="183"/>
      <c r="AM11" s="183"/>
      <c r="AN11" s="183"/>
      <c r="AO11" s="183"/>
      <c r="AP11" s="183"/>
      <c r="AQ11" s="184"/>
      <c r="AR11" s="184"/>
      <c r="AS11" s="184"/>
      <c r="AT11" s="184"/>
      <c r="AU11" s="184"/>
      <c r="AV11" s="184"/>
      <c r="AW11" s="184"/>
      <c r="AX11" s="184"/>
      <c r="AY11" s="184"/>
      <c r="AZ11" s="184"/>
      <c r="BA11" s="184"/>
      <c r="BB11" s="184"/>
      <c r="BC11" s="184"/>
      <c r="BD11" s="179">
        <v>0.1</v>
      </c>
      <c r="BE11" s="181">
        <f t="shared" si="0"/>
        <v>1.0000000000000002</v>
      </c>
      <c r="BF11" s="132"/>
    </row>
    <row r="12" spans="2:78">
      <c r="B12" s="1495"/>
      <c r="C12" s="1498"/>
      <c r="D12" s="1498"/>
      <c r="E12" s="177" t="s">
        <v>855</v>
      </c>
      <c r="F12" s="178">
        <v>300000000</v>
      </c>
      <c r="G12" s="179">
        <v>0.4</v>
      </c>
      <c r="H12" s="179"/>
      <c r="I12" s="179"/>
      <c r="J12" s="179"/>
      <c r="K12" s="179"/>
      <c r="L12" s="179"/>
      <c r="M12" s="179"/>
      <c r="N12" s="179">
        <v>0.2</v>
      </c>
      <c r="O12" s="179"/>
      <c r="P12" s="179"/>
      <c r="Q12" s="179"/>
      <c r="R12" s="179"/>
      <c r="S12" s="179"/>
      <c r="T12" s="179"/>
      <c r="U12" s="179">
        <v>0.3</v>
      </c>
      <c r="V12" s="182"/>
      <c r="W12" s="182"/>
      <c r="X12" s="182"/>
      <c r="Y12" s="182"/>
      <c r="Z12" s="182"/>
      <c r="AA12" s="182"/>
      <c r="AB12" s="182"/>
      <c r="AC12" s="182"/>
      <c r="AD12" s="182"/>
      <c r="AE12" s="182"/>
      <c r="AF12" s="182"/>
      <c r="AG12" s="182"/>
      <c r="AH12" s="182"/>
      <c r="AI12" s="183"/>
      <c r="AJ12" s="183"/>
      <c r="AK12" s="183"/>
      <c r="AL12" s="183"/>
      <c r="AM12" s="183"/>
      <c r="AN12" s="183"/>
      <c r="AO12" s="183"/>
      <c r="AP12" s="183"/>
      <c r="AQ12" s="184"/>
      <c r="AR12" s="184"/>
      <c r="AS12" s="184"/>
      <c r="AT12" s="184"/>
      <c r="AU12" s="184"/>
      <c r="AV12" s="184"/>
      <c r="AW12" s="184"/>
      <c r="AX12" s="184"/>
      <c r="AY12" s="184"/>
      <c r="AZ12" s="184"/>
      <c r="BA12" s="184"/>
      <c r="BB12" s="184"/>
      <c r="BC12" s="184"/>
      <c r="BD12" s="179">
        <v>0.1</v>
      </c>
      <c r="BE12" s="181">
        <f t="shared" si="0"/>
        <v>1.0000000000000002</v>
      </c>
      <c r="BF12" s="132"/>
    </row>
    <row r="13" spans="2:78">
      <c r="B13" s="1495"/>
      <c r="C13" s="1498"/>
      <c r="D13" s="1498"/>
      <c r="E13" s="177" t="s">
        <v>856</v>
      </c>
      <c r="F13" s="178">
        <v>200000000</v>
      </c>
      <c r="G13" s="179">
        <v>0.4</v>
      </c>
      <c r="H13" s="179"/>
      <c r="I13" s="179"/>
      <c r="J13" s="179"/>
      <c r="K13" s="179"/>
      <c r="L13" s="179"/>
      <c r="M13" s="179"/>
      <c r="N13" s="179">
        <v>0.2</v>
      </c>
      <c r="O13" s="179"/>
      <c r="P13" s="179"/>
      <c r="Q13" s="179"/>
      <c r="R13" s="179"/>
      <c r="S13" s="179"/>
      <c r="T13" s="179"/>
      <c r="U13" s="179">
        <v>0.3</v>
      </c>
      <c r="V13" s="182"/>
      <c r="W13" s="182"/>
      <c r="X13" s="182"/>
      <c r="Y13" s="182"/>
      <c r="Z13" s="182"/>
      <c r="AA13" s="182"/>
      <c r="AB13" s="182"/>
      <c r="AC13" s="182"/>
      <c r="AD13" s="182"/>
      <c r="AE13" s="182"/>
      <c r="AF13" s="182"/>
      <c r="AG13" s="182"/>
      <c r="AH13" s="182"/>
      <c r="AI13" s="183"/>
      <c r="AJ13" s="183"/>
      <c r="AK13" s="183"/>
      <c r="AL13" s="183"/>
      <c r="AM13" s="183"/>
      <c r="AN13" s="183"/>
      <c r="AO13" s="183"/>
      <c r="AP13" s="183"/>
      <c r="AQ13" s="184"/>
      <c r="AR13" s="184"/>
      <c r="AS13" s="184"/>
      <c r="AT13" s="184"/>
      <c r="AU13" s="184"/>
      <c r="AV13" s="184"/>
      <c r="AW13" s="184"/>
      <c r="AX13" s="184"/>
      <c r="AY13" s="184"/>
      <c r="AZ13" s="184"/>
      <c r="BA13" s="184"/>
      <c r="BB13" s="184"/>
      <c r="BC13" s="184"/>
      <c r="BD13" s="179">
        <v>0.1</v>
      </c>
      <c r="BE13" s="181">
        <f t="shared" si="0"/>
        <v>1.0000000000000002</v>
      </c>
      <c r="BF13" s="132"/>
    </row>
    <row r="14" spans="2:78" ht="13.5" thickBot="1">
      <c r="B14" s="1496"/>
      <c r="C14" s="1498"/>
      <c r="D14" s="1499"/>
      <c r="E14" s="187" t="s">
        <v>391</v>
      </c>
      <c r="F14" s="188"/>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c r="AK14" s="189"/>
      <c r="AL14" s="189"/>
      <c r="AM14" s="189"/>
      <c r="AN14" s="189"/>
      <c r="AO14" s="189"/>
      <c r="AP14" s="190"/>
      <c r="AQ14" s="191"/>
      <c r="AR14" s="191"/>
      <c r="AS14" s="191"/>
      <c r="AT14" s="191"/>
      <c r="AU14" s="191"/>
      <c r="AV14" s="191"/>
      <c r="AW14" s="191"/>
      <c r="AX14" s="191"/>
      <c r="AY14" s="191"/>
      <c r="AZ14" s="191"/>
      <c r="BA14" s="191"/>
      <c r="BB14" s="191"/>
      <c r="BC14" s="191"/>
      <c r="BD14" s="189"/>
      <c r="BE14" s="192">
        <f t="shared" si="0"/>
        <v>0</v>
      </c>
      <c r="BF14" s="132"/>
    </row>
    <row r="15" spans="2:78" ht="12.75" customHeight="1">
      <c r="B15" s="1500" t="s">
        <v>857</v>
      </c>
      <c r="C15" s="1498"/>
      <c r="D15" s="1497" t="s">
        <v>858</v>
      </c>
      <c r="E15" s="177" t="s">
        <v>388</v>
      </c>
      <c r="F15" s="178">
        <v>1050000000</v>
      </c>
      <c r="G15" s="179"/>
      <c r="H15" s="179"/>
      <c r="I15" s="179"/>
      <c r="J15" s="179"/>
      <c r="K15" s="179"/>
      <c r="L15" s="179"/>
      <c r="M15" s="179"/>
      <c r="N15" s="179"/>
      <c r="O15" s="179"/>
      <c r="P15" s="179"/>
      <c r="Q15" s="179"/>
      <c r="R15" s="179"/>
      <c r="S15" s="179"/>
      <c r="T15" s="179"/>
      <c r="U15" s="179">
        <v>0.2</v>
      </c>
      <c r="V15" s="179"/>
      <c r="W15" s="179"/>
      <c r="X15" s="179"/>
      <c r="Y15" s="179"/>
      <c r="Z15" s="179"/>
      <c r="AA15" s="179"/>
      <c r="AB15" s="179"/>
      <c r="AC15" s="179"/>
      <c r="AD15" s="179"/>
      <c r="AE15" s="179"/>
      <c r="AF15" s="179"/>
      <c r="AG15" s="179"/>
      <c r="AH15" s="179"/>
      <c r="AI15" s="179">
        <v>0.1</v>
      </c>
      <c r="AJ15" s="179"/>
      <c r="AK15" s="179"/>
      <c r="AL15" s="179"/>
      <c r="AM15" s="179"/>
      <c r="AN15" s="179"/>
      <c r="AO15" s="179"/>
      <c r="AP15" s="179">
        <v>0.4</v>
      </c>
      <c r="AQ15" s="180"/>
      <c r="AR15" s="180"/>
      <c r="AS15" s="180"/>
      <c r="AT15" s="180"/>
      <c r="AU15" s="180"/>
      <c r="AV15" s="180"/>
      <c r="AW15" s="179">
        <v>0.25</v>
      </c>
      <c r="AX15" s="180"/>
      <c r="AY15" s="180"/>
      <c r="AZ15" s="180"/>
      <c r="BA15" s="180"/>
      <c r="BB15" s="180"/>
      <c r="BC15" s="180"/>
      <c r="BD15" s="179">
        <v>0.05</v>
      </c>
      <c r="BE15" s="181">
        <f>SUM(G15:BD15)</f>
        <v>1</v>
      </c>
      <c r="BF15" s="132"/>
    </row>
    <row r="16" spans="2:78">
      <c r="B16" s="1495"/>
      <c r="C16" s="1498"/>
      <c r="D16" s="1498"/>
      <c r="E16" s="177" t="s">
        <v>389</v>
      </c>
      <c r="F16" s="178">
        <v>150000000</v>
      </c>
      <c r="G16" s="182">
        <v>1</v>
      </c>
      <c r="H16" s="182"/>
      <c r="I16" s="182"/>
      <c r="J16" s="182"/>
      <c r="K16" s="182"/>
      <c r="L16" s="182"/>
      <c r="M16" s="182"/>
      <c r="N16" s="182"/>
      <c r="O16" s="182"/>
      <c r="P16" s="182"/>
      <c r="Q16" s="182"/>
      <c r="R16" s="182"/>
      <c r="S16" s="182"/>
      <c r="T16" s="182"/>
      <c r="U16" s="182"/>
      <c r="V16" s="182"/>
      <c r="W16" s="182"/>
      <c r="X16" s="182"/>
      <c r="Y16" s="182"/>
      <c r="Z16" s="182"/>
      <c r="AA16" s="182"/>
      <c r="AB16" s="182"/>
      <c r="AC16" s="182"/>
      <c r="AD16" s="182"/>
      <c r="AE16" s="182"/>
      <c r="AF16" s="182"/>
      <c r="AG16" s="182"/>
      <c r="AH16" s="182"/>
      <c r="AI16" s="183"/>
      <c r="AJ16" s="183"/>
      <c r="AK16" s="183"/>
      <c r="AL16" s="183"/>
      <c r="AM16" s="183"/>
      <c r="AN16" s="183"/>
      <c r="AO16" s="183"/>
      <c r="AP16" s="183"/>
      <c r="AQ16" s="184"/>
      <c r="AR16" s="184"/>
      <c r="AS16" s="184"/>
      <c r="AT16" s="184"/>
      <c r="AU16" s="184"/>
      <c r="AV16" s="184"/>
      <c r="AW16" s="184"/>
      <c r="AX16" s="184"/>
      <c r="AY16" s="184"/>
      <c r="AZ16" s="184"/>
      <c r="BA16" s="184"/>
      <c r="BB16" s="184"/>
      <c r="BC16" s="184"/>
      <c r="BD16" s="182"/>
      <c r="BE16" s="181">
        <f t="shared" si="0"/>
        <v>1</v>
      </c>
      <c r="BF16" s="132"/>
    </row>
    <row r="17" spans="2:58">
      <c r="B17" s="1495"/>
      <c r="C17" s="1498"/>
      <c r="D17" s="1498"/>
      <c r="E17" s="177" t="s">
        <v>855</v>
      </c>
      <c r="F17" s="178">
        <v>300000000</v>
      </c>
      <c r="G17" s="182">
        <v>1</v>
      </c>
      <c r="H17" s="183"/>
      <c r="I17" s="183"/>
      <c r="J17" s="183"/>
      <c r="K17" s="183"/>
      <c r="L17" s="183"/>
      <c r="M17" s="183"/>
      <c r="N17" s="182"/>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4"/>
      <c r="AR17" s="184"/>
      <c r="AS17" s="184"/>
      <c r="AT17" s="184"/>
      <c r="AU17" s="184"/>
      <c r="AV17" s="184"/>
      <c r="AW17" s="184"/>
      <c r="AX17" s="184"/>
      <c r="AY17" s="184"/>
      <c r="AZ17" s="184"/>
      <c r="BA17" s="184"/>
      <c r="BB17" s="184"/>
      <c r="BC17" s="184"/>
      <c r="BD17" s="182"/>
      <c r="BE17" s="181">
        <f t="shared" si="0"/>
        <v>1</v>
      </c>
      <c r="BF17" s="132"/>
    </row>
    <row r="18" spans="2:58">
      <c r="B18" s="1495"/>
      <c r="C18" s="1498"/>
      <c r="D18" s="1498"/>
      <c r="E18" s="177" t="s">
        <v>856</v>
      </c>
      <c r="F18" s="178">
        <v>200000000</v>
      </c>
      <c r="G18" s="182">
        <v>1</v>
      </c>
      <c r="H18" s="183"/>
      <c r="I18" s="183"/>
      <c r="J18" s="183"/>
      <c r="K18" s="183"/>
      <c r="L18" s="183"/>
      <c r="M18" s="183"/>
      <c r="N18" s="182"/>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4"/>
      <c r="AR18" s="184"/>
      <c r="AS18" s="184"/>
      <c r="AT18" s="184"/>
      <c r="AU18" s="184"/>
      <c r="AV18" s="184"/>
      <c r="AW18" s="184"/>
      <c r="AX18" s="184"/>
      <c r="AY18" s="184"/>
      <c r="AZ18" s="184"/>
      <c r="BA18" s="184"/>
      <c r="BB18" s="184"/>
      <c r="BC18" s="184"/>
      <c r="BD18" s="182"/>
      <c r="BE18" s="181">
        <f t="shared" si="0"/>
        <v>1</v>
      </c>
      <c r="BF18" s="132"/>
    </row>
    <row r="19" spans="2:58" ht="13.5" thickBot="1">
      <c r="B19" s="1496"/>
      <c r="C19" s="1499"/>
      <c r="D19" s="1499"/>
      <c r="E19" s="187" t="s">
        <v>391</v>
      </c>
      <c r="F19" s="188"/>
      <c r="G19" s="189"/>
      <c r="H19" s="189"/>
      <c r="I19" s="189"/>
      <c r="J19" s="189"/>
      <c r="K19" s="189"/>
      <c r="L19" s="189"/>
      <c r="M19" s="189"/>
      <c r="N19" s="189"/>
      <c r="O19" s="189"/>
      <c r="P19" s="189"/>
      <c r="Q19" s="189"/>
      <c r="R19" s="189"/>
      <c r="S19" s="189"/>
      <c r="T19" s="189"/>
      <c r="U19" s="189"/>
      <c r="V19" s="189"/>
      <c r="W19" s="189"/>
      <c r="X19" s="189"/>
      <c r="Y19" s="189"/>
      <c r="Z19" s="189"/>
      <c r="AA19" s="189"/>
      <c r="AB19" s="189"/>
      <c r="AC19" s="189"/>
      <c r="AD19" s="189"/>
      <c r="AE19" s="189"/>
      <c r="AF19" s="189"/>
      <c r="AG19" s="189"/>
      <c r="AH19" s="189"/>
      <c r="AI19" s="189"/>
      <c r="AJ19" s="189"/>
      <c r="AK19" s="189"/>
      <c r="AL19" s="189"/>
      <c r="AM19" s="189"/>
      <c r="AN19" s="189"/>
      <c r="AO19" s="189"/>
      <c r="AP19" s="190"/>
      <c r="AQ19" s="191"/>
      <c r="AR19" s="191"/>
      <c r="AS19" s="191"/>
      <c r="AT19" s="191"/>
      <c r="AU19" s="191"/>
      <c r="AV19" s="191"/>
      <c r="AW19" s="191"/>
      <c r="AX19" s="191"/>
      <c r="AY19" s="191"/>
      <c r="AZ19" s="191"/>
      <c r="BA19" s="191"/>
      <c r="BB19" s="191"/>
      <c r="BC19" s="191"/>
      <c r="BD19" s="191"/>
      <c r="BE19" s="192">
        <f t="shared" si="0"/>
        <v>0</v>
      </c>
      <c r="BF19" s="132"/>
    </row>
    <row r="20" spans="2:58">
      <c r="B20" s="1494" t="s">
        <v>857</v>
      </c>
      <c r="C20" s="1497" t="s">
        <v>859</v>
      </c>
      <c r="D20" s="1497" t="s">
        <v>860</v>
      </c>
      <c r="E20" s="177" t="s">
        <v>388</v>
      </c>
      <c r="F20" s="178">
        <v>1100000000</v>
      </c>
      <c r="G20" s="179"/>
      <c r="H20" s="179"/>
      <c r="I20" s="179"/>
      <c r="J20" s="179"/>
      <c r="K20" s="179"/>
      <c r="L20" s="179"/>
      <c r="M20" s="179"/>
      <c r="N20" s="179"/>
      <c r="O20" s="179"/>
      <c r="P20" s="179"/>
      <c r="Q20" s="179"/>
      <c r="R20" s="179"/>
      <c r="S20" s="179"/>
      <c r="T20" s="179"/>
      <c r="U20" s="179">
        <v>0.5</v>
      </c>
      <c r="V20" s="179"/>
      <c r="W20" s="179"/>
      <c r="X20" s="179"/>
      <c r="Y20" s="179"/>
      <c r="Z20" s="179"/>
      <c r="AA20" s="179"/>
      <c r="AB20" s="179"/>
      <c r="AC20" s="179"/>
      <c r="AD20" s="179"/>
      <c r="AE20" s="179"/>
      <c r="AF20" s="179"/>
      <c r="AG20" s="179"/>
      <c r="AH20" s="179"/>
      <c r="AI20" s="179"/>
      <c r="AJ20" s="179"/>
      <c r="AK20" s="179"/>
      <c r="AL20" s="179"/>
      <c r="AM20" s="179"/>
      <c r="AN20" s="179"/>
      <c r="AO20" s="179"/>
      <c r="AP20" s="179"/>
      <c r="AQ20" s="180"/>
      <c r="AR20" s="180"/>
      <c r="AS20" s="180"/>
      <c r="AT20" s="180"/>
      <c r="AU20" s="180"/>
      <c r="AV20" s="180"/>
      <c r="AW20" s="179">
        <v>0.4</v>
      </c>
      <c r="AX20" s="180"/>
      <c r="AY20" s="180"/>
      <c r="AZ20" s="180"/>
      <c r="BA20" s="180"/>
      <c r="BB20" s="180"/>
      <c r="BC20" s="180"/>
      <c r="BD20" s="179">
        <v>0.1</v>
      </c>
      <c r="BE20" s="181">
        <f>SUM(G20:BD20)</f>
        <v>1</v>
      </c>
      <c r="BF20" s="132"/>
    </row>
    <row r="21" spans="2:58">
      <c r="B21" s="1495"/>
      <c r="C21" s="1498"/>
      <c r="D21" s="1498"/>
      <c r="E21" s="177" t="s">
        <v>389</v>
      </c>
      <c r="F21" s="178">
        <v>300000000</v>
      </c>
      <c r="G21" s="179">
        <v>0.2</v>
      </c>
      <c r="H21" s="179"/>
      <c r="I21" s="179"/>
      <c r="J21" s="179"/>
      <c r="K21" s="179"/>
      <c r="L21" s="179"/>
      <c r="M21" s="179"/>
      <c r="N21" s="179">
        <v>0.2</v>
      </c>
      <c r="O21" s="179"/>
      <c r="P21" s="179"/>
      <c r="Q21" s="179"/>
      <c r="R21" s="179"/>
      <c r="S21" s="179"/>
      <c r="T21" s="179"/>
      <c r="U21" s="179">
        <v>0.5</v>
      </c>
      <c r="V21" s="179"/>
      <c r="W21" s="179"/>
      <c r="X21" s="179"/>
      <c r="Y21" s="179"/>
      <c r="Z21" s="179"/>
      <c r="AA21" s="179"/>
      <c r="AB21" s="179"/>
      <c r="AC21" s="179"/>
      <c r="AD21" s="179"/>
      <c r="AE21" s="179"/>
      <c r="AF21" s="179"/>
      <c r="AG21" s="179"/>
      <c r="AH21" s="179"/>
      <c r="AI21" s="179"/>
      <c r="AJ21" s="179"/>
      <c r="AK21" s="179"/>
      <c r="AL21" s="179"/>
      <c r="AM21" s="179"/>
      <c r="AN21" s="179"/>
      <c r="AO21" s="179"/>
      <c r="AP21" s="179"/>
      <c r="AQ21" s="185"/>
      <c r="AR21" s="185"/>
      <c r="AS21" s="185"/>
      <c r="AT21" s="185"/>
      <c r="AU21" s="185"/>
      <c r="AV21" s="185"/>
      <c r="AW21" s="185"/>
      <c r="AX21" s="185"/>
      <c r="AY21" s="185"/>
      <c r="AZ21" s="185"/>
      <c r="BA21" s="185"/>
      <c r="BB21" s="185"/>
      <c r="BC21" s="185"/>
      <c r="BD21" s="179">
        <v>0.1</v>
      </c>
      <c r="BE21" s="181">
        <f t="shared" ref="BE21:BE23" si="1">SUM(G21:BD21)</f>
        <v>1</v>
      </c>
    </row>
    <row r="22" spans="2:58">
      <c r="B22" s="1495"/>
      <c r="C22" s="1498"/>
      <c r="D22" s="1498"/>
      <c r="E22" s="177" t="s">
        <v>856</v>
      </c>
      <c r="F22" s="178">
        <v>200000000</v>
      </c>
      <c r="G22" s="179">
        <v>0.2</v>
      </c>
      <c r="H22" s="179"/>
      <c r="I22" s="179"/>
      <c r="J22" s="179"/>
      <c r="K22" s="179"/>
      <c r="L22" s="179"/>
      <c r="M22" s="179"/>
      <c r="N22" s="179">
        <v>0.2</v>
      </c>
      <c r="O22" s="179"/>
      <c r="P22" s="179"/>
      <c r="Q22" s="179"/>
      <c r="R22" s="179"/>
      <c r="S22" s="179"/>
      <c r="T22" s="179"/>
      <c r="U22" s="179">
        <v>0.5</v>
      </c>
      <c r="V22" s="179"/>
      <c r="W22" s="179"/>
      <c r="X22" s="179"/>
      <c r="Y22" s="179"/>
      <c r="Z22" s="179"/>
      <c r="AA22" s="179"/>
      <c r="AB22" s="179"/>
      <c r="AC22" s="179"/>
      <c r="AD22" s="179"/>
      <c r="AE22" s="179"/>
      <c r="AF22" s="179"/>
      <c r="AG22" s="179"/>
      <c r="AH22" s="179"/>
      <c r="AI22" s="179"/>
      <c r="AJ22" s="179"/>
      <c r="AK22" s="179"/>
      <c r="AL22" s="179"/>
      <c r="AM22" s="179"/>
      <c r="AN22" s="179"/>
      <c r="AO22" s="179"/>
      <c r="AP22" s="179"/>
      <c r="AQ22" s="185"/>
      <c r="AR22" s="185"/>
      <c r="AS22" s="185"/>
      <c r="AT22" s="185"/>
      <c r="AU22" s="185"/>
      <c r="AV22" s="185"/>
      <c r="AW22" s="185"/>
      <c r="AX22" s="185"/>
      <c r="AY22" s="185"/>
      <c r="AZ22" s="185"/>
      <c r="BA22" s="185"/>
      <c r="BB22" s="185"/>
      <c r="BC22" s="185"/>
      <c r="BD22" s="179">
        <v>0.1</v>
      </c>
      <c r="BE22" s="181">
        <f t="shared" si="1"/>
        <v>1</v>
      </c>
    </row>
    <row r="23" spans="2:58" ht="13.5" thickBot="1">
      <c r="B23" s="1496"/>
      <c r="C23" s="1498"/>
      <c r="D23" s="1499"/>
      <c r="E23" s="187" t="s">
        <v>861</v>
      </c>
      <c r="F23" s="188">
        <f>40000000*5</f>
        <v>200000000</v>
      </c>
      <c r="G23" s="193"/>
      <c r="H23" s="193"/>
      <c r="I23" s="193"/>
      <c r="J23" s="193"/>
      <c r="K23" s="193"/>
      <c r="L23" s="193"/>
      <c r="M23" s="193"/>
      <c r="N23" s="193"/>
      <c r="O23" s="193"/>
      <c r="P23" s="193"/>
      <c r="Q23" s="193"/>
      <c r="R23" s="193"/>
      <c r="S23" s="193"/>
      <c r="T23" s="193"/>
      <c r="U23" s="193"/>
      <c r="V23" s="193"/>
      <c r="W23" s="193"/>
      <c r="X23" s="193"/>
      <c r="Y23" s="193"/>
      <c r="Z23" s="193"/>
      <c r="AA23" s="193"/>
      <c r="AB23" s="193"/>
      <c r="AC23" s="193"/>
      <c r="AD23" s="193"/>
      <c r="AE23" s="193"/>
      <c r="AF23" s="193"/>
      <c r="AG23" s="193"/>
      <c r="AH23" s="193"/>
      <c r="AI23" s="193"/>
      <c r="AJ23" s="193"/>
      <c r="AK23" s="193"/>
      <c r="AL23" s="193"/>
      <c r="AM23" s="193"/>
      <c r="AN23" s="193"/>
      <c r="AO23" s="193"/>
      <c r="AP23" s="194"/>
      <c r="AQ23" s="195"/>
      <c r="AR23" s="195"/>
      <c r="AS23" s="195"/>
      <c r="AT23" s="195"/>
      <c r="AU23" s="195"/>
      <c r="AV23" s="195"/>
      <c r="AW23" s="195"/>
      <c r="AX23" s="195"/>
      <c r="AY23" s="195"/>
      <c r="AZ23" s="195"/>
      <c r="BA23" s="195"/>
      <c r="BB23" s="195"/>
      <c r="BC23" s="195"/>
      <c r="BD23" s="193">
        <v>1</v>
      </c>
      <c r="BE23" s="192">
        <f t="shared" si="1"/>
        <v>1</v>
      </c>
    </row>
    <row r="24" spans="2:58">
      <c r="B24" s="1500" t="s">
        <v>862</v>
      </c>
      <c r="C24" s="1498"/>
      <c r="D24" s="1501" t="s">
        <v>863</v>
      </c>
      <c r="E24" s="177" t="s">
        <v>388</v>
      </c>
      <c r="F24" s="178">
        <v>1100000000</v>
      </c>
      <c r="G24" s="179"/>
      <c r="H24" s="179"/>
      <c r="I24" s="179"/>
      <c r="J24" s="179"/>
      <c r="K24" s="179"/>
      <c r="L24" s="179"/>
      <c r="M24" s="179"/>
      <c r="N24" s="179"/>
      <c r="O24" s="179"/>
      <c r="P24" s="179"/>
      <c r="Q24" s="179"/>
      <c r="R24" s="179"/>
      <c r="S24" s="179"/>
      <c r="T24" s="179"/>
      <c r="U24" s="179">
        <v>0.5</v>
      </c>
      <c r="V24" s="179"/>
      <c r="W24" s="179"/>
      <c r="X24" s="179"/>
      <c r="Y24" s="179"/>
      <c r="Z24" s="179"/>
      <c r="AA24" s="179"/>
      <c r="AB24" s="179"/>
      <c r="AC24" s="179"/>
      <c r="AD24" s="179"/>
      <c r="AE24" s="179"/>
      <c r="AF24" s="179"/>
      <c r="AG24" s="179"/>
      <c r="AH24" s="179"/>
      <c r="AI24" s="179"/>
      <c r="AJ24" s="179"/>
      <c r="AK24" s="179"/>
      <c r="AL24" s="179"/>
      <c r="AM24" s="179"/>
      <c r="AN24" s="179"/>
      <c r="AO24" s="179"/>
      <c r="AP24" s="179"/>
      <c r="AQ24" s="180"/>
      <c r="AR24" s="180"/>
      <c r="AS24" s="180"/>
      <c r="AT24" s="180"/>
      <c r="AU24" s="180"/>
      <c r="AV24" s="180"/>
      <c r="AW24" s="179">
        <v>0.4</v>
      </c>
      <c r="AX24" s="180"/>
      <c r="AY24" s="180"/>
      <c r="AZ24" s="180"/>
      <c r="BA24" s="180"/>
      <c r="BB24" s="180"/>
      <c r="BC24" s="180"/>
      <c r="BD24" s="179">
        <v>0.1</v>
      </c>
      <c r="BE24" s="181">
        <f>SUM(G24:BD24)</f>
        <v>1</v>
      </c>
    </row>
    <row r="25" spans="2:58">
      <c r="B25" s="1495"/>
      <c r="C25" s="1498"/>
      <c r="D25" s="1498"/>
      <c r="E25" s="177" t="s">
        <v>389</v>
      </c>
      <c r="F25" s="178">
        <v>300000000</v>
      </c>
      <c r="G25" s="179">
        <v>0.2</v>
      </c>
      <c r="H25" s="179"/>
      <c r="I25" s="179"/>
      <c r="J25" s="179"/>
      <c r="K25" s="179"/>
      <c r="L25" s="179"/>
      <c r="M25" s="179"/>
      <c r="N25" s="179">
        <v>0.2</v>
      </c>
      <c r="O25" s="179"/>
      <c r="P25" s="179"/>
      <c r="Q25" s="179"/>
      <c r="R25" s="179"/>
      <c r="S25" s="179"/>
      <c r="T25" s="179"/>
      <c r="U25" s="179">
        <v>0.5</v>
      </c>
      <c r="V25" s="179"/>
      <c r="W25" s="179"/>
      <c r="X25" s="179"/>
      <c r="Y25" s="179"/>
      <c r="Z25" s="179"/>
      <c r="AA25" s="179"/>
      <c r="AB25" s="179"/>
      <c r="AC25" s="179"/>
      <c r="AD25" s="179"/>
      <c r="AE25" s="179"/>
      <c r="AF25" s="179"/>
      <c r="AG25" s="179"/>
      <c r="AH25" s="179"/>
      <c r="AI25" s="179"/>
      <c r="AJ25" s="179"/>
      <c r="AK25" s="179"/>
      <c r="AL25" s="179"/>
      <c r="AM25" s="179"/>
      <c r="AN25" s="179"/>
      <c r="AO25" s="179"/>
      <c r="AP25" s="179"/>
      <c r="AQ25" s="185"/>
      <c r="AR25" s="185"/>
      <c r="AS25" s="185"/>
      <c r="AT25" s="185"/>
      <c r="AU25" s="185"/>
      <c r="AV25" s="185"/>
      <c r="AW25" s="185"/>
      <c r="AX25" s="185"/>
      <c r="AY25" s="185"/>
      <c r="AZ25" s="185"/>
      <c r="BA25" s="185"/>
      <c r="BB25" s="185"/>
      <c r="BC25" s="185"/>
      <c r="BD25" s="179">
        <v>0.1</v>
      </c>
      <c r="BE25" s="181">
        <f t="shared" ref="BE25:BE27" si="2">SUM(G25:BD25)</f>
        <v>1</v>
      </c>
    </row>
    <row r="26" spans="2:58">
      <c r="B26" s="1495"/>
      <c r="C26" s="1498"/>
      <c r="D26" s="1498"/>
      <c r="E26" s="177" t="s">
        <v>856</v>
      </c>
      <c r="F26" s="178">
        <v>200000000</v>
      </c>
      <c r="G26" s="179">
        <v>0.2</v>
      </c>
      <c r="H26" s="179"/>
      <c r="I26" s="179"/>
      <c r="J26" s="179"/>
      <c r="K26" s="179"/>
      <c r="L26" s="179"/>
      <c r="M26" s="179"/>
      <c r="N26" s="179">
        <v>0.2</v>
      </c>
      <c r="O26" s="179"/>
      <c r="P26" s="179"/>
      <c r="Q26" s="179"/>
      <c r="R26" s="179"/>
      <c r="S26" s="179"/>
      <c r="T26" s="179"/>
      <c r="U26" s="179">
        <v>0.5</v>
      </c>
      <c r="V26" s="179"/>
      <c r="W26" s="179"/>
      <c r="X26" s="179"/>
      <c r="Y26" s="179"/>
      <c r="Z26" s="179"/>
      <c r="AA26" s="179"/>
      <c r="AB26" s="179"/>
      <c r="AC26" s="179"/>
      <c r="AD26" s="179"/>
      <c r="AE26" s="179"/>
      <c r="AF26" s="179"/>
      <c r="AG26" s="179"/>
      <c r="AH26" s="179"/>
      <c r="AI26" s="179"/>
      <c r="AJ26" s="179"/>
      <c r="AK26" s="179"/>
      <c r="AL26" s="179"/>
      <c r="AM26" s="179"/>
      <c r="AN26" s="179"/>
      <c r="AO26" s="179"/>
      <c r="AP26" s="179"/>
      <c r="AQ26" s="185"/>
      <c r="AR26" s="185"/>
      <c r="AS26" s="185"/>
      <c r="AT26" s="185"/>
      <c r="AU26" s="185"/>
      <c r="AV26" s="185"/>
      <c r="AW26" s="185"/>
      <c r="AX26" s="185"/>
      <c r="AY26" s="185"/>
      <c r="AZ26" s="185"/>
      <c r="BA26" s="185"/>
      <c r="BB26" s="185"/>
      <c r="BC26" s="185"/>
      <c r="BD26" s="179">
        <v>0.1</v>
      </c>
      <c r="BE26" s="181">
        <f t="shared" si="2"/>
        <v>1</v>
      </c>
    </row>
    <row r="27" spans="2:58" ht="13.5" thickBot="1">
      <c r="B27" s="1496"/>
      <c r="C27" s="1498"/>
      <c r="D27" s="1499"/>
      <c r="E27" s="187" t="s">
        <v>864</v>
      </c>
      <c r="F27" s="188">
        <f>40000000*7</f>
        <v>280000000</v>
      </c>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3"/>
      <c r="AK27" s="193"/>
      <c r="AL27" s="193"/>
      <c r="AM27" s="193"/>
      <c r="AN27" s="193"/>
      <c r="AO27" s="193"/>
      <c r="AP27" s="194"/>
      <c r="AQ27" s="195"/>
      <c r="AR27" s="195"/>
      <c r="AS27" s="195"/>
      <c r="AT27" s="195"/>
      <c r="AU27" s="195"/>
      <c r="AV27" s="195"/>
      <c r="AW27" s="195"/>
      <c r="AX27" s="195"/>
      <c r="AY27" s="195"/>
      <c r="AZ27" s="195"/>
      <c r="BA27" s="195"/>
      <c r="BB27" s="195"/>
      <c r="BC27" s="195"/>
      <c r="BD27" s="193">
        <v>1</v>
      </c>
      <c r="BE27" s="192">
        <f t="shared" si="2"/>
        <v>1</v>
      </c>
    </row>
    <row r="28" spans="2:58" ht="12.75" customHeight="1">
      <c r="B28" s="1500" t="s">
        <v>865</v>
      </c>
      <c r="C28" s="1498"/>
      <c r="D28" s="1501" t="s">
        <v>863</v>
      </c>
      <c r="E28" s="177" t="s">
        <v>388</v>
      </c>
      <c r="F28" s="178">
        <v>1100000000</v>
      </c>
      <c r="G28" s="179"/>
      <c r="H28" s="179"/>
      <c r="I28" s="179"/>
      <c r="J28" s="179"/>
      <c r="K28" s="179"/>
      <c r="L28" s="179"/>
      <c r="M28" s="179"/>
      <c r="N28" s="179"/>
      <c r="O28" s="179"/>
      <c r="P28" s="179"/>
      <c r="Q28" s="179"/>
      <c r="R28" s="179"/>
      <c r="S28" s="179"/>
      <c r="T28" s="179"/>
      <c r="U28" s="179">
        <v>0.5</v>
      </c>
      <c r="V28" s="179"/>
      <c r="W28" s="179"/>
      <c r="X28" s="179"/>
      <c r="Y28" s="179"/>
      <c r="Z28" s="179"/>
      <c r="AA28" s="179"/>
      <c r="AB28" s="179"/>
      <c r="AC28" s="179"/>
      <c r="AD28" s="179"/>
      <c r="AE28" s="179"/>
      <c r="AF28" s="179"/>
      <c r="AG28" s="179"/>
      <c r="AH28" s="179"/>
      <c r="AI28" s="179"/>
      <c r="AJ28" s="179"/>
      <c r="AK28" s="179"/>
      <c r="AL28" s="179"/>
      <c r="AM28" s="179"/>
      <c r="AN28" s="179"/>
      <c r="AO28" s="179"/>
      <c r="AP28" s="179"/>
      <c r="AQ28" s="180"/>
      <c r="AR28" s="180"/>
      <c r="AS28" s="180"/>
      <c r="AT28" s="180"/>
      <c r="AU28" s="180"/>
      <c r="AV28" s="180"/>
      <c r="AW28" s="179">
        <v>0.4</v>
      </c>
      <c r="AX28" s="180"/>
      <c r="AY28" s="180"/>
      <c r="AZ28" s="180"/>
      <c r="BA28" s="180"/>
      <c r="BB28" s="180"/>
      <c r="BC28" s="180"/>
      <c r="BD28" s="179">
        <v>0.1</v>
      </c>
      <c r="BE28" s="181">
        <f>SUM(G28:BD28)</f>
        <v>1</v>
      </c>
    </row>
    <row r="29" spans="2:58">
      <c r="B29" s="1495"/>
      <c r="C29" s="1498"/>
      <c r="D29" s="1498"/>
      <c r="E29" s="177" t="s">
        <v>389</v>
      </c>
      <c r="F29" s="178">
        <v>300000000</v>
      </c>
      <c r="G29" s="179">
        <v>0.3</v>
      </c>
      <c r="H29" s="179"/>
      <c r="I29" s="179"/>
      <c r="J29" s="179"/>
      <c r="K29" s="179"/>
      <c r="L29" s="179"/>
      <c r="M29" s="179"/>
      <c r="N29" s="179">
        <v>0.1</v>
      </c>
      <c r="O29" s="179"/>
      <c r="P29" s="179"/>
      <c r="Q29" s="179"/>
      <c r="R29" s="179"/>
      <c r="S29" s="179"/>
      <c r="T29" s="179"/>
      <c r="U29" s="179">
        <v>0.5</v>
      </c>
      <c r="V29" s="179"/>
      <c r="W29" s="179"/>
      <c r="X29" s="179"/>
      <c r="Y29" s="179"/>
      <c r="Z29" s="179"/>
      <c r="AA29" s="179"/>
      <c r="AB29" s="179"/>
      <c r="AC29" s="179"/>
      <c r="AD29" s="179"/>
      <c r="AE29" s="179"/>
      <c r="AF29" s="179"/>
      <c r="AG29" s="179"/>
      <c r="AH29" s="179"/>
      <c r="AI29" s="179"/>
      <c r="AJ29" s="179"/>
      <c r="AK29" s="179"/>
      <c r="AL29" s="179"/>
      <c r="AM29" s="179"/>
      <c r="AN29" s="179"/>
      <c r="AO29" s="179"/>
      <c r="AP29" s="179"/>
      <c r="AQ29" s="185"/>
      <c r="AR29" s="185"/>
      <c r="AS29" s="185"/>
      <c r="AT29" s="185"/>
      <c r="AU29" s="185"/>
      <c r="AV29" s="185"/>
      <c r="AW29" s="185"/>
      <c r="AX29" s="185"/>
      <c r="AY29" s="185"/>
      <c r="AZ29" s="185"/>
      <c r="BA29" s="185"/>
      <c r="BB29" s="185"/>
      <c r="BC29" s="185"/>
      <c r="BD29" s="179">
        <v>0.1</v>
      </c>
      <c r="BE29" s="181">
        <f t="shared" ref="BE29:BE31" si="3">SUM(G29:BD29)</f>
        <v>1</v>
      </c>
    </row>
    <row r="30" spans="2:58">
      <c r="B30" s="1495"/>
      <c r="C30" s="1498"/>
      <c r="D30" s="1498"/>
      <c r="E30" s="177" t="s">
        <v>856</v>
      </c>
      <c r="F30" s="178">
        <v>200000000</v>
      </c>
      <c r="G30" s="179">
        <v>0.3</v>
      </c>
      <c r="H30" s="179"/>
      <c r="I30" s="179"/>
      <c r="J30" s="179"/>
      <c r="K30" s="179"/>
      <c r="L30" s="179"/>
      <c r="M30" s="179"/>
      <c r="N30" s="179">
        <v>0.1</v>
      </c>
      <c r="O30" s="179"/>
      <c r="P30" s="179"/>
      <c r="Q30" s="179"/>
      <c r="R30" s="179"/>
      <c r="S30" s="179"/>
      <c r="T30" s="179"/>
      <c r="U30" s="179">
        <v>0.5</v>
      </c>
      <c r="V30" s="179"/>
      <c r="W30" s="179"/>
      <c r="X30" s="179"/>
      <c r="Y30" s="179"/>
      <c r="Z30" s="179"/>
      <c r="AA30" s="179"/>
      <c r="AB30" s="179"/>
      <c r="AC30" s="179"/>
      <c r="AD30" s="179"/>
      <c r="AE30" s="179"/>
      <c r="AF30" s="179"/>
      <c r="AG30" s="179"/>
      <c r="AH30" s="179"/>
      <c r="AI30" s="179"/>
      <c r="AJ30" s="179"/>
      <c r="AK30" s="179"/>
      <c r="AL30" s="179"/>
      <c r="AM30" s="179"/>
      <c r="AN30" s="179"/>
      <c r="AO30" s="179"/>
      <c r="AP30" s="179"/>
      <c r="AQ30" s="185"/>
      <c r="AR30" s="185"/>
      <c r="AS30" s="185"/>
      <c r="AT30" s="185"/>
      <c r="AU30" s="185"/>
      <c r="AV30" s="185"/>
      <c r="AW30" s="185"/>
      <c r="AX30" s="185"/>
      <c r="AY30" s="185"/>
      <c r="AZ30" s="185"/>
      <c r="BA30" s="185"/>
      <c r="BB30" s="185"/>
      <c r="BC30" s="185"/>
      <c r="BD30" s="179">
        <v>0.1</v>
      </c>
      <c r="BE30" s="181">
        <f t="shared" si="3"/>
        <v>1</v>
      </c>
    </row>
    <row r="31" spans="2:58" ht="13.5" thickBot="1">
      <c r="B31" s="1496"/>
      <c r="C31" s="1498"/>
      <c r="D31" s="1499"/>
      <c r="E31" s="187" t="s">
        <v>864</v>
      </c>
      <c r="F31" s="188">
        <f>40000000*7</f>
        <v>280000000</v>
      </c>
      <c r="G31" s="193"/>
      <c r="H31" s="193"/>
      <c r="I31" s="193"/>
      <c r="J31" s="193"/>
      <c r="K31" s="193"/>
      <c r="L31" s="193"/>
      <c r="M31" s="193"/>
      <c r="N31" s="193"/>
      <c r="O31" s="193"/>
      <c r="P31" s="193"/>
      <c r="Q31" s="193"/>
      <c r="R31" s="193"/>
      <c r="S31" s="193"/>
      <c r="T31" s="193"/>
      <c r="U31" s="193"/>
      <c r="V31" s="193"/>
      <c r="W31" s="193"/>
      <c r="X31" s="193"/>
      <c r="Y31" s="193"/>
      <c r="Z31" s="193"/>
      <c r="AA31" s="193"/>
      <c r="AB31" s="193"/>
      <c r="AC31" s="193"/>
      <c r="AD31" s="193"/>
      <c r="AE31" s="193"/>
      <c r="AF31" s="193"/>
      <c r="AG31" s="193"/>
      <c r="AH31" s="193"/>
      <c r="AI31" s="193"/>
      <c r="AJ31" s="193"/>
      <c r="AK31" s="193"/>
      <c r="AL31" s="193"/>
      <c r="AM31" s="193"/>
      <c r="AN31" s="193"/>
      <c r="AO31" s="193"/>
      <c r="AP31" s="194"/>
      <c r="AQ31" s="195"/>
      <c r="AR31" s="195"/>
      <c r="AS31" s="195"/>
      <c r="AT31" s="195"/>
      <c r="AU31" s="195"/>
      <c r="AV31" s="195"/>
      <c r="AW31" s="195"/>
      <c r="AX31" s="195"/>
      <c r="AY31" s="195"/>
      <c r="AZ31" s="195"/>
      <c r="BA31" s="195"/>
      <c r="BB31" s="195"/>
      <c r="BC31" s="195"/>
      <c r="BD31" s="193">
        <v>1</v>
      </c>
      <c r="BE31" s="192">
        <f t="shared" si="3"/>
        <v>1</v>
      </c>
    </row>
    <row r="32" spans="2:58">
      <c r="B32" s="1502" t="s">
        <v>866</v>
      </c>
      <c r="C32" s="1498"/>
      <c r="D32" s="1503" t="s">
        <v>867</v>
      </c>
      <c r="E32" s="177" t="s">
        <v>388</v>
      </c>
      <c r="F32" s="178">
        <v>1100000000</v>
      </c>
      <c r="G32" s="179"/>
      <c r="H32" s="179"/>
      <c r="I32" s="179"/>
      <c r="J32" s="179"/>
      <c r="K32" s="179"/>
      <c r="L32" s="179"/>
      <c r="M32" s="179"/>
      <c r="N32" s="179"/>
      <c r="O32" s="179"/>
      <c r="P32" s="179"/>
      <c r="Q32" s="179"/>
      <c r="R32" s="179"/>
      <c r="S32" s="179"/>
      <c r="T32" s="179"/>
      <c r="U32" s="179">
        <v>0.5</v>
      </c>
      <c r="V32" s="179"/>
      <c r="W32" s="179"/>
      <c r="X32" s="179"/>
      <c r="Y32" s="179"/>
      <c r="Z32" s="179"/>
      <c r="AA32" s="179"/>
      <c r="AB32" s="179"/>
      <c r="AC32" s="179"/>
      <c r="AD32" s="179"/>
      <c r="AE32" s="179"/>
      <c r="AF32" s="179"/>
      <c r="AG32" s="179"/>
      <c r="AH32" s="179"/>
      <c r="AI32" s="179"/>
      <c r="AJ32" s="179"/>
      <c r="AK32" s="179"/>
      <c r="AL32" s="179"/>
      <c r="AM32" s="179"/>
      <c r="AN32" s="179"/>
      <c r="AO32" s="179"/>
      <c r="AP32" s="179"/>
      <c r="AQ32" s="180"/>
      <c r="AR32" s="180"/>
      <c r="AS32" s="180"/>
      <c r="AT32" s="180"/>
      <c r="AU32" s="180"/>
      <c r="AV32" s="180"/>
      <c r="AW32" s="179">
        <v>0.4</v>
      </c>
      <c r="AX32" s="180"/>
      <c r="AY32" s="180"/>
      <c r="AZ32" s="180"/>
      <c r="BA32" s="180"/>
      <c r="BB32" s="180"/>
      <c r="BC32" s="180"/>
      <c r="BD32" s="179">
        <v>0.1</v>
      </c>
      <c r="BE32" s="181">
        <f>SUM(G32:BD32)</f>
        <v>1</v>
      </c>
      <c r="BF32" s="132"/>
    </row>
    <row r="33" spans="2:57">
      <c r="B33" s="1495"/>
      <c r="C33" s="1498"/>
      <c r="D33" s="1498"/>
      <c r="E33" s="177" t="s">
        <v>389</v>
      </c>
      <c r="F33" s="178">
        <v>300000000</v>
      </c>
      <c r="G33" s="179">
        <v>0.2</v>
      </c>
      <c r="H33" s="179"/>
      <c r="I33" s="179"/>
      <c r="J33" s="179"/>
      <c r="K33" s="179"/>
      <c r="L33" s="179"/>
      <c r="M33" s="179"/>
      <c r="N33" s="179">
        <v>0.2</v>
      </c>
      <c r="O33" s="179"/>
      <c r="P33" s="179"/>
      <c r="Q33" s="179"/>
      <c r="R33" s="179"/>
      <c r="S33" s="179"/>
      <c r="T33" s="179"/>
      <c r="U33" s="179">
        <v>0.5</v>
      </c>
      <c r="V33" s="179"/>
      <c r="W33" s="179"/>
      <c r="X33" s="179"/>
      <c r="Y33" s="179"/>
      <c r="Z33" s="179"/>
      <c r="AA33" s="179"/>
      <c r="AB33" s="179"/>
      <c r="AC33" s="179"/>
      <c r="AD33" s="179"/>
      <c r="AE33" s="179"/>
      <c r="AF33" s="179"/>
      <c r="AG33" s="179"/>
      <c r="AH33" s="179"/>
      <c r="AI33" s="179">
        <v>0.1</v>
      </c>
      <c r="AJ33" s="179"/>
      <c r="AK33" s="179"/>
      <c r="AL33" s="179"/>
      <c r="AM33" s="179"/>
      <c r="AN33" s="179"/>
      <c r="AO33" s="179"/>
      <c r="AP33" s="179"/>
      <c r="AQ33" s="185"/>
      <c r="AR33" s="185"/>
      <c r="AS33" s="185"/>
      <c r="AT33" s="185"/>
      <c r="AU33" s="185"/>
      <c r="AV33" s="185"/>
      <c r="AW33" s="185"/>
      <c r="AX33" s="185"/>
      <c r="AY33" s="185"/>
      <c r="AZ33" s="185"/>
      <c r="BA33" s="185"/>
      <c r="BB33" s="185"/>
      <c r="BC33" s="185"/>
      <c r="BD33" s="185"/>
      <c r="BE33" s="181">
        <f>SUM(G33:BD33)</f>
        <v>1</v>
      </c>
    </row>
    <row r="34" spans="2:57">
      <c r="B34" s="1495"/>
      <c r="C34" s="1498"/>
      <c r="D34" s="1498"/>
      <c r="E34" s="177" t="s">
        <v>856</v>
      </c>
      <c r="F34" s="178">
        <v>200000000</v>
      </c>
      <c r="G34" s="179">
        <v>0.2</v>
      </c>
      <c r="H34" s="179"/>
      <c r="I34" s="179"/>
      <c r="J34" s="179"/>
      <c r="K34" s="179"/>
      <c r="L34" s="179"/>
      <c r="M34" s="179"/>
      <c r="N34" s="179">
        <v>0.2</v>
      </c>
      <c r="O34" s="179"/>
      <c r="P34" s="179"/>
      <c r="Q34" s="179"/>
      <c r="R34" s="179"/>
      <c r="S34" s="179"/>
      <c r="T34" s="179"/>
      <c r="U34" s="179">
        <v>0.5</v>
      </c>
      <c r="V34" s="179"/>
      <c r="W34" s="179"/>
      <c r="X34" s="179"/>
      <c r="Y34" s="179"/>
      <c r="Z34" s="179"/>
      <c r="AA34" s="179"/>
      <c r="AB34" s="179"/>
      <c r="AC34" s="179"/>
      <c r="AD34" s="179"/>
      <c r="AE34" s="179"/>
      <c r="AF34" s="179"/>
      <c r="AG34" s="179"/>
      <c r="AH34" s="179"/>
      <c r="AI34" s="179">
        <v>0.1</v>
      </c>
      <c r="AJ34" s="179"/>
      <c r="AK34" s="179"/>
      <c r="AL34" s="179"/>
      <c r="AM34" s="179"/>
      <c r="AN34" s="179"/>
      <c r="AO34" s="179"/>
      <c r="AP34" s="179"/>
      <c r="AQ34" s="185"/>
      <c r="AR34" s="185"/>
      <c r="AS34" s="185"/>
      <c r="AT34" s="185"/>
      <c r="AU34" s="185"/>
      <c r="AV34" s="185"/>
      <c r="AW34" s="185"/>
      <c r="AX34" s="185"/>
      <c r="AY34" s="185"/>
      <c r="AZ34" s="185"/>
      <c r="BA34" s="185"/>
      <c r="BB34" s="185"/>
      <c r="BC34" s="185"/>
      <c r="BD34" s="185"/>
      <c r="BE34" s="181">
        <f>SUM(G34:BD34)</f>
        <v>1</v>
      </c>
    </row>
    <row r="35" spans="2:57" ht="13.5" thickBot="1">
      <c r="B35" s="1496"/>
      <c r="C35" s="1499"/>
      <c r="D35" s="1499"/>
      <c r="E35" s="187" t="s">
        <v>391</v>
      </c>
      <c r="F35" s="188"/>
      <c r="G35" s="193">
        <v>0.2</v>
      </c>
      <c r="H35" s="193"/>
      <c r="I35" s="193"/>
      <c r="J35" s="193"/>
      <c r="K35" s="193"/>
      <c r="L35" s="193"/>
      <c r="M35" s="193"/>
      <c r="N35" s="193">
        <v>0.2</v>
      </c>
      <c r="O35" s="193"/>
      <c r="P35" s="193"/>
      <c r="Q35" s="193"/>
      <c r="R35" s="193"/>
      <c r="S35" s="193"/>
      <c r="T35" s="193"/>
      <c r="U35" s="193">
        <v>0.5</v>
      </c>
      <c r="V35" s="193"/>
      <c r="W35" s="193"/>
      <c r="X35" s="193"/>
      <c r="Y35" s="193"/>
      <c r="Z35" s="193"/>
      <c r="AA35" s="193"/>
      <c r="AB35" s="193"/>
      <c r="AC35" s="193"/>
      <c r="AD35" s="193"/>
      <c r="AE35" s="193"/>
      <c r="AF35" s="193"/>
      <c r="AG35" s="193"/>
      <c r="AH35" s="193"/>
      <c r="AI35" s="193">
        <v>0.1</v>
      </c>
      <c r="AJ35" s="193"/>
      <c r="AK35" s="193"/>
      <c r="AL35" s="193"/>
      <c r="AM35" s="193"/>
      <c r="AN35" s="193"/>
      <c r="AO35" s="193"/>
      <c r="AP35" s="194"/>
      <c r="AQ35" s="195"/>
      <c r="AR35" s="195"/>
      <c r="AS35" s="195"/>
      <c r="AT35" s="195"/>
      <c r="AU35" s="195"/>
      <c r="AV35" s="195"/>
      <c r="AW35" s="195"/>
      <c r="AX35" s="195"/>
      <c r="AY35" s="195"/>
      <c r="AZ35" s="195"/>
      <c r="BA35" s="195"/>
      <c r="BB35" s="195"/>
      <c r="BC35" s="195"/>
      <c r="BD35" s="195"/>
      <c r="BE35" s="192">
        <f>SUM(G35:BD35)</f>
        <v>1</v>
      </c>
    </row>
    <row r="36" spans="2:57" ht="19.5" customHeight="1" thickBot="1">
      <c r="B36" s="356" t="s">
        <v>868</v>
      </c>
    </row>
    <row r="37" spans="2:57" ht="19.5" customHeight="1" thickBot="1">
      <c r="B37" s="1508" t="s">
        <v>837</v>
      </c>
      <c r="C37" s="1509"/>
      <c r="D37" s="1510"/>
      <c r="E37" s="1505"/>
      <c r="F37" s="173" t="s">
        <v>838</v>
      </c>
      <c r="G37" s="173" t="s">
        <v>839</v>
      </c>
      <c r="H37" s="173"/>
      <c r="I37" s="173"/>
      <c r="J37" s="173"/>
      <c r="K37" s="173"/>
      <c r="L37" s="173"/>
      <c r="M37" s="173"/>
      <c r="N37" s="173" t="s">
        <v>840</v>
      </c>
      <c r="O37" s="173"/>
      <c r="P37" s="173"/>
      <c r="Q37" s="173"/>
      <c r="R37" s="173"/>
      <c r="S37" s="173"/>
      <c r="T37" s="173"/>
      <c r="U37" s="173" t="s">
        <v>841</v>
      </c>
      <c r="V37" s="173"/>
      <c r="W37" s="173"/>
      <c r="X37" s="173"/>
      <c r="Y37" s="173"/>
      <c r="Z37" s="173"/>
      <c r="AA37" s="173"/>
      <c r="AB37" s="173" t="s">
        <v>842</v>
      </c>
      <c r="AC37" s="173"/>
      <c r="AD37" s="173"/>
      <c r="AE37" s="173"/>
      <c r="AF37" s="173"/>
      <c r="AG37" s="173"/>
      <c r="AH37" s="173"/>
      <c r="AI37" s="173" t="s">
        <v>843</v>
      </c>
      <c r="AJ37" s="173"/>
      <c r="AK37" s="173"/>
      <c r="AL37" s="173"/>
      <c r="AM37" s="173"/>
      <c r="AN37" s="173"/>
      <c r="AO37" s="173"/>
      <c r="AP37" s="173" t="s">
        <v>844</v>
      </c>
      <c r="AQ37" s="173"/>
      <c r="AR37" s="173"/>
      <c r="AS37" s="173"/>
      <c r="AT37" s="173"/>
      <c r="AU37" s="173"/>
      <c r="AV37" s="173"/>
      <c r="AW37" s="173" t="str">
        <f>+AW4</f>
        <v>7차</v>
      </c>
      <c r="AX37" s="173"/>
      <c r="AY37" s="173"/>
      <c r="AZ37" s="173"/>
      <c r="BA37" s="173"/>
      <c r="BB37" s="173"/>
      <c r="BC37" s="173"/>
      <c r="BD37" s="173" t="str">
        <f>+BD4</f>
        <v>8차</v>
      </c>
      <c r="BE37" s="175" t="s">
        <v>847</v>
      </c>
    </row>
    <row r="38" spans="2:57">
      <c r="B38" s="1511" t="s">
        <v>869</v>
      </c>
      <c r="C38" s="1523" t="s">
        <v>859</v>
      </c>
      <c r="D38" s="1514" t="s">
        <v>870</v>
      </c>
      <c r="E38" s="177" t="s">
        <v>388</v>
      </c>
      <c r="F38" s="178">
        <v>1100000000</v>
      </c>
      <c r="G38" s="179"/>
      <c r="H38" s="179"/>
      <c r="I38" s="179"/>
      <c r="J38" s="179"/>
      <c r="K38" s="179"/>
      <c r="L38" s="179"/>
      <c r="M38" s="179"/>
      <c r="N38" s="179"/>
      <c r="O38" s="179"/>
      <c r="P38" s="179"/>
      <c r="Q38" s="179"/>
      <c r="R38" s="179"/>
      <c r="S38" s="179"/>
      <c r="T38" s="179"/>
      <c r="U38" s="179">
        <v>0.5</v>
      </c>
      <c r="V38" s="179"/>
      <c r="W38" s="179"/>
      <c r="X38" s="179"/>
      <c r="Y38" s="179"/>
      <c r="Z38" s="179"/>
      <c r="AA38" s="179"/>
      <c r="AB38" s="179"/>
      <c r="AC38" s="179"/>
      <c r="AD38" s="179"/>
      <c r="AE38" s="179"/>
      <c r="AF38" s="179"/>
      <c r="AG38" s="179"/>
      <c r="AH38" s="179"/>
      <c r="AI38" s="179">
        <v>0</v>
      </c>
      <c r="AJ38" s="179"/>
      <c r="AK38" s="179"/>
      <c r="AL38" s="179"/>
      <c r="AM38" s="179"/>
      <c r="AN38" s="179"/>
      <c r="AO38" s="179"/>
      <c r="AP38" s="179">
        <v>0</v>
      </c>
      <c r="AQ38" s="180"/>
      <c r="AR38" s="180"/>
      <c r="AS38" s="180"/>
      <c r="AT38" s="180"/>
      <c r="AU38" s="180"/>
      <c r="AV38" s="180"/>
      <c r="AW38" s="179">
        <v>0.4</v>
      </c>
      <c r="AX38" s="180"/>
      <c r="AY38" s="180"/>
      <c r="AZ38" s="180"/>
      <c r="BA38" s="180"/>
      <c r="BB38" s="180"/>
      <c r="BC38" s="180"/>
      <c r="BD38" s="179">
        <v>0.1</v>
      </c>
      <c r="BE38" s="181">
        <f t="shared" ref="BE38:BE49" si="4">SUM(G38:BD38)</f>
        <v>1</v>
      </c>
    </row>
    <row r="39" spans="2:57">
      <c r="B39" s="1512"/>
      <c r="C39" s="1524"/>
      <c r="D39" s="1515"/>
      <c r="E39" s="177" t="s">
        <v>389</v>
      </c>
      <c r="F39" s="178">
        <v>300000000</v>
      </c>
      <c r="G39" s="179">
        <v>0.3</v>
      </c>
      <c r="H39" s="179"/>
      <c r="I39" s="179"/>
      <c r="J39" s="179"/>
      <c r="K39" s="179"/>
      <c r="L39" s="179"/>
      <c r="M39" s="179"/>
      <c r="N39" s="179">
        <v>0.1</v>
      </c>
      <c r="O39" s="179"/>
      <c r="P39" s="179"/>
      <c r="Q39" s="179"/>
      <c r="R39" s="179"/>
      <c r="S39" s="179"/>
      <c r="T39" s="179"/>
      <c r="U39" s="179">
        <v>0.5</v>
      </c>
      <c r="V39" s="179"/>
      <c r="W39" s="179"/>
      <c r="X39" s="179"/>
      <c r="Y39" s="179"/>
      <c r="Z39" s="179"/>
      <c r="AA39" s="179"/>
      <c r="AB39" s="179"/>
      <c r="AC39" s="179"/>
      <c r="AD39" s="179"/>
      <c r="AE39" s="179"/>
      <c r="AF39" s="179"/>
      <c r="AG39" s="179"/>
      <c r="AH39" s="179"/>
      <c r="AI39" s="179"/>
      <c r="AJ39" s="179"/>
      <c r="AK39" s="179"/>
      <c r="AL39" s="179"/>
      <c r="AM39" s="179"/>
      <c r="AN39" s="179"/>
      <c r="AO39" s="179"/>
      <c r="AP39" s="179"/>
      <c r="AQ39" s="185"/>
      <c r="AR39" s="185"/>
      <c r="AS39" s="185"/>
      <c r="AT39" s="185"/>
      <c r="AU39" s="185"/>
      <c r="AV39" s="185"/>
      <c r="AW39" s="185"/>
      <c r="AX39" s="185"/>
      <c r="AY39" s="185"/>
      <c r="AZ39" s="185"/>
      <c r="BA39" s="185"/>
      <c r="BB39" s="185"/>
      <c r="BC39" s="185"/>
      <c r="BD39" s="179">
        <v>0.1</v>
      </c>
      <c r="BE39" s="181">
        <f t="shared" si="4"/>
        <v>1</v>
      </c>
    </row>
    <row r="40" spans="2:57">
      <c r="B40" s="1512"/>
      <c r="C40" s="1524"/>
      <c r="D40" s="1515"/>
      <c r="E40" s="177" t="s">
        <v>851</v>
      </c>
      <c r="F40" s="178">
        <v>50000000</v>
      </c>
      <c r="G40" s="179">
        <v>0.3</v>
      </c>
      <c r="H40" s="179"/>
      <c r="I40" s="179"/>
      <c r="J40" s="179"/>
      <c r="K40" s="179"/>
      <c r="L40" s="179"/>
      <c r="M40" s="179"/>
      <c r="N40" s="179">
        <v>0.1</v>
      </c>
      <c r="O40" s="179"/>
      <c r="P40" s="179"/>
      <c r="Q40" s="179"/>
      <c r="R40" s="179"/>
      <c r="S40" s="179"/>
      <c r="T40" s="179"/>
      <c r="U40" s="179">
        <v>0.5</v>
      </c>
      <c r="V40" s="179"/>
      <c r="W40" s="179"/>
      <c r="X40" s="179"/>
      <c r="Y40" s="179"/>
      <c r="Z40" s="179"/>
      <c r="AA40" s="179"/>
      <c r="AB40" s="179"/>
      <c r="AC40" s="179"/>
      <c r="AD40" s="179"/>
      <c r="AE40" s="179"/>
      <c r="AF40" s="179"/>
      <c r="AG40" s="179"/>
      <c r="AH40" s="179"/>
      <c r="AI40" s="179"/>
      <c r="AJ40" s="179"/>
      <c r="AK40" s="179"/>
      <c r="AL40" s="179"/>
      <c r="AM40" s="179"/>
      <c r="AN40" s="179"/>
      <c r="AO40" s="179"/>
      <c r="AP40" s="179"/>
      <c r="AQ40" s="185"/>
      <c r="AR40" s="185"/>
      <c r="AS40" s="185"/>
      <c r="AT40" s="185"/>
      <c r="AU40" s="185"/>
      <c r="AV40" s="185"/>
      <c r="AW40" s="185"/>
      <c r="AX40" s="185"/>
      <c r="AY40" s="185"/>
      <c r="AZ40" s="185"/>
      <c r="BA40" s="185"/>
      <c r="BB40" s="185"/>
      <c r="BC40" s="185"/>
      <c r="BD40" s="179">
        <v>0.1</v>
      </c>
      <c r="BE40" s="181">
        <f t="shared" si="4"/>
        <v>1</v>
      </c>
    </row>
    <row r="41" spans="2:57" ht="14.25" thickBot="1">
      <c r="B41" s="1513"/>
      <c r="C41" s="1524"/>
      <c r="D41" s="1516"/>
      <c r="E41" s="187" t="s">
        <v>852</v>
      </c>
      <c r="F41" s="188">
        <f>35000000*5</f>
        <v>175000000</v>
      </c>
      <c r="G41" s="193"/>
      <c r="H41" s="193"/>
      <c r="I41" s="193"/>
      <c r="J41" s="193"/>
      <c r="K41" s="193"/>
      <c r="L41" s="193"/>
      <c r="M41" s="193"/>
      <c r="N41" s="193"/>
      <c r="O41" s="193"/>
      <c r="P41" s="193"/>
      <c r="Q41" s="193"/>
      <c r="R41" s="193"/>
      <c r="S41" s="193"/>
      <c r="T41" s="193"/>
      <c r="U41" s="193"/>
      <c r="V41" s="193"/>
      <c r="W41" s="193"/>
      <c r="X41" s="193"/>
      <c r="Y41" s="193"/>
      <c r="Z41" s="193"/>
      <c r="AA41" s="193"/>
      <c r="AB41" s="193"/>
      <c r="AC41" s="193"/>
      <c r="AD41" s="193"/>
      <c r="AE41" s="193"/>
      <c r="AF41" s="193"/>
      <c r="AG41" s="193"/>
      <c r="AH41" s="193"/>
      <c r="AI41" s="193"/>
      <c r="AJ41" s="193"/>
      <c r="AK41" s="193"/>
      <c r="AL41" s="193"/>
      <c r="AM41" s="193"/>
      <c r="AN41" s="193"/>
      <c r="AO41" s="193"/>
      <c r="AP41" s="194"/>
      <c r="AQ41" s="195"/>
      <c r="AR41" s="195"/>
      <c r="AS41" s="195"/>
      <c r="AT41" s="195"/>
      <c r="AU41" s="195"/>
      <c r="AV41" s="195"/>
      <c r="AW41" s="195"/>
      <c r="AX41" s="195"/>
      <c r="AY41" s="195"/>
      <c r="AZ41" s="195"/>
      <c r="BA41" s="195"/>
      <c r="BB41" s="195"/>
      <c r="BC41" s="195"/>
      <c r="BD41" s="193">
        <v>1</v>
      </c>
      <c r="BE41" s="192">
        <f t="shared" si="4"/>
        <v>1</v>
      </c>
    </row>
    <row r="42" spans="2:57">
      <c r="B42" s="1511" t="s">
        <v>871</v>
      </c>
      <c r="C42" s="1524"/>
      <c r="D42" s="1517" t="s">
        <v>872</v>
      </c>
      <c r="E42" s="177" t="s">
        <v>388</v>
      </c>
      <c r="F42" s="178">
        <v>1100000000</v>
      </c>
      <c r="G42" s="179"/>
      <c r="H42" s="179"/>
      <c r="I42" s="179"/>
      <c r="J42" s="179"/>
      <c r="K42" s="179"/>
      <c r="L42" s="179"/>
      <c r="M42" s="179"/>
      <c r="N42" s="179"/>
      <c r="O42" s="179"/>
      <c r="P42" s="179"/>
      <c r="Q42" s="179"/>
      <c r="R42" s="179"/>
      <c r="S42" s="179"/>
      <c r="T42" s="179"/>
      <c r="U42" s="179">
        <v>0.5</v>
      </c>
      <c r="V42" s="179"/>
      <c r="W42" s="179"/>
      <c r="X42" s="179"/>
      <c r="Y42" s="179"/>
      <c r="Z42" s="179"/>
      <c r="AA42" s="179"/>
      <c r="AB42" s="179"/>
      <c r="AC42" s="179"/>
      <c r="AD42" s="179"/>
      <c r="AE42" s="179"/>
      <c r="AF42" s="179"/>
      <c r="AG42" s="179"/>
      <c r="AH42" s="179"/>
      <c r="AI42" s="179">
        <v>0</v>
      </c>
      <c r="AJ42" s="179"/>
      <c r="AK42" s="179"/>
      <c r="AL42" s="179"/>
      <c r="AM42" s="179"/>
      <c r="AN42" s="179"/>
      <c r="AO42" s="179"/>
      <c r="AP42" s="179">
        <v>0</v>
      </c>
      <c r="AQ42" s="180"/>
      <c r="AR42" s="180"/>
      <c r="AS42" s="180"/>
      <c r="AT42" s="180"/>
      <c r="AU42" s="180"/>
      <c r="AV42" s="180"/>
      <c r="AW42" s="179">
        <v>0.4</v>
      </c>
      <c r="AX42" s="180"/>
      <c r="AY42" s="180"/>
      <c r="AZ42" s="180"/>
      <c r="BA42" s="180"/>
      <c r="BB42" s="180"/>
      <c r="BC42" s="180"/>
      <c r="BD42" s="179">
        <v>0.1</v>
      </c>
      <c r="BE42" s="181">
        <f t="shared" si="4"/>
        <v>1</v>
      </c>
    </row>
    <row r="43" spans="2:57">
      <c r="B43" s="1512"/>
      <c r="C43" s="1524"/>
      <c r="D43" s="1518"/>
      <c r="E43" s="177" t="s">
        <v>389</v>
      </c>
      <c r="F43" s="178">
        <v>300000000</v>
      </c>
      <c r="G43" s="179">
        <v>0.3</v>
      </c>
      <c r="H43" s="179"/>
      <c r="I43" s="179"/>
      <c r="J43" s="179"/>
      <c r="K43" s="179"/>
      <c r="L43" s="179"/>
      <c r="M43" s="179"/>
      <c r="N43" s="179">
        <v>0.1</v>
      </c>
      <c r="O43" s="179"/>
      <c r="P43" s="179"/>
      <c r="Q43" s="179"/>
      <c r="R43" s="179"/>
      <c r="S43" s="179"/>
      <c r="T43" s="179"/>
      <c r="U43" s="179">
        <v>0.5</v>
      </c>
      <c r="V43" s="179"/>
      <c r="W43" s="179"/>
      <c r="X43" s="179"/>
      <c r="Y43" s="179"/>
      <c r="Z43" s="179"/>
      <c r="AA43" s="179"/>
      <c r="AB43" s="179"/>
      <c r="AC43" s="179"/>
      <c r="AD43" s="179"/>
      <c r="AE43" s="179"/>
      <c r="AF43" s="179"/>
      <c r="AG43" s="179"/>
      <c r="AH43" s="179"/>
      <c r="AI43" s="179"/>
      <c r="AJ43" s="179"/>
      <c r="AK43" s="179"/>
      <c r="AL43" s="179"/>
      <c r="AM43" s="179"/>
      <c r="AN43" s="179"/>
      <c r="AO43" s="179"/>
      <c r="AP43" s="179"/>
      <c r="AQ43" s="185"/>
      <c r="AR43" s="185"/>
      <c r="AS43" s="185"/>
      <c r="AT43" s="185"/>
      <c r="AU43" s="185"/>
      <c r="AV43" s="185"/>
      <c r="AW43" s="185"/>
      <c r="AX43" s="185"/>
      <c r="AY43" s="185"/>
      <c r="AZ43" s="185"/>
      <c r="BA43" s="185"/>
      <c r="BB43" s="185"/>
      <c r="BC43" s="185"/>
      <c r="BD43" s="179">
        <v>0.1</v>
      </c>
      <c r="BE43" s="181">
        <f t="shared" si="4"/>
        <v>1</v>
      </c>
    </row>
    <row r="44" spans="2:57">
      <c r="B44" s="1512"/>
      <c r="C44" s="1524"/>
      <c r="D44" s="1518"/>
      <c r="E44" s="177" t="s">
        <v>856</v>
      </c>
      <c r="F44" s="178">
        <v>150000000</v>
      </c>
      <c r="G44" s="179">
        <v>0.3</v>
      </c>
      <c r="H44" s="179"/>
      <c r="I44" s="179"/>
      <c r="J44" s="179"/>
      <c r="K44" s="179"/>
      <c r="L44" s="179"/>
      <c r="M44" s="179"/>
      <c r="N44" s="179">
        <v>0.1</v>
      </c>
      <c r="O44" s="179"/>
      <c r="P44" s="179"/>
      <c r="Q44" s="179"/>
      <c r="R44" s="179"/>
      <c r="S44" s="179"/>
      <c r="T44" s="179"/>
      <c r="U44" s="179">
        <v>0.5</v>
      </c>
      <c r="V44" s="179"/>
      <c r="W44" s="179"/>
      <c r="X44" s="179"/>
      <c r="Y44" s="179"/>
      <c r="Z44" s="179"/>
      <c r="AA44" s="179"/>
      <c r="AB44" s="179"/>
      <c r="AC44" s="179"/>
      <c r="AD44" s="179"/>
      <c r="AE44" s="179"/>
      <c r="AF44" s="179"/>
      <c r="AG44" s="179"/>
      <c r="AH44" s="179"/>
      <c r="AI44" s="179"/>
      <c r="AJ44" s="179"/>
      <c r="AK44" s="179"/>
      <c r="AL44" s="179"/>
      <c r="AM44" s="179"/>
      <c r="AN44" s="179"/>
      <c r="AO44" s="179"/>
      <c r="AP44" s="179"/>
      <c r="AQ44" s="185"/>
      <c r="AR44" s="185"/>
      <c r="AS44" s="185"/>
      <c r="AT44" s="185"/>
      <c r="AU44" s="185"/>
      <c r="AV44" s="185"/>
      <c r="AW44" s="185"/>
      <c r="AX44" s="185"/>
      <c r="AY44" s="185"/>
      <c r="AZ44" s="185"/>
      <c r="BA44" s="185"/>
      <c r="BB44" s="185"/>
      <c r="BC44" s="185"/>
      <c r="BD44" s="179">
        <v>0.1</v>
      </c>
      <c r="BE44" s="181">
        <f t="shared" si="4"/>
        <v>1</v>
      </c>
    </row>
    <row r="45" spans="2:57" ht="13.5" thickBot="1">
      <c r="B45" s="1513"/>
      <c r="C45" s="1524"/>
      <c r="D45" s="1519"/>
      <c r="E45" s="187" t="s">
        <v>391</v>
      </c>
      <c r="F45" s="188">
        <f>35000000*5</f>
        <v>175000000</v>
      </c>
      <c r="G45" s="193"/>
      <c r="H45" s="193"/>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c r="AF45" s="193"/>
      <c r="AG45" s="193"/>
      <c r="AH45" s="193"/>
      <c r="AI45" s="193"/>
      <c r="AJ45" s="193"/>
      <c r="AK45" s="193"/>
      <c r="AL45" s="193"/>
      <c r="AM45" s="193"/>
      <c r="AN45" s="193"/>
      <c r="AO45" s="193"/>
      <c r="AP45" s="194"/>
      <c r="AQ45" s="195"/>
      <c r="AR45" s="195"/>
      <c r="AS45" s="195"/>
      <c r="AT45" s="195"/>
      <c r="AU45" s="195"/>
      <c r="AV45" s="195"/>
      <c r="AW45" s="195"/>
      <c r="AX45" s="195"/>
      <c r="AY45" s="195"/>
      <c r="AZ45" s="195"/>
      <c r="BA45" s="195"/>
      <c r="BB45" s="195"/>
      <c r="BC45" s="195"/>
      <c r="BD45" s="193">
        <v>1</v>
      </c>
      <c r="BE45" s="192">
        <f t="shared" si="4"/>
        <v>1</v>
      </c>
    </row>
    <row r="46" spans="2:57">
      <c r="B46" s="1511" t="s">
        <v>873</v>
      </c>
      <c r="C46" s="1524"/>
      <c r="D46" s="1517" t="s">
        <v>872</v>
      </c>
      <c r="E46" s="177" t="s">
        <v>388</v>
      </c>
      <c r="F46" s="178">
        <v>1100000000</v>
      </c>
      <c r="G46" s="179"/>
      <c r="H46" s="179"/>
      <c r="I46" s="179"/>
      <c r="J46" s="179"/>
      <c r="K46" s="179"/>
      <c r="L46" s="179"/>
      <c r="M46" s="179"/>
      <c r="N46" s="179"/>
      <c r="O46" s="179"/>
      <c r="P46" s="179"/>
      <c r="Q46" s="179"/>
      <c r="R46" s="179"/>
      <c r="S46" s="179"/>
      <c r="T46" s="179"/>
      <c r="U46" s="179">
        <v>0.5</v>
      </c>
      <c r="V46" s="179"/>
      <c r="W46" s="179"/>
      <c r="X46" s="179"/>
      <c r="Y46" s="179"/>
      <c r="Z46" s="179"/>
      <c r="AA46" s="179"/>
      <c r="AB46" s="179"/>
      <c r="AC46" s="179"/>
      <c r="AD46" s="179"/>
      <c r="AE46" s="179"/>
      <c r="AF46" s="179"/>
      <c r="AG46" s="179"/>
      <c r="AH46" s="179"/>
      <c r="AI46" s="179">
        <v>0</v>
      </c>
      <c r="AJ46" s="179"/>
      <c r="AK46" s="179"/>
      <c r="AL46" s="179"/>
      <c r="AM46" s="179"/>
      <c r="AN46" s="179"/>
      <c r="AO46" s="179"/>
      <c r="AP46" s="179">
        <v>0</v>
      </c>
      <c r="AQ46" s="180"/>
      <c r="AR46" s="180"/>
      <c r="AS46" s="180"/>
      <c r="AT46" s="180"/>
      <c r="AU46" s="180"/>
      <c r="AV46" s="180"/>
      <c r="AW46" s="179">
        <v>0.4</v>
      </c>
      <c r="AX46" s="180"/>
      <c r="AY46" s="180"/>
      <c r="AZ46" s="180"/>
      <c r="BA46" s="180"/>
      <c r="BB46" s="180"/>
      <c r="BC46" s="180"/>
      <c r="BD46" s="179">
        <v>0.1</v>
      </c>
      <c r="BE46" s="181">
        <f t="shared" si="4"/>
        <v>1</v>
      </c>
    </row>
    <row r="47" spans="2:57">
      <c r="B47" s="1512"/>
      <c r="C47" s="1524"/>
      <c r="D47" s="1518"/>
      <c r="E47" s="177" t="s">
        <v>389</v>
      </c>
      <c r="F47" s="178">
        <v>300000000</v>
      </c>
      <c r="G47" s="179">
        <v>0.3</v>
      </c>
      <c r="H47" s="179"/>
      <c r="I47" s="179"/>
      <c r="J47" s="179"/>
      <c r="K47" s="179"/>
      <c r="L47" s="179"/>
      <c r="M47" s="179"/>
      <c r="N47" s="179">
        <v>0.1</v>
      </c>
      <c r="O47" s="179"/>
      <c r="P47" s="179"/>
      <c r="Q47" s="179"/>
      <c r="R47" s="179"/>
      <c r="S47" s="179"/>
      <c r="T47" s="179"/>
      <c r="U47" s="179">
        <v>0.5</v>
      </c>
      <c r="V47" s="179"/>
      <c r="W47" s="179"/>
      <c r="X47" s="179"/>
      <c r="Y47" s="179"/>
      <c r="Z47" s="179"/>
      <c r="AA47" s="179"/>
      <c r="AB47" s="179"/>
      <c r="AC47" s="179"/>
      <c r="AD47" s="179"/>
      <c r="AE47" s="179"/>
      <c r="AF47" s="179"/>
      <c r="AG47" s="179"/>
      <c r="AH47" s="179"/>
      <c r="AI47" s="179"/>
      <c r="AJ47" s="179"/>
      <c r="AK47" s="179"/>
      <c r="AL47" s="179"/>
      <c r="AM47" s="179"/>
      <c r="AN47" s="179"/>
      <c r="AO47" s="179"/>
      <c r="AP47" s="179"/>
      <c r="AQ47" s="185"/>
      <c r="AR47" s="185"/>
      <c r="AS47" s="185"/>
      <c r="AT47" s="185"/>
      <c r="AU47" s="185"/>
      <c r="AV47" s="185"/>
      <c r="AW47" s="185"/>
      <c r="AX47" s="185"/>
      <c r="AY47" s="185"/>
      <c r="AZ47" s="185"/>
      <c r="BA47" s="185"/>
      <c r="BB47" s="185"/>
      <c r="BC47" s="185"/>
      <c r="BD47" s="179">
        <v>0.1</v>
      </c>
      <c r="BE47" s="181">
        <f t="shared" si="4"/>
        <v>1</v>
      </c>
    </row>
    <row r="48" spans="2:57">
      <c r="B48" s="1512"/>
      <c r="C48" s="1524"/>
      <c r="D48" s="1518"/>
      <c r="E48" s="177" t="s">
        <v>856</v>
      </c>
      <c r="F48" s="178">
        <v>150000000</v>
      </c>
      <c r="G48" s="179">
        <v>0.3</v>
      </c>
      <c r="H48" s="179"/>
      <c r="I48" s="179"/>
      <c r="J48" s="179"/>
      <c r="K48" s="179"/>
      <c r="L48" s="179"/>
      <c r="M48" s="179"/>
      <c r="N48" s="179">
        <v>0.1</v>
      </c>
      <c r="O48" s="179"/>
      <c r="P48" s="179"/>
      <c r="Q48" s="179"/>
      <c r="R48" s="179"/>
      <c r="S48" s="179"/>
      <c r="T48" s="179"/>
      <c r="U48" s="179">
        <v>0.5</v>
      </c>
      <c r="V48" s="179"/>
      <c r="W48" s="179"/>
      <c r="X48" s="179"/>
      <c r="Y48" s="179"/>
      <c r="Z48" s="179"/>
      <c r="AA48" s="179"/>
      <c r="AB48" s="179"/>
      <c r="AC48" s="179"/>
      <c r="AD48" s="179"/>
      <c r="AE48" s="179"/>
      <c r="AF48" s="179"/>
      <c r="AG48" s="179"/>
      <c r="AH48" s="179"/>
      <c r="AI48" s="179"/>
      <c r="AJ48" s="179"/>
      <c r="AK48" s="179"/>
      <c r="AL48" s="179"/>
      <c r="AM48" s="179"/>
      <c r="AN48" s="179"/>
      <c r="AO48" s="179"/>
      <c r="AP48" s="179"/>
      <c r="AQ48" s="185"/>
      <c r="AR48" s="185"/>
      <c r="AS48" s="185"/>
      <c r="AT48" s="185"/>
      <c r="AU48" s="185"/>
      <c r="AV48" s="185"/>
      <c r="AW48" s="185"/>
      <c r="AX48" s="185"/>
      <c r="AY48" s="185"/>
      <c r="AZ48" s="185"/>
      <c r="BA48" s="185"/>
      <c r="BB48" s="185"/>
      <c r="BC48" s="185"/>
      <c r="BD48" s="179">
        <v>0.1</v>
      </c>
      <c r="BE48" s="181">
        <f t="shared" si="4"/>
        <v>1</v>
      </c>
    </row>
    <row r="49" spans="2:57" ht="13.5" thickBot="1">
      <c r="B49" s="1513"/>
      <c r="C49" s="1524"/>
      <c r="D49" s="1519"/>
      <c r="E49" s="187" t="s">
        <v>391</v>
      </c>
      <c r="F49" s="188">
        <f>40000000*5</f>
        <v>200000000</v>
      </c>
      <c r="G49" s="193"/>
      <c r="H49" s="193"/>
      <c r="I49" s="193"/>
      <c r="J49" s="193"/>
      <c r="K49" s="193"/>
      <c r="L49" s="193"/>
      <c r="M49" s="193"/>
      <c r="N49" s="193"/>
      <c r="O49" s="193"/>
      <c r="P49" s="193"/>
      <c r="Q49" s="193"/>
      <c r="R49" s="193"/>
      <c r="S49" s="193"/>
      <c r="T49" s="193"/>
      <c r="U49" s="193"/>
      <c r="V49" s="193"/>
      <c r="W49" s="193"/>
      <c r="X49" s="193"/>
      <c r="Y49" s="193"/>
      <c r="Z49" s="193"/>
      <c r="AA49" s="193"/>
      <c r="AB49" s="193"/>
      <c r="AC49" s="193"/>
      <c r="AD49" s="193"/>
      <c r="AE49" s="193"/>
      <c r="AF49" s="193"/>
      <c r="AG49" s="193"/>
      <c r="AH49" s="193"/>
      <c r="AI49" s="193"/>
      <c r="AJ49" s="193"/>
      <c r="AK49" s="193"/>
      <c r="AL49" s="193"/>
      <c r="AM49" s="193"/>
      <c r="AN49" s="193"/>
      <c r="AO49" s="193"/>
      <c r="AP49" s="194"/>
      <c r="AQ49" s="195"/>
      <c r="AR49" s="195"/>
      <c r="AS49" s="195"/>
      <c r="AT49" s="195"/>
      <c r="AU49" s="195"/>
      <c r="AV49" s="195"/>
      <c r="AW49" s="195"/>
      <c r="AX49" s="195"/>
      <c r="AY49" s="195"/>
      <c r="AZ49" s="195"/>
      <c r="BA49" s="195"/>
      <c r="BB49" s="195"/>
      <c r="BC49" s="195"/>
      <c r="BD49" s="193">
        <v>1</v>
      </c>
      <c r="BE49" s="192">
        <f t="shared" si="4"/>
        <v>1</v>
      </c>
    </row>
    <row r="50" spans="2:57" ht="12.75" hidden="1" customHeight="1">
      <c r="B50" s="1511" t="s">
        <v>862</v>
      </c>
      <c r="C50" s="1524"/>
      <c r="D50" s="196"/>
      <c r="E50" s="177" t="s">
        <v>388</v>
      </c>
      <c r="F50" s="177"/>
      <c r="G50" s="182">
        <v>0.1</v>
      </c>
      <c r="H50" s="182"/>
      <c r="I50" s="182"/>
      <c r="J50" s="182"/>
      <c r="K50" s="182"/>
      <c r="L50" s="182"/>
      <c r="M50" s="182"/>
      <c r="N50" s="182">
        <v>0.2</v>
      </c>
      <c r="O50" s="182"/>
      <c r="P50" s="182"/>
      <c r="Q50" s="182"/>
      <c r="R50" s="182"/>
      <c r="S50" s="182"/>
      <c r="T50" s="182"/>
      <c r="U50" s="182">
        <v>0.4</v>
      </c>
      <c r="V50" s="182"/>
      <c r="W50" s="182"/>
      <c r="X50" s="182"/>
      <c r="Y50" s="182"/>
      <c r="Z50" s="182"/>
      <c r="AA50" s="182"/>
      <c r="AB50" s="182"/>
      <c r="AC50" s="182"/>
      <c r="AD50" s="182"/>
      <c r="AE50" s="182"/>
      <c r="AF50" s="182"/>
      <c r="AG50" s="182"/>
      <c r="AH50" s="182"/>
      <c r="AI50" s="182">
        <v>0.25</v>
      </c>
      <c r="AJ50" s="182"/>
      <c r="AK50" s="182"/>
      <c r="AL50" s="182"/>
      <c r="AM50" s="182"/>
      <c r="AN50" s="182"/>
      <c r="AO50" s="182"/>
      <c r="AP50" s="182">
        <v>0.05</v>
      </c>
      <c r="AQ50" s="180"/>
      <c r="AR50" s="180"/>
      <c r="AS50" s="180"/>
      <c r="AT50" s="180"/>
      <c r="AU50" s="180"/>
      <c r="AV50" s="180"/>
      <c r="AW50" s="180"/>
      <c r="AX50" s="180"/>
      <c r="AY50" s="180"/>
      <c r="AZ50" s="180"/>
      <c r="BA50" s="180"/>
      <c r="BB50" s="180"/>
      <c r="BC50" s="180"/>
      <c r="BD50" s="180"/>
      <c r="BE50" s="181">
        <f>SUM(G50:AW50)</f>
        <v>1</v>
      </c>
    </row>
    <row r="51" spans="2:57" ht="12.75" hidden="1" customHeight="1">
      <c r="B51" s="1512"/>
      <c r="C51" s="1524"/>
      <c r="D51" s="197"/>
      <c r="E51" s="177" t="s">
        <v>389</v>
      </c>
      <c r="F51" s="177"/>
      <c r="G51" s="182">
        <v>0.55000000000000004</v>
      </c>
      <c r="H51" s="182"/>
      <c r="I51" s="182"/>
      <c r="J51" s="182"/>
      <c r="K51" s="182"/>
      <c r="L51" s="182"/>
      <c r="M51" s="182"/>
      <c r="N51" s="182">
        <v>0.15</v>
      </c>
      <c r="O51" s="182"/>
      <c r="P51" s="182"/>
      <c r="Q51" s="182"/>
      <c r="R51" s="182"/>
      <c r="S51" s="182"/>
      <c r="T51" s="182"/>
      <c r="U51" s="182">
        <v>0.3</v>
      </c>
      <c r="V51" s="182"/>
      <c r="W51" s="182"/>
      <c r="X51" s="182"/>
      <c r="Y51" s="182"/>
      <c r="Z51" s="182"/>
      <c r="AA51" s="182"/>
      <c r="AB51" s="182"/>
      <c r="AC51" s="182"/>
      <c r="AD51" s="182"/>
      <c r="AE51" s="182"/>
      <c r="AF51" s="182"/>
      <c r="AG51" s="182"/>
      <c r="AH51" s="182"/>
      <c r="AI51" s="183"/>
      <c r="AJ51" s="183"/>
      <c r="AK51" s="183"/>
      <c r="AL51" s="183"/>
      <c r="AM51" s="183"/>
      <c r="AN51" s="183"/>
      <c r="AO51" s="183"/>
      <c r="AP51" s="183"/>
      <c r="AQ51" s="184"/>
      <c r="AR51" s="184"/>
      <c r="AS51" s="184"/>
      <c r="AT51" s="184"/>
      <c r="AU51" s="184"/>
      <c r="AV51" s="184"/>
      <c r="AW51" s="184"/>
      <c r="AX51" s="184"/>
      <c r="AY51" s="184"/>
      <c r="AZ51" s="184"/>
      <c r="BA51" s="184"/>
      <c r="BB51" s="184"/>
      <c r="BC51" s="184"/>
      <c r="BD51" s="184"/>
      <c r="BE51" s="181">
        <f>SUM(G51:AW51)</f>
        <v>1</v>
      </c>
    </row>
    <row r="52" spans="2:57" ht="12.75" hidden="1" customHeight="1">
      <c r="B52" s="1512"/>
      <c r="C52" s="1524"/>
      <c r="D52" s="197"/>
      <c r="E52" s="177" t="s">
        <v>855</v>
      </c>
      <c r="F52" s="177"/>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c r="AM52" s="183"/>
      <c r="AN52" s="183"/>
      <c r="AO52" s="183"/>
      <c r="AP52" s="183"/>
      <c r="AQ52" s="184"/>
      <c r="AR52" s="184"/>
      <c r="AS52" s="184"/>
      <c r="AT52" s="184"/>
      <c r="AU52" s="184"/>
      <c r="AV52" s="184"/>
      <c r="AW52" s="184"/>
      <c r="AX52" s="184"/>
      <c r="AY52" s="184"/>
      <c r="AZ52" s="184"/>
      <c r="BA52" s="184"/>
      <c r="BB52" s="184"/>
      <c r="BC52" s="184"/>
      <c r="BD52" s="184"/>
      <c r="BE52" s="181">
        <f>SUM(G52:AW52)</f>
        <v>0</v>
      </c>
    </row>
    <row r="53" spans="2:57" ht="12.75" hidden="1" customHeight="1">
      <c r="B53" s="1512"/>
      <c r="C53" s="1524"/>
      <c r="D53" s="197"/>
      <c r="E53" s="177" t="s">
        <v>856</v>
      </c>
      <c r="F53" s="177"/>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4"/>
      <c r="AR53" s="184"/>
      <c r="AS53" s="184"/>
      <c r="AT53" s="184"/>
      <c r="AU53" s="184"/>
      <c r="AV53" s="184"/>
      <c r="AW53" s="184"/>
      <c r="AX53" s="184"/>
      <c r="AY53" s="184"/>
      <c r="AZ53" s="184"/>
      <c r="BA53" s="184"/>
      <c r="BB53" s="184"/>
      <c r="BC53" s="184"/>
      <c r="BD53" s="184"/>
      <c r="BE53" s="181">
        <f>SUM(G53:AW53)</f>
        <v>0</v>
      </c>
    </row>
    <row r="54" spans="2:57" ht="13.5" hidden="1" customHeight="1" thickBot="1">
      <c r="B54" s="1513"/>
      <c r="C54" s="1524"/>
      <c r="D54" s="198"/>
      <c r="E54" s="187" t="s">
        <v>391</v>
      </c>
      <c r="F54" s="187"/>
      <c r="G54" s="189">
        <v>1</v>
      </c>
      <c r="H54" s="189"/>
      <c r="I54" s="189"/>
      <c r="J54" s="189"/>
      <c r="K54" s="189"/>
      <c r="L54" s="189"/>
      <c r="M54" s="189"/>
      <c r="N54" s="189"/>
      <c r="O54" s="189"/>
      <c r="P54" s="189"/>
      <c r="Q54" s="189"/>
      <c r="R54" s="189"/>
      <c r="S54" s="189"/>
      <c r="T54" s="189"/>
      <c r="U54" s="189"/>
      <c r="V54" s="189"/>
      <c r="W54" s="189"/>
      <c r="X54" s="189"/>
      <c r="Y54" s="189"/>
      <c r="Z54" s="189"/>
      <c r="AA54" s="189"/>
      <c r="AB54" s="189"/>
      <c r="AC54" s="189"/>
      <c r="AD54" s="189"/>
      <c r="AE54" s="189"/>
      <c r="AF54" s="189"/>
      <c r="AG54" s="189"/>
      <c r="AH54" s="189"/>
      <c r="AI54" s="189"/>
      <c r="AJ54" s="189"/>
      <c r="AK54" s="189"/>
      <c r="AL54" s="189"/>
      <c r="AM54" s="189"/>
      <c r="AN54" s="189"/>
      <c r="AO54" s="189"/>
      <c r="AP54" s="190"/>
      <c r="AQ54" s="191"/>
      <c r="AR54" s="191"/>
      <c r="AS54" s="191"/>
      <c r="AT54" s="191"/>
      <c r="AU54" s="191"/>
      <c r="AV54" s="191"/>
      <c r="AW54" s="191"/>
      <c r="AX54" s="191"/>
      <c r="AY54" s="191"/>
      <c r="AZ54" s="191"/>
      <c r="BA54" s="191"/>
      <c r="BB54" s="191"/>
      <c r="BC54" s="191"/>
      <c r="BD54" s="191"/>
      <c r="BE54" s="192">
        <f>SUM(G54:AW54)</f>
        <v>1</v>
      </c>
    </row>
    <row r="55" spans="2:57" ht="13.5" customHeight="1">
      <c r="B55" s="1526" t="s">
        <v>874</v>
      </c>
      <c r="C55" s="1524"/>
      <c r="D55" s="1517" t="s">
        <v>872</v>
      </c>
      <c r="E55" s="177" t="s">
        <v>388</v>
      </c>
      <c r="F55" s="178">
        <v>1100000000</v>
      </c>
      <c r="G55" s="179"/>
      <c r="H55" s="179"/>
      <c r="I55" s="179"/>
      <c r="J55" s="179"/>
      <c r="K55" s="179"/>
      <c r="L55" s="179"/>
      <c r="M55" s="179"/>
      <c r="N55" s="179"/>
      <c r="O55" s="179"/>
      <c r="P55" s="179"/>
      <c r="Q55" s="179"/>
      <c r="R55" s="179"/>
      <c r="S55" s="179"/>
      <c r="T55" s="179"/>
      <c r="U55" s="179">
        <v>0.5</v>
      </c>
      <c r="V55" s="179"/>
      <c r="W55" s="179"/>
      <c r="X55" s="179"/>
      <c r="Y55" s="179"/>
      <c r="Z55" s="179"/>
      <c r="AA55" s="179"/>
      <c r="AB55" s="179"/>
      <c r="AC55" s="179"/>
      <c r="AD55" s="179"/>
      <c r="AE55" s="179"/>
      <c r="AF55" s="179"/>
      <c r="AG55" s="179"/>
      <c r="AH55" s="179"/>
      <c r="AI55" s="179">
        <v>0</v>
      </c>
      <c r="AJ55" s="179"/>
      <c r="AK55" s="179"/>
      <c r="AL55" s="179"/>
      <c r="AM55" s="179"/>
      <c r="AN55" s="179"/>
      <c r="AO55" s="179"/>
      <c r="AP55" s="179">
        <v>0</v>
      </c>
      <c r="AQ55" s="180"/>
      <c r="AR55" s="180"/>
      <c r="AS55" s="180"/>
      <c r="AT55" s="180"/>
      <c r="AU55" s="180"/>
      <c r="AV55" s="180"/>
      <c r="AW55" s="179">
        <v>0.4</v>
      </c>
      <c r="AX55" s="180"/>
      <c r="AY55" s="180"/>
      <c r="AZ55" s="180"/>
      <c r="BA55" s="180"/>
      <c r="BB55" s="180"/>
      <c r="BC55" s="180"/>
      <c r="BD55" s="179">
        <v>0.1</v>
      </c>
      <c r="BE55" s="181">
        <f t="shared" ref="BE55:BE62" si="5">SUM(G55:BD55)</f>
        <v>1</v>
      </c>
    </row>
    <row r="56" spans="2:57" ht="13.5" customHeight="1">
      <c r="B56" s="1512"/>
      <c r="C56" s="1524"/>
      <c r="D56" s="1518"/>
      <c r="E56" s="177" t="s">
        <v>389</v>
      </c>
      <c r="F56" s="178">
        <v>300000000</v>
      </c>
      <c r="G56" s="179">
        <v>0.3</v>
      </c>
      <c r="H56" s="179"/>
      <c r="I56" s="179"/>
      <c r="J56" s="179"/>
      <c r="K56" s="179"/>
      <c r="L56" s="179"/>
      <c r="M56" s="179"/>
      <c r="N56" s="179">
        <v>0.1</v>
      </c>
      <c r="O56" s="179"/>
      <c r="P56" s="179"/>
      <c r="Q56" s="179"/>
      <c r="R56" s="179"/>
      <c r="S56" s="179"/>
      <c r="T56" s="179"/>
      <c r="U56" s="179">
        <v>0.5</v>
      </c>
      <c r="V56" s="179"/>
      <c r="W56" s="179"/>
      <c r="X56" s="179"/>
      <c r="Y56" s="179"/>
      <c r="Z56" s="179"/>
      <c r="AA56" s="179"/>
      <c r="AB56" s="179"/>
      <c r="AC56" s="179"/>
      <c r="AD56" s="179"/>
      <c r="AE56" s="179"/>
      <c r="AF56" s="179"/>
      <c r="AG56" s="179"/>
      <c r="AH56" s="179"/>
      <c r="AI56" s="179"/>
      <c r="AJ56" s="179"/>
      <c r="AK56" s="179"/>
      <c r="AL56" s="179"/>
      <c r="AM56" s="179"/>
      <c r="AN56" s="179"/>
      <c r="AO56" s="179"/>
      <c r="AP56" s="179"/>
      <c r="AQ56" s="185"/>
      <c r="AR56" s="185"/>
      <c r="AS56" s="185"/>
      <c r="AT56" s="185"/>
      <c r="AU56" s="185"/>
      <c r="AV56" s="185"/>
      <c r="AW56" s="185"/>
      <c r="AX56" s="185"/>
      <c r="AY56" s="185"/>
      <c r="AZ56" s="185"/>
      <c r="BA56" s="185"/>
      <c r="BB56" s="185"/>
      <c r="BC56" s="185"/>
      <c r="BD56" s="179">
        <v>0.1</v>
      </c>
      <c r="BE56" s="181">
        <f t="shared" si="5"/>
        <v>1</v>
      </c>
    </row>
    <row r="57" spans="2:57" ht="13.5" customHeight="1">
      <c r="B57" s="1512"/>
      <c r="C57" s="1524"/>
      <c r="D57" s="1518"/>
      <c r="E57" s="177" t="s">
        <v>856</v>
      </c>
      <c r="F57" s="178">
        <v>150000000</v>
      </c>
      <c r="G57" s="179">
        <v>0.3</v>
      </c>
      <c r="H57" s="179"/>
      <c r="I57" s="179"/>
      <c r="J57" s="179"/>
      <c r="K57" s="179"/>
      <c r="L57" s="179"/>
      <c r="M57" s="179"/>
      <c r="N57" s="179">
        <v>0.1</v>
      </c>
      <c r="O57" s="179"/>
      <c r="P57" s="179"/>
      <c r="Q57" s="179"/>
      <c r="R57" s="179"/>
      <c r="S57" s="179"/>
      <c r="T57" s="179"/>
      <c r="U57" s="179">
        <v>0.5</v>
      </c>
      <c r="V57" s="179"/>
      <c r="W57" s="179"/>
      <c r="X57" s="179"/>
      <c r="Y57" s="179"/>
      <c r="Z57" s="179"/>
      <c r="AA57" s="179"/>
      <c r="AB57" s="179"/>
      <c r="AC57" s="179"/>
      <c r="AD57" s="179"/>
      <c r="AE57" s="179"/>
      <c r="AF57" s="179"/>
      <c r="AG57" s="179"/>
      <c r="AH57" s="179"/>
      <c r="AI57" s="179"/>
      <c r="AJ57" s="179"/>
      <c r="AK57" s="179"/>
      <c r="AL57" s="179"/>
      <c r="AM57" s="179"/>
      <c r="AN57" s="179"/>
      <c r="AO57" s="179"/>
      <c r="AP57" s="179"/>
      <c r="AQ57" s="185"/>
      <c r="AR57" s="185"/>
      <c r="AS57" s="185"/>
      <c r="AT57" s="185"/>
      <c r="AU57" s="185"/>
      <c r="AV57" s="185"/>
      <c r="AW57" s="185"/>
      <c r="AX57" s="185"/>
      <c r="AY57" s="185"/>
      <c r="AZ57" s="185"/>
      <c r="BA57" s="185"/>
      <c r="BB57" s="185"/>
      <c r="BC57" s="185"/>
      <c r="BD57" s="179">
        <v>0.1</v>
      </c>
      <c r="BE57" s="181">
        <f t="shared" si="5"/>
        <v>1</v>
      </c>
    </row>
    <row r="58" spans="2:57" ht="13.5" customHeight="1" thickBot="1">
      <c r="B58" s="1513"/>
      <c r="C58" s="1524"/>
      <c r="D58" s="1519"/>
      <c r="E58" s="187" t="s">
        <v>391</v>
      </c>
      <c r="F58" s="188">
        <f>35000000*5</f>
        <v>175000000</v>
      </c>
      <c r="G58" s="193"/>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3"/>
      <c r="AH58" s="193"/>
      <c r="AI58" s="193"/>
      <c r="AJ58" s="193"/>
      <c r="AK58" s="193"/>
      <c r="AL58" s="193"/>
      <c r="AM58" s="193"/>
      <c r="AN58" s="193"/>
      <c r="AO58" s="193"/>
      <c r="AP58" s="194"/>
      <c r="AQ58" s="195"/>
      <c r="AR58" s="195"/>
      <c r="AS58" s="195"/>
      <c r="AT58" s="195"/>
      <c r="AU58" s="195"/>
      <c r="AV58" s="195"/>
      <c r="AW58" s="195"/>
      <c r="AX58" s="195"/>
      <c r="AY58" s="195"/>
      <c r="AZ58" s="195"/>
      <c r="BA58" s="195"/>
      <c r="BB58" s="195"/>
      <c r="BC58" s="195"/>
      <c r="BD58" s="193">
        <v>1</v>
      </c>
      <c r="BE58" s="192">
        <f t="shared" si="5"/>
        <v>1</v>
      </c>
    </row>
    <row r="59" spans="2:57">
      <c r="B59" s="1526" t="s">
        <v>875</v>
      </c>
      <c r="C59" s="1524"/>
      <c r="D59" s="1517" t="s">
        <v>872</v>
      </c>
      <c r="E59" s="177" t="s">
        <v>388</v>
      </c>
      <c r="F59" s="178">
        <v>1100000000</v>
      </c>
      <c r="G59" s="179"/>
      <c r="H59" s="179"/>
      <c r="I59" s="179"/>
      <c r="J59" s="179"/>
      <c r="K59" s="179"/>
      <c r="L59" s="179"/>
      <c r="M59" s="179"/>
      <c r="N59" s="179"/>
      <c r="O59" s="179"/>
      <c r="P59" s="179"/>
      <c r="Q59" s="179"/>
      <c r="R59" s="179"/>
      <c r="S59" s="179"/>
      <c r="T59" s="179"/>
      <c r="U59" s="179">
        <v>0.5</v>
      </c>
      <c r="V59" s="179"/>
      <c r="W59" s="179"/>
      <c r="X59" s="179"/>
      <c r="Y59" s="179"/>
      <c r="Z59" s="179"/>
      <c r="AA59" s="179"/>
      <c r="AB59" s="179"/>
      <c r="AC59" s="179"/>
      <c r="AD59" s="179"/>
      <c r="AE59" s="179"/>
      <c r="AF59" s="179"/>
      <c r="AG59" s="179"/>
      <c r="AH59" s="179"/>
      <c r="AI59" s="179">
        <v>0</v>
      </c>
      <c r="AJ59" s="179"/>
      <c r="AK59" s="179"/>
      <c r="AL59" s="179"/>
      <c r="AM59" s="179"/>
      <c r="AN59" s="179"/>
      <c r="AO59" s="179"/>
      <c r="AP59" s="179">
        <v>0</v>
      </c>
      <c r="AQ59" s="180"/>
      <c r="AR59" s="180"/>
      <c r="AS59" s="180"/>
      <c r="AT59" s="180"/>
      <c r="AU59" s="180"/>
      <c r="AV59" s="180"/>
      <c r="AW59" s="179">
        <v>0.4</v>
      </c>
      <c r="AX59" s="180"/>
      <c r="AY59" s="180"/>
      <c r="AZ59" s="180"/>
      <c r="BA59" s="180"/>
      <c r="BB59" s="180"/>
      <c r="BC59" s="180"/>
      <c r="BD59" s="179">
        <v>0.1</v>
      </c>
      <c r="BE59" s="181">
        <f t="shared" si="5"/>
        <v>1</v>
      </c>
    </row>
    <row r="60" spans="2:57">
      <c r="B60" s="1512"/>
      <c r="C60" s="1524"/>
      <c r="D60" s="1518"/>
      <c r="E60" s="177" t="s">
        <v>389</v>
      </c>
      <c r="F60" s="178">
        <v>300000000</v>
      </c>
      <c r="G60" s="179">
        <v>0.3</v>
      </c>
      <c r="H60" s="179"/>
      <c r="I60" s="179"/>
      <c r="J60" s="179"/>
      <c r="K60" s="179"/>
      <c r="L60" s="179"/>
      <c r="M60" s="179"/>
      <c r="N60" s="179">
        <v>0.1</v>
      </c>
      <c r="O60" s="179"/>
      <c r="P60" s="179"/>
      <c r="Q60" s="179"/>
      <c r="R60" s="179"/>
      <c r="S60" s="179"/>
      <c r="T60" s="179"/>
      <c r="U60" s="179">
        <v>0.5</v>
      </c>
      <c r="V60" s="179"/>
      <c r="W60" s="179"/>
      <c r="X60" s="179"/>
      <c r="Y60" s="179"/>
      <c r="Z60" s="179"/>
      <c r="AA60" s="179"/>
      <c r="AB60" s="179"/>
      <c r="AC60" s="179"/>
      <c r="AD60" s="179"/>
      <c r="AE60" s="179"/>
      <c r="AF60" s="179"/>
      <c r="AG60" s="179"/>
      <c r="AH60" s="179"/>
      <c r="AI60" s="179"/>
      <c r="AJ60" s="179"/>
      <c r="AK60" s="179"/>
      <c r="AL60" s="179"/>
      <c r="AM60" s="179"/>
      <c r="AN60" s="179"/>
      <c r="AO60" s="179"/>
      <c r="AP60" s="179"/>
      <c r="AQ60" s="185"/>
      <c r="AR60" s="185"/>
      <c r="AS60" s="185"/>
      <c r="AT60" s="185"/>
      <c r="AU60" s="185"/>
      <c r="AV60" s="185"/>
      <c r="AW60" s="185"/>
      <c r="AX60" s="185"/>
      <c r="AY60" s="185"/>
      <c r="AZ60" s="185"/>
      <c r="BA60" s="185"/>
      <c r="BB60" s="185"/>
      <c r="BC60" s="185"/>
      <c r="BD60" s="179">
        <v>0.1</v>
      </c>
      <c r="BE60" s="181">
        <f t="shared" si="5"/>
        <v>1</v>
      </c>
    </row>
    <row r="61" spans="2:57">
      <c r="B61" s="1512"/>
      <c r="C61" s="1524"/>
      <c r="D61" s="1518"/>
      <c r="E61" s="177" t="s">
        <v>856</v>
      </c>
      <c r="F61" s="178">
        <v>200000000</v>
      </c>
      <c r="G61" s="179">
        <v>0.3</v>
      </c>
      <c r="H61" s="179"/>
      <c r="I61" s="179"/>
      <c r="J61" s="179"/>
      <c r="K61" s="179"/>
      <c r="L61" s="179"/>
      <c r="M61" s="179"/>
      <c r="N61" s="179">
        <v>0.1</v>
      </c>
      <c r="O61" s="179"/>
      <c r="P61" s="179"/>
      <c r="Q61" s="179"/>
      <c r="R61" s="179"/>
      <c r="S61" s="179"/>
      <c r="T61" s="179"/>
      <c r="U61" s="179">
        <v>0.5</v>
      </c>
      <c r="V61" s="179"/>
      <c r="W61" s="179"/>
      <c r="X61" s="179"/>
      <c r="Y61" s="179"/>
      <c r="Z61" s="179"/>
      <c r="AA61" s="179"/>
      <c r="AB61" s="179"/>
      <c r="AC61" s="179"/>
      <c r="AD61" s="179"/>
      <c r="AE61" s="179"/>
      <c r="AF61" s="179"/>
      <c r="AG61" s="179"/>
      <c r="AH61" s="179"/>
      <c r="AI61" s="179"/>
      <c r="AJ61" s="179"/>
      <c r="AK61" s="179"/>
      <c r="AL61" s="179"/>
      <c r="AM61" s="179"/>
      <c r="AN61" s="179"/>
      <c r="AO61" s="179"/>
      <c r="AP61" s="179"/>
      <c r="AQ61" s="185"/>
      <c r="AR61" s="185"/>
      <c r="AS61" s="185"/>
      <c r="AT61" s="185"/>
      <c r="AU61" s="185"/>
      <c r="AV61" s="185"/>
      <c r="AW61" s="185"/>
      <c r="AX61" s="185"/>
      <c r="AY61" s="185"/>
      <c r="AZ61" s="185"/>
      <c r="BA61" s="185"/>
      <c r="BB61" s="185"/>
      <c r="BC61" s="185"/>
      <c r="BD61" s="179">
        <v>0.1</v>
      </c>
      <c r="BE61" s="181">
        <f t="shared" si="5"/>
        <v>1</v>
      </c>
    </row>
    <row r="62" spans="2:57" ht="13.5" thickBot="1">
      <c r="B62" s="1513"/>
      <c r="C62" s="1524"/>
      <c r="D62" s="1519"/>
      <c r="E62" s="187" t="s">
        <v>391</v>
      </c>
      <c r="F62" s="188">
        <f>40000000*5</f>
        <v>200000000</v>
      </c>
      <c r="G62" s="193"/>
      <c r="H62" s="193"/>
      <c r="I62" s="193"/>
      <c r="J62" s="193"/>
      <c r="K62" s="193"/>
      <c r="L62" s="193"/>
      <c r="M62" s="193"/>
      <c r="N62" s="193"/>
      <c r="O62" s="193"/>
      <c r="P62" s="193"/>
      <c r="Q62" s="193"/>
      <c r="R62" s="193"/>
      <c r="S62" s="193"/>
      <c r="T62" s="193"/>
      <c r="U62" s="193"/>
      <c r="V62" s="193"/>
      <c r="W62" s="193"/>
      <c r="X62" s="193"/>
      <c r="Y62" s="193"/>
      <c r="Z62" s="193"/>
      <c r="AA62" s="193"/>
      <c r="AB62" s="193"/>
      <c r="AC62" s="193"/>
      <c r="AD62" s="193"/>
      <c r="AE62" s="193"/>
      <c r="AF62" s="193"/>
      <c r="AG62" s="193"/>
      <c r="AH62" s="193"/>
      <c r="AI62" s="193"/>
      <c r="AJ62" s="193"/>
      <c r="AK62" s="193"/>
      <c r="AL62" s="193"/>
      <c r="AM62" s="193"/>
      <c r="AN62" s="193"/>
      <c r="AO62" s="193"/>
      <c r="AP62" s="194"/>
      <c r="AQ62" s="195"/>
      <c r="AR62" s="195"/>
      <c r="AS62" s="195"/>
      <c r="AT62" s="195"/>
      <c r="AU62" s="195"/>
      <c r="AV62" s="195"/>
      <c r="AW62" s="195"/>
      <c r="AX62" s="195"/>
      <c r="AY62" s="195"/>
      <c r="AZ62" s="195"/>
      <c r="BA62" s="195"/>
      <c r="BB62" s="195"/>
      <c r="BC62" s="195"/>
      <c r="BD62" s="193">
        <v>1</v>
      </c>
      <c r="BE62" s="192">
        <f t="shared" si="5"/>
        <v>1</v>
      </c>
    </row>
    <row r="63" spans="2:57" ht="13.5" customHeight="1">
      <c r="B63" s="1526" t="s">
        <v>876</v>
      </c>
      <c r="C63" s="1524"/>
      <c r="D63" s="1517" t="s">
        <v>872</v>
      </c>
      <c r="E63" s="177" t="s">
        <v>388</v>
      </c>
      <c r="F63" s="178">
        <v>1100000000</v>
      </c>
      <c r="G63" s="179"/>
      <c r="H63" s="179"/>
      <c r="I63" s="179"/>
      <c r="J63" s="179"/>
      <c r="K63" s="179"/>
      <c r="L63" s="179"/>
      <c r="M63" s="179"/>
      <c r="N63" s="179"/>
      <c r="O63" s="179"/>
      <c r="P63" s="179"/>
      <c r="Q63" s="179"/>
      <c r="R63" s="179"/>
      <c r="S63" s="179"/>
      <c r="T63" s="179"/>
      <c r="U63" s="179">
        <v>0.5</v>
      </c>
      <c r="V63" s="179"/>
      <c r="W63" s="179"/>
      <c r="X63" s="179"/>
      <c r="Y63" s="179"/>
      <c r="Z63" s="179"/>
      <c r="AA63" s="179"/>
      <c r="AB63" s="179"/>
      <c r="AC63" s="179"/>
      <c r="AD63" s="179"/>
      <c r="AE63" s="179"/>
      <c r="AF63" s="179"/>
      <c r="AG63" s="179"/>
      <c r="AH63" s="179"/>
      <c r="AI63" s="179">
        <v>0</v>
      </c>
      <c r="AJ63" s="179"/>
      <c r="AK63" s="179"/>
      <c r="AL63" s="179"/>
      <c r="AM63" s="179"/>
      <c r="AN63" s="179"/>
      <c r="AO63" s="179"/>
      <c r="AP63" s="179">
        <v>0</v>
      </c>
      <c r="AQ63" s="180"/>
      <c r="AR63" s="180"/>
      <c r="AS63" s="180"/>
      <c r="AT63" s="180"/>
      <c r="AU63" s="180"/>
      <c r="AV63" s="180"/>
      <c r="AW63" s="179">
        <v>0.4</v>
      </c>
      <c r="AX63" s="180"/>
      <c r="AY63" s="180"/>
      <c r="AZ63" s="180"/>
      <c r="BA63" s="180"/>
      <c r="BB63" s="180"/>
      <c r="BC63" s="180"/>
      <c r="BD63" s="179">
        <v>0.1</v>
      </c>
      <c r="BE63" s="181">
        <f t="shared" ref="BE63:BE66" si="6">SUM(G63:BD63)</f>
        <v>1</v>
      </c>
    </row>
    <row r="64" spans="2:57" ht="13.5" customHeight="1">
      <c r="B64" s="1512"/>
      <c r="C64" s="1524"/>
      <c r="D64" s="1518"/>
      <c r="E64" s="177" t="s">
        <v>389</v>
      </c>
      <c r="F64" s="178">
        <v>300000000</v>
      </c>
      <c r="G64" s="179">
        <v>0.3</v>
      </c>
      <c r="H64" s="179"/>
      <c r="I64" s="179"/>
      <c r="J64" s="179"/>
      <c r="K64" s="179"/>
      <c r="L64" s="179"/>
      <c r="M64" s="179"/>
      <c r="N64" s="179">
        <v>0.1</v>
      </c>
      <c r="O64" s="179"/>
      <c r="P64" s="179"/>
      <c r="Q64" s="179"/>
      <c r="R64" s="179"/>
      <c r="S64" s="179"/>
      <c r="T64" s="179"/>
      <c r="U64" s="179">
        <v>0.5</v>
      </c>
      <c r="V64" s="179"/>
      <c r="W64" s="179"/>
      <c r="X64" s="179"/>
      <c r="Y64" s="179"/>
      <c r="Z64" s="179"/>
      <c r="AA64" s="179"/>
      <c r="AB64" s="179"/>
      <c r="AC64" s="179"/>
      <c r="AD64" s="179"/>
      <c r="AE64" s="179"/>
      <c r="AF64" s="179"/>
      <c r="AG64" s="179"/>
      <c r="AH64" s="179"/>
      <c r="AI64" s="179"/>
      <c r="AJ64" s="179"/>
      <c r="AK64" s="179"/>
      <c r="AL64" s="179"/>
      <c r="AM64" s="179"/>
      <c r="AN64" s="179"/>
      <c r="AO64" s="179"/>
      <c r="AP64" s="179"/>
      <c r="AQ64" s="185"/>
      <c r="AR64" s="185"/>
      <c r="AS64" s="185"/>
      <c r="AT64" s="185"/>
      <c r="AU64" s="185"/>
      <c r="AV64" s="185"/>
      <c r="AW64" s="185"/>
      <c r="AX64" s="185"/>
      <c r="AY64" s="185"/>
      <c r="AZ64" s="185"/>
      <c r="BA64" s="185"/>
      <c r="BB64" s="185"/>
      <c r="BC64" s="185"/>
      <c r="BD64" s="179">
        <v>0.1</v>
      </c>
      <c r="BE64" s="181">
        <f t="shared" si="6"/>
        <v>1</v>
      </c>
    </row>
    <row r="65" spans="2:57" ht="13.5" customHeight="1">
      <c r="B65" s="1512"/>
      <c r="C65" s="1524"/>
      <c r="D65" s="1518"/>
      <c r="E65" s="177" t="s">
        <v>856</v>
      </c>
      <c r="F65" s="178">
        <v>200000000</v>
      </c>
      <c r="G65" s="179">
        <v>0.3</v>
      </c>
      <c r="H65" s="179"/>
      <c r="I65" s="179"/>
      <c r="J65" s="179"/>
      <c r="K65" s="179"/>
      <c r="L65" s="179"/>
      <c r="M65" s="179"/>
      <c r="N65" s="179">
        <v>0.1</v>
      </c>
      <c r="O65" s="179"/>
      <c r="P65" s="179"/>
      <c r="Q65" s="179"/>
      <c r="R65" s="179"/>
      <c r="S65" s="179"/>
      <c r="T65" s="179"/>
      <c r="U65" s="179">
        <v>0.5</v>
      </c>
      <c r="V65" s="179"/>
      <c r="W65" s="179"/>
      <c r="X65" s="179"/>
      <c r="Y65" s="179"/>
      <c r="Z65" s="179"/>
      <c r="AA65" s="179"/>
      <c r="AB65" s="179"/>
      <c r="AC65" s="179"/>
      <c r="AD65" s="179"/>
      <c r="AE65" s="179"/>
      <c r="AF65" s="179"/>
      <c r="AG65" s="179"/>
      <c r="AH65" s="179"/>
      <c r="AI65" s="179"/>
      <c r="AJ65" s="179"/>
      <c r="AK65" s="179"/>
      <c r="AL65" s="179"/>
      <c r="AM65" s="179"/>
      <c r="AN65" s="179"/>
      <c r="AO65" s="179"/>
      <c r="AP65" s="179"/>
      <c r="AQ65" s="185"/>
      <c r="AR65" s="185"/>
      <c r="AS65" s="185"/>
      <c r="AT65" s="185"/>
      <c r="AU65" s="185"/>
      <c r="AV65" s="185"/>
      <c r="AW65" s="185"/>
      <c r="AX65" s="185"/>
      <c r="AY65" s="185"/>
      <c r="AZ65" s="185"/>
      <c r="BA65" s="185"/>
      <c r="BB65" s="185"/>
      <c r="BC65" s="185"/>
      <c r="BD65" s="179">
        <v>0.1</v>
      </c>
      <c r="BE65" s="181">
        <f t="shared" si="6"/>
        <v>1</v>
      </c>
    </row>
    <row r="66" spans="2:57" ht="13.5" customHeight="1" thickBot="1">
      <c r="B66" s="1513"/>
      <c r="C66" s="1524"/>
      <c r="D66" s="1519"/>
      <c r="E66" s="187" t="s">
        <v>391</v>
      </c>
      <c r="F66" s="188">
        <f>35000000*5</f>
        <v>175000000</v>
      </c>
      <c r="G66" s="193"/>
      <c r="H66" s="193"/>
      <c r="I66" s="193"/>
      <c r="J66" s="193"/>
      <c r="K66" s="193"/>
      <c r="L66" s="193"/>
      <c r="M66" s="193"/>
      <c r="N66" s="193"/>
      <c r="O66" s="193"/>
      <c r="P66" s="193"/>
      <c r="Q66" s="193"/>
      <c r="R66" s="193"/>
      <c r="S66" s="193"/>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4"/>
      <c r="AQ66" s="195"/>
      <c r="AR66" s="195"/>
      <c r="AS66" s="195"/>
      <c r="AT66" s="195"/>
      <c r="AU66" s="195"/>
      <c r="AV66" s="195"/>
      <c r="AW66" s="195"/>
      <c r="AX66" s="195"/>
      <c r="AY66" s="195"/>
      <c r="AZ66" s="195"/>
      <c r="BA66" s="195"/>
      <c r="BB66" s="195"/>
      <c r="BC66" s="195"/>
      <c r="BD66" s="193">
        <v>1</v>
      </c>
      <c r="BE66" s="192">
        <f t="shared" si="6"/>
        <v>1</v>
      </c>
    </row>
    <row r="67" spans="2:57" ht="12.75" customHeight="1">
      <c r="B67" s="1526" t="s">
        <v>877</v>
      </c>
      <c r="C67" s="1524"/>
      <c r="D67" s="1517" t="s">
        <v>872</v>
      </c>
      <c r="E67" s="177" t="s">
        <v>388</v>
      </c>
      <c r="F67" s="178">
        <v>1100000000</v>
      </c>
      <c r="G67" s="179"/>
      <c r="H67" s="179"/>
      <c r="I67" s="179"/>
      <c r="J67" s="179"/>
      <c r="K67" s="179"/>
      <c r="L67" s="179"/>
      <c r="M67" s="179"/>
      <c r="N67" s="179"/>
      <c r="O67" s="179"/>
      <c r="P67" s="179"/>
      <c r="Q67" s="179"/>
      <c r="R67" s="179"/>
      <c r="S67" s="179"/>
      <c r="T67" s="179"/>
      <c r="U67" s="179">
        <v>0.5</v>
      </c>
      <c r="V67" s="179"/>
      <c r="W67" s="179"/>
      <c r="X67" s="179"/>
      <c r="Y67" s="179"/>
      <c r="Z67" s="179"/>
      <c r="AA67" s="179"/>
      <c r="AB67" s="179"/>
      <c r="AC67" s="179"/>
      <c r="AD67" s="179"/>
      <c r="AE67" s="179"/>
      <c r="AF67" s="179"/>
      <c r="AG67" s="179"/>
      <c r="AH67" s="179"/>
      <c r="AI67" s="179">
        <v>0</v>
      </c>
      <c r="AJ67" s="179"/>
      <c r="AK67" s="179"/>
      <c r="AL67" s="179"/>
      <c r="AM67" s="179"/>
      <c r="AN67" s="179"/>
      <c r="AO67" s="179"/>
      <c r="AP67" s="179">
        <v>0</v>
      </c>
      <c r="AQ67" s="180"/>
      <c r="AR67" s="180"/>
      <c r="AS67" s="180"/>
      <c r="AT67" s="180"/>
      <c r="AU67" s="180"/>
      <c r="AV67" s="180"/>
      <c r="AW67" s="179">
        <v>0.4</v>
      </c>
      <c r="AX67" s="180"/>
      <c r="AY67" s="180"/>
      <c r="AZ67" s="180"/>
      <c r="BA67" s="180"/>
      <c r="BB67" s="180"/>
      <c r="BC67" s="180"/>
      <c r="BD67" s="179">
        <v>0.1</v>
      </c>
      <c r="BE67" s="181">
        <f t="shared" ref="BE67:BE70" si="7">SUM(G67:BD67)</f>
        <v>1</v>
      </c>
    </row>
    <row r="68" spans="2:57" ht="12.75" customHeight="1">
      <c r="B68" s="1527"/>
      <c r="C68" s="1524"/>
      <c r="D68" s="1518"/>
      <c r="E68" s="177" t="s">
        <v>389</v>
      </c>
      <c r="F68" s="178">
        <v>300000000</v>
      </c>
      <c r="G68" s="179">
        <v>0.3</v>
      </c>
      <c r="H68" s="179"/>
      <c r="I68" s="179"/>
      <c r="J68" s="179"/>
      <c r="K68" s="179"/>
      <c r="L68" s="179"/>
      <c r="M68" s="179"/>
      <c r="N68" s="179">
        <v>0.1</v>
      </c>
      <c r="O68" s="179"/>
      <c r="P68" s="179"/>
      <c r="Q68" s="179"/>
      <c r="R68" s="179"/>
      <c r="S68" s="179"/>
      <c r="T68" s="179"/>
      <c r="U68" s="179">
        <v>0.5</v>
      </c>
      <c r="V68" s="179"/>
      <c r="W68" s="179"/>
      <c r="X68" s="179"/>
      <c r="Y68" s="179"/>
      <c r="Z68" s="179"/>
      <c r="AA68" s="179"/>
      <c r="AB68" s="179"/>
      <c r="AC68" s="179"/>
      <c r="AD68" s="179"/>
      <c r="AE68" s="179"/>
      <c r="AF68" s="179"/>
      <c r="AG68" s="179"/>
      <c r="AH68" s="179"/>
      <c r="AI68" s="179"/>
      <c r="AJ68" s="179"/>
      <c r="AK68" s="179"/>
      <c r="AL68" s="179"/>
      <c r="AM68" s="179"/>
      <c r="AN68" s="179"/>
      <c r="AO68" s="179"/>
      <c r="AP68" s="179"/>
      <c r="AQ68" s="185"/>
      <c r="AR68" s="185"/>
      <c r="AS68" s="185"/>
      <c r="AT68" s="185"/>
      <c r="AU68" s="185"/>
      <c r="AV68" s="185"/>
      <c r="AW68" s="185"/>
      <c r="AX68" s="185"/>
      <c r="AY68" s="185"/>
      <c r="AZ68" s="185"/>
      <c r="BA68" s="185"/>
      <c r="BB68" s="185"/>
      <c r="BC68" s="185"/>
      <c r="BD68" s="179">
        <v>0.1</v>
      </c>
      <c r="BE68" s="181">
        <f t="shared" si="7"/>
        <v>1</v>
      </c>
    </row>
    <row r="69" spans="2:57">
      <c r="B69" s="1527"/>
      <c r="C69" s="1524"/>
      <c r="D69" s="1518"/>
      <c r="E69" s="177" t="s">
        <v>856</v>
      </c>
      <c r="F69" s="178">
        <v>200000000</v>
      </c>
      <c r="G69" s="179">
        <v>0.3</v>
      </c>
      <c r="H69" s="179"/>
      <c r="I69" s="179"/>
      <c r="J69" s="179"/>
      <c r="K69" s="179"/>
      <c r="L69" s="179"/>
      <c r="M69" s="179"/>
      <c r="N69" s="179">
        <v>0.1</v>
      </c>
      <c r="O69" s="179"/>
      <c r="P69" s="179"/>
      <c r="Q69" s="179"/>
      <c r="R69" s="179"/>
      <c r="S69" s="179"/>
      <c r="T69" s="179"/>
      <c r="U69" s="179">
        <v>0.5</v>
      </c>
      <c r="V69" s="179"/>
      <c r="W69" s="179"/>
      <c r="X69" s="179"/>
      <c r="Y69" s="179"/>
      <c r="Z69" s="179"/>
      <c r="AA69" s="179"/>
      <c r="AB69" s="179"/>
      <c r="AC69" s="179"/>
      <c r="AD69" s="179"/>
      <c r="AE69" s="179"/>
      <c r="AF69" s="179"/>
      <c r="AG69" s="179"/>
      <c r="AH69" s="179"/>
      <c r="AI69" s="179"/>
      <c r="AJ69" s="179"/>
      <c r="AK69" s="179"/>
      <c r="AL69" s="179"/>
      <c r="AM69" s="179"/>
      <c r="AN69" s="179"/>
      <c r="AO69" s="179"/>
      <c r="AP69" s="179"/>
      <c r="AQ69" s="185"/>
      <c r="AR69" s="185"/>
      <c r="AS69" s="185"/>
      <c r="AT69" s="185"/>
      <c r="AU69" s="185"/>
      <c r="AV69" s="185"/>
      <c r="AW69" s="185"/>
      <c r="AX69" s="185"/>
      <c r="AY69" s="185"/>
      <c r="AZ69" s="185"/>
      <c r="BA69" s="185"/>
      <c r="BB69" s="185"/>
      <c r="BC69" s="185"/>
      <c r="BD69" s="179">
        <v>0.1</v>
      </c>
      <c r="BE69" s="181">
        <f t="shared" si="7"/>
        <v>1</v>
      </c>
    </row>
    <row r="70" spans="2:57" ht="13.5" thickBot="1">
      <c r="B70" s="1528"/>
      <c r="C70" s="1524"/>
      <c r="D70" s="1519"/>
      <c r="E70" s="187" t="s">
        <v>391</v>
      </c>
      <c r="F70" s="188">
        <f>40000000*5</f>
        <v>200000000</v>
      </c>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P70" s="194"/>
      <c r="AQ70" s="195"/>
      <c r="AR70" s="195"/>
      <c r="AS70" s="195"/>
      <c r="AT70" s="195"/>
      <c r="AU70" s="195"/>
      <c r="AV70" s="195"/>
      <c r="AW70" s="195"/>
      <c r="AX70" s="195"/>
      <c r="AY70" s="195"/>
      <c r="AZ70" s="195"/>
      <c r="BA70" s="195"/>
      <c r="BB70" s="195"/>
      <c r="BC70" s="195"/>
      <c r="BD70" s="193">
        <v>1</v>
      </c>
      <c r="BE70" s="192">
        <f t="shared" si="7"/>
        <v>1</v>
      </c>
    </row>
    <row r="71" spans="2:57" ht="12.75" customHeight="1">
      <c r="B71" s="1520" t="s">
        <v>878</v>
      </c>
      <c r="C71" s="1524"/>
      <c r="D71" s="1517" t="s">
        <v>872</v>
      </c>
      <c r="E71" s="177" t="s">
        <v>388</v>
      </c>
      <c r="F71" s="178">
        <v>1100000000</v>
      </c>
      <c r="G71" s="179"/>
      <c r="H71" s="179"/>
      <c r="I71" s="179"/>
      <c r="J71" s="179"/>
      <c r="K71" s="179"/>
      <c r="L71" s="179"/>
      <c r="M71" s="179"/>
      <c r="N71" s="179"/>
      <c r="O71" s="179"/>
      <c r="P71" s="179"/>
      <c r="Q71" s="179"/>
      <c r="R71" s="179"/>
      <c r="S71" s="179"/>
      <c r="T71" s="179"/>
      <c r="U71" s="179">
        <v>0.5</v>
      </c>
      <c r="V71" s="179"/>
      <c r="W71" s="179"/>
      <c r="X71" s="179"/>
      <c r="Y71" s="179"/>
      <c r="Z71" s="179"/>
      <c r="AA71" s="179"/>
      <c r="AB71" s="179"/>
      <c r="AC71" s="179"/>
      <c r="AD71" s="179"/>
      <c r="AE71" s="179"/>
      <c r="AF71" s="179"/>
      <c r="AG71" s="179"/>
      <c r="AH71" s="179"/>
      <c r="AI71" s="179">
        <v>0</v>
      </c>
      <c r="AJ71" s="179"/>
      <c r="AK71" s="179"/>
      <c r="AL71" s="179"/>
      <c r="AM71" s="179"/>
      <c r="AN71" s="179"/>
      <c r="AO71" s="179"/>
      <c r="AP71" s="179">
        <v>0</v>
      </c>
      <c r="AQ71" s="180"/>
      <c r="AR71" s="180"/>
      <c r="AS71" s="180"/>
      <c r="AT71" s="180"/>
      <c r="AU71" s="180"/>
      <c r="AV71" s="180"/>
      <c r="AW71" s="179">
        <v>0.4</v>
      </c>
      <c r="AX71" s="180"/>
      <c r="AY71" s="180"/>
      <c r="AZ71" s="180"/>
      <c r="BA71" s="180"/>
      <c r="BB71" s="180"/>
      <c r="BC71" s="180"/>
      <c r="BD71" s="179">
        <v>0.1</v>
      </c>
      <c r="BE71" s="181">
        <f t="shared" ref="BE71:BE78" si="8">SUM(G71:BD71)</f>
        <v>1</v>
      </c>
    </row>
    <row r="72" spans="2:57" ht="12.75" customHeight="1">
      <c r="B72" s="1521"/>
      <c r="C72" s="1524"/>
      <c r="D72" s="1518"/>
      <c r="E72" s="177" t="s">
        <v>389</v>
      </c>
      <c r="F72" s="178">
        <v>300000000</v>
      </c>
      <c r="G72" s="179">
        <v>0.3</v>
      </c>
      <c r="H72" s="179"/>
      <c r="I72" s="179"/>
      <c r="J72" s="179"/>
      <c r="K72" s="179"/>
      <c r="L72" s="179"/>
      <c r="M72" s="179"/>
      <c r="N72" s="179">
        <v>0.1</v>
      </c>
      <c r="O72" s="179"/>
      <c r="P72" s="179"/>
      <c r="Q72" s="179"/>
      <c r="R72" s="179"/>
      <c r="S72" s="179"/>
      <c r="T72" s="179"/>
      <c r="U72" s="179">
        <v>0.5</v>
      </c>
      <c r="V72" s="179"/>
      <c r="W72" s="179"/>
      <c r="X72" s="179"/>
      <c r="Y72" s="179"/>
      <c r="Z72" s="179"/>
      <c r="AA72" s="179"/>
      <c r="AB72" s="179"/>
      <c r="AC72" s="179"/>
      <c r="AD72" s="179"/>
      <c r="AE72" s="179"/>
      <c r="AF72" s="179"/>
      <c r="AG72" s="179"/>
      <c r="AH72" s="179"/>
      <c r="AI72" s="179"/>
      <c r="AJ72" s="179"/>
      <c r="AK72" s="179"/>
      <c r="AL72" s="179"/>
      <c r="AM72" s="179"/>
      <c r="AN72" s="179"/>
      <c r="AO72" s="179"/>
      <c r="AP72" s="179"/>
      <c r="AQ72" s="185"/>
      <c r="AR72" s="185"/>
      <c r="AS72" s="185"/>
      <c r="AT72" s="185"/>
      <c r="AU72" s="185"/>
      <c r="AV72" s="185"/>
      <c r="AW72" s="185"/>
      <c r="AX72" s="185"/>
      <c r="AY72" s="185"/>
      <c r="AZ72" s="185"/>
      <c r="BA72" s="185"/>
      <c r="BB72" s="185"/>
      <c r="BC72" s="185"/>
      <c r="BD72" s="179">
        <v>0.1</v>
      </c>
      <c r="BE72" s="181">
        <f t="shared" si="8"/>
        <v>1</v>
      </c>
    </row>
    <row r="73" spans="2:57">
      <c r="B73" s="1521"/>
      <c r="C73" s="1524"/>
      <c r="D73" s="1518"/>
      <c r="E73" s="177" t="s">
        <v>856</v>
      </c>
      <c r="F73" s="178">
        <v>200000000</v>
      </c>
      <c r="G73" s="179">
        <v>0.3</v>
      </c>
      <c r="H73" s="179"/>
      <c r="I73" s="179"/>
      <c r="J73" s="179"/>
      <c r="K73" s="179"/>
      <c r="L73" s="179"/>
      <c r="M73" s="179"/>
      <c r="N73" s="179">
        <v>0.1</v>
      </c>
      <c r="O73" s="179"/>
      <c r="P73" s="179"/>
      <c r="Q73" s="179"/>
      <c r="R73" s="179"/>
      <c r="S73" s="179"/>
      <c r="T73" s="179"/>
      <c r="U73" s="179">
        <v>0.5</v>
      </c>
      <c r="V73" s="179"/>
      <c r="W73" s="179"/>
      <c r="X73" s="179"/>
      <c r="Y73" s="179"/>
      <c r="Z73" s="179"/>
      <c r="AA73" s="179"/>
      <c r="AB73" s="179"/>
      <c r="AC73" s="179"/>
      <c r="AD73" s="179"/>
      <c r="AE73" s="179"/>
      <c r="AF73" s="179"/>
      <c r="AG73" s="179"/>
      <c r="AH73" s="179"/>
      <c r="AI73" s="179"/>
      <c r="AJ73" s="179"/>
      <c r="AK73" s="179"/>
      <c r="AL73" s="179"/>
      <c r="AM73" s="179"/>
      <c r="AN73" s="179"/>
      <c r="AO73" s="179"/>
      <c r="AP73" s="179"/>
      <c r="AQ73" s="185"/>
      <c r="AR73" s="185"/>
      <c r="AS73" s="185"/>
      <c r="AT73" s="185"/>
      <c r="AU73" s="185"/>
      <c r="AV73" s="185"/>
      <c r="AW73" s="185"/>
      <c r="AX73" s="185"/>
      <c r="AY73" s="185"/>
      <c r="AZ73" s="185"/>
      <c r="BA73" s="185"/>
      <c r="BB73" s="185"/>
      <c r="BC73" s="185"/>
      <c r="BD73" s="179">
        <v>0.1</v>
      </c>
      <c r="BE73" s="181">
        <f t="shared" si="8"/>
        <v>1</v>
      </c>
    </row>
    <row r="74" spans="2:57" ht="13.5" thickBot="1">
      <c r="B74" s="1522"/>
      <c r="C74" s="1524"/>
      <c r="D74" s="1519"/>
      <c r="E74" s="187" t="s">
        <v>391</v>
      </c>
      <c r="F74" s="188">
        <f>40000000*5</f>
        <v>200000000</v>
      </c>
      <c r="G74" s="193"/>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c r="AF74" s="193"/>
      <c r="AG74" s="193"/>
      <c r="AH74" s="193"/>
      <c r="AI74" s="193"/>
      <c r="AJ74" s="193"/>
      <c r="AK74" s="193"/>
      <c r="AL74" s="193"/>
      <c r="AM74" s="193"/>
      <c r="AN74" s="193"/>
      <c r="AO74" s="193"/>
      <c r="AP74" s="194"/>
      <c r="AQ74" s="195"/>
      <c r="AR74" s="195"/>
      <c r="AS74" s="195"/>
      <c r="AT74" s="195"/>
      <c r="AU74" s="195"/>
      <c r="AV74" s="195"/>
      <c r="AW74" s="195"/>
      <c r="AX74" s="195"/>
      <c r="AY74" s="195"/>
      <c r="AZ74" s="195"/>
      <c r="BA74" s="195"/>
      <c r="BB74" s="195"/>
      <c r="BC74" s="195"/>
      <c r="BD74" s="193">
        <v>1</v>
      </c>
      <c r="BE74" s="192">
        <f t="shared" si="8"/>
        <v>1</v>
      </c>
    </row>
    <row r="75" spans="2:57" ht="12.75" customHeight="1">
      <c r="B75" s="1520" t="s">
        <v>879</v>
      </c>
      <c r="C75" s="1524"/>
      <c r="D75" s="1517" t="s">
        <v>872</v>
      </c>
      <c r="E75" s="177" t="s">
        <v>388</v>
      </c>
      <c r="F75" s="178">
        <v>1100000000</v>
      </c>
      <c r="G75" s="179"/>
      <c r="H75" s="179"/>
      <c r="I75" s="179"/>
      <c r="J75" s="179"/>
      <c r="K75" s="179"/>
      <c r="L75" s="179"/>
      <c r="M75" s="179"/>
      <c r="N75" s="179"/>
      <c r="O75" s="179"/>
      <c r="P75" s="179"/>
      <c r="Q75" s="179"/>
      <c r="R75" s="179"/>
      <c r="S75" s="179"/>
      <c r="T75" s="179"/>
      <c r="U75" s="179">
        <v>0.5</v>
      </c>
      <c r="V75" s="179"/>
      <c r="W75" s="179"/>
      <c r="X75" s="179"/>
      <c r="Y75" s="179"/>
      <c r="Z75" s="179"/>
      <c r="AA75" s="179"/>
      <c r="AB75" s="179"/>
      <c r="AC75" s="179"/>
      <c r="AD75" s="179"/>
      <c r="AE75" s="179"/>
      <c r="AF75" s="179"/>
      <c r="AG75" s="179"/>
      <c r="AH75" s="179"/>
      <c r="AI75" s="179">
        <v>0</v>
      </c>
      <c r="AJ75" s="179"/>
      <c r="AK75" s="179"/>
      <c r="AL75" s="179"/>
      <c r="AM75" s="179"/>
      <c r="AN75" s="179"/>
      <c r="AO75" s="179"/>
      <c r="AP75" s="179">
        <v>0</v>
      </c>
      <c r="AQ75" s="180"/>
      <c r="AR75" s="180"/>
      <c r="AS75" s="180"/>
      <c r="AT75" s="180"/>
      <c r="AU75" s="180"/>
      <c r="AV75" s="180"/>
      <c r="AW75" s="179">
        <v>0.4</v>
      </c>
      <c r="AX75" s="180"/>
      <c r="AY75" s="180"/>
      <c r="AZ75" s="180"/>
      <c r="BA75" s="180"/>
      <c r="BB75" s="180"/>
      <c r="BC75" s="180"/>
      <c r="BD75" s="179">
        <v>0.1</v>
      </c>
      <c r="BE75" s="181">
        <f t="shared" si="8"/>
        <v>1</v>
      </c>
    </row>
    <row r="76" spans="2:57" ht="12.75" customHeight="1">
      <c r="B76" s="1521"/>
      <c r="C76" s="1524"/>
      <c r="D76" s="1518"/>
      <c r="E76" s="177" t="s">
        <v>389</v>
      </c>
      <c r="F76" s="178">
        <v>300000000</v>
      </c>
      <c r="G76" s="179">
        <v>0.3</v>
      </c>
      <c r="H76" s="179"/>
      <c r="I76" s="179"/>
      <c r="J76" s="179"/>
      <c r="K76" s="179"/>
      <c r="L76" s="179"/>
      <c r="M76" s="179"/>
      <c r="N76" s="179">
        <v>0.1</v>
      </c>
      <c r="O76" s="179"/>
      <c r="P76" s="179"/>
      <c r="Q76" s="179"/>
      <c r="R76" s="179"/>
      <c r="S76" s="179"/>
      <c r="T76" s="179"/>
      <c r="U76" s="179">
        <v>0.5</v>
      </c>
      <c r="V76" s="179"/>
      <c r="W76" s="179"/>
      <c r="X76" s="179"/>
      <c r="Y76" s="179"/>
      <c r="Z76" s="179"/>
      <c r="AA76" s="179"/>
      <c r="AB76" s="179"/>
      <c r="AC76" s="179"/>
      <c r="AD76" s="179"/>
      <c r="AE76" s="179"/>
      <c r="AF76" s="179"/>
      <c r="AG76" s="179"/>
      <c r="AH76" s="179"/>
      <c r="AI76" s="179"/>
      <c r="AJ76" s="179"/>
      <c r="AK76" s="179"/>
      <c r="AL76" s="179"/>
      <c r="AM76" s="179"/>
      <c r="AN76" s="179"/>
      <c r="AO76" s="179"/>
      <c r="AP76" s="179"/>
      <c r="AQ76" s="185"/>
      <c r="AR76" s="185"/>
      <c r="AS76" s="185"/>
      <c r="AT76" s="185"/>
      <c r="AU76" s="185"/>
      <c r="AV76" s="185"/>
      <c r="AW76" s="185"/>
      <c r="AX76" s="185"/>
      <c r="AY76" s="185"/>
      <c r="AZ76" s="185"/>
      <c r="BA76" s="185"/>
      <c r="BB76" s="185"/>
      <c r="BC76" s="185"/>
      <c r="BD76" s="179">
        <v>0.1</v>
      </c>
      <c r="BE76" s="181">
        <f t="shared" si="8"/>
        <v>1</v>
      </c>
    </row>
    <row r="77" spans="2:57">
      <c r="B77" s="1521"/>
      <c r="C77" s="1524"/>
      <c r="D77" s="1518"/>
      <c r="E77" s="177" t="s">
        <v>856</v>
      </c>
      <c r="F77" s="178">
        <v>200000000</v>
      </c>
      <c r="G77" s="179">
        <v>0.3</v>
      </c>
      <c r="H77" s="179"/>
      <c r="I77" s="179"/>
      <c r="J77" s="179"/>
      <c r="K77" s="179"/>
      <c r="L77" s="179"/>
      <c r="M77" s="179"/>
      <c r="N77" s="179">
        <v>0.1</v>
      </c>
      <c r="O77" s="179"/>
      <c r="P77" s="179"/>
      <c r="Q77" s="179"/>
      <c r="R77" s="179"/>
      <c r="S77" s="179"/>
      <c r="T77" s="179"/>
      <c r="U77" s="179">
        <v>0.5</v>
      </c>
      <c r="V77" s="179"/>
      <c r="W77" s="179"/>
      <c r="X77" s="179"/>
      <c r="Y77" s="179"/>
      <c r="Z77" s="179"/>
      <c r="AA77" s="179"/>
      <c r="AB77" s="179"/>
      <c r="AC77" s="179"/>
      <c r="AD77" s="179"/>
      <c r="AE77" s="179"/>
      <c r="AF77" s="179"/>
      <c r="AG77" s="179"/>
      <c r="AH77" s="179"/>
      <c r="AI77" s="179"/>
      <c r="AJ77" s="179"/>
      <c r="AK77" s="179"/>
      <c r="AL77" s="179"/>
      <c r="AM77" s="179"/>
      <c r="AN77" s="179"/>
      <c r="AO77" s="179"/>
      <c r="AP77" s="179"/>
      <c r="AQ77" s="185"/>
      <c r="AR77" s="185"/>
      <c r="AS77" s="185"/>
      <c r="AT77" s="185"/>
      <c r="AU77" s="185"/>
      <c r="AV77" s="185"/>
      <c r="AW77" s="185"/>
      <c r="AX77" s="185"/>
      <c r="AY77" s="185"/>
      <c r="AZ77" s="185"/>
      <c r="BA77" s="185"/>
      <c r="BB77" s="185"/>
      <c r="BC77" s="185"/>
      <c r="BD77" s="179">
        <v>0.1</v>
      </c>
      <c r="BE77" s="181">
        <f t="shared" si="8"/>
        <v>1</v>
      </c>
    </row>
    <row r="78" spans="2:57" ht="13.5" thickBot="1">
      <c r="B78" s="1522"/>
      <c r="C78" s="1525"/>
      <c r="D78" s="1519"/>
      <c r="E78" s="187" t="s">
        <v>391</v>
      </c>
      <c r="F78" s="188">
        <f>35000000*5</f>
        <v>175000000</v>
      </c>
      <c r="G78" s="193"/>
      <c r="H78" s="193"/>
      <c r="I78" s="193"/>
      <c r="J78" s="193"/>
      <c r="K78" s="193"/>
      <c r="L78" s="193"/>
      <c r="M78" s="193"/>
      <c r="N78" s="193"/>
      <c r="O78" s="193"/>
      <c r="P78" s="193"/>
      <c r="Q78" s="193"/>
      <c r="R78" s="193"/>
      <c r="S78" s="193"/>
      <c r="T78" s="193"/>
      <c r="U78" s="193"/>
      <c r="V78" s="193"/>
      <c r="W78" s="193"/>
      <c r="X78" s="193"/>
      <c r="Y78" s="193"/>
      <c r="Z78" s="193"/>
      <c r="AA78" s="193"/>
      <c r="AB78" s="193"/>
      <c r="AC78" s="193"/>
      <c r="AD78" s="193"/>
      <c r="AE78" s="193"/>
      <c r="AF78" s="193"/>
      <c r="AG78" s="193"/>
      <c r="AH78" s="193"/>
      <c r="AI78" s="193"/>
      <c r="AJ78" s="193"/>
      <c r="AK78" s="193"/>
      <c r="AL78" s="193"/>
      <c r="AM78" s="193"/>
      <c r="AN78" s="193"/>
      <c r="AO78" s="193"/>
      <c r="AP78" s="194"/>
      <c r="AQ78" s="195"/>
      <c r="AR78" s="195"/>
      <c r="AS78" s="195"/>
      <c r="AT78" s="195"/>
      <c r="AU78" s="195"/>
      <c r="AV78" s="195"/>
      <c r="AW78" s="195"/>
      <c r="AX78" s="195"/>
      <c r="AY78" s="195"/>
      <c r="AZ78" s="195"/>
      <c r="BA78" s="195"/>
      <c r="BB78" s="195"/>
      <c r="BC78" s="195"/>
      <c r="BD78" s="193">
        <v>1</v>
      </c>
      <c r="BE78" s="192">
        <f t="shared" si="8"/>
        <v>1</v>
      </c>
    </row>
  </sheetData>
  <mergeCells count="38">
    <mergeCell ref="B71:B74"/>
    <mergeCell ref="D71:D74"/>
    <mergeCell ref="B75:B78"/>
    <mergeCell ref="D75:D78"/>
    <mergeCell ref="C38:C78"/>
    <mergeCell ref="B67:B70"/>
    <mergeCell ref="D67:D70"/>
    <mergeCell ref="B50:B54"/>
    <mergeCell ref="B46:B49"/>
    <mergeCell ref="D46:D49"/>
    <mergeCell ref="B55:B58"/>
    <mergeCell ref="D55:D58"/>
    <mergeCell ref="B63:B66"/>
    <mergeCell ref="D63:D66"/>
    <mergeCell ref="B59:B62"/>
    <mergeCell ref="D59:D62"/>
    <mergeCell ref="B37:E37"/>
    <mergeCell ref="B38:B41"/>
    <mergeCell ref="D38:D41"/>
    <mergeCell ref="B42:B45"/>
    <mergeCell ref="D42:D45"/>
    <mergeCell ref="B4:E4"/>
    <mergeCell ref="B5:B9"/>
    <mergeCell ref="C5:C19"/>
    <mergeCell ref="D5:D9"/>
    <mergeCell ref="B10:B14"/>
    <mergeCell ref="D10:D14"/>
    <mergeCell ref="B15:B19"/>
    <mergeCell ref="D15:D19"/>
    <mergeCell ref="B20:B23"/>
    <mergeCell ref="C20:C35"/>
    <mergeCell ref="D20:D23"/>
    <mergeCell ref="B24:B27"/>
    <mergeCell ref="D24:D27"/>
    <mergeCell ref="B32:B35"/>
    <mergeCell ref="D32:D35"/>
    <mergeCell ref="B28:B31"/>
    <mergeCell ref="D28:D31"/>
  </mergeCells>
  <phoneticPr fontId="9" type="noConversion"/>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BA354-125E-4245-8DEE-6A2FBABB1F94}">
  <sheetPr>
    <pageSetUpPr fitToPage="1"/>
  </sheetPr>
  <dimension ref="A1:CE77"/>
  <sheetViews>
    <sheetView showGridLines="0" zoomScaleNormal="100" zoomScaleSheetLayoutView="55" workbookViewId="0">
      <pane xSplit="9" ySplit="10" topLeftCell="T40" activePane="bottomRight" state="frozen"/>
      <selection pane="topRight" activeCell="I35" sqref="I35"/>
      <selection pane="bottomLeft" activeCell="I35" sqref="I35"/>
      <selection pane="bottomRight" activeCell="O52" sqref="O52"/>
    </sheetView>
  </sheetViews>
  <sheetFormatPr defaultColWidth="10.28515625" defaultRowHeight="12.75" outlineLevelCol="1"/>
  <cols>
    <col min="1" max="1" width="1.85546875" style="53" customWidth="1"/>
    <col min="2" max="2" width="5.5703125" style="53" customWidth="1"/>
    <col min="3" max="3" width="19.85546875" style="53" customWidth="1"/>
    <col min="4" max="4" width="10.140625" style="53" customWidth="1"/>
    <col min="5" max="5" width="14.140625" style="53" customWidth="1"/>
    <col min="6" max="6" width="18.85546875" style="53" bestFit="1" customWidth="1"/>
    <col min="7" max="7" width="14.140625" style="53" customWidth="1"/>
    <col min="8" max="8" width="13.28515625" style="53" customWidth="1"/>
    <col min="9" max="9" width="14.140625" style="53" customWidth="1"/>
    <col min="10" max="10" width="7.5703125" style="53" customWidth="1"/>
    <col min="11" max="11" width="13.28515625" style="53" customWidth="1"/>
    <col min="12" max="12" width="13.85546875" style="53" customWidth="1"/>
    <col min="13" max="13" width="13.85546875" style="425" customWidth="1"/>
    <col min="14" max="15" width="11.5703125" style="53" customWidth="1"/>
    <col min="16" max="16" width="7.5703125" style="53" customWidth="1"/>
    <col min="17" max="19" width="13.28515625" style="53" customWidth="1"/>
    <col min="20" max="20" width="13.85546875" style="53" customWidth="1"/>
    <col min="21" max="22" width="11.5703125" style="53" customWidth="1"/>
    <col min="23" max="23" width="7.5703125" style="53" customWidth="1"/>
    <col min="24"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customWidth="1" outlineLevel="1"/>
    <col min="37" max="37" width="7.5703125" style="53" customWidth="1" outlineLevel="1"/>
    <col min="38" max="40" width="13.28515625" style="53" customWidth="1" outlineLevel="1"/>
    <col min="41" max="41" width="13.85546875" style="53" customWidth="1" outlineLevel="1"/>
    <col min="42" max="43" width="11.5703125" style="53" customWidth="1"/>
    <col min="44" max="44" width="7.5703125" style="53" customWidth="1"/>
    <col min="45" max="47" width="13.28515625" style="53" customWidth="1"/>
    <col min="48" max="48" width="13.85546875" style="53" customWidth="1"/>
    <col min="49" max="50" width="11.5703125" style="53" customWidth="1"/>
    <col min="51" max="51" width="7.5703125" style="53" customWidth="1"/>
    <col min="52" max="54" width="13.28515625" style="53" customWidth="1"/>
    <col min="55" max="55" width="13.85546875" style="53" customWidth="1"/>
    <col min="56" max="57" width="11.5703125" style="53" customWidth="1"/>
    <col min="58" max="58" width="7.5703125" style="53" customWidth="1"/>
    <col min="59" max="61" width="13.28515625" style="53" customWidth="1"/>
    <col min="62" max="62" width="13.85546875" style="53"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8.5703125" style="53" customWidth="1"/>
    <col min="74" max="16384" width="10.28515625" style="53"/>
  </cols>
  <sheetData>
    <row r="1" spans="1:83" s="52" customFormat="1">
      <c r="F1" s="53"/>
      <c r="M1" s="415"/>
      <c r="BR1" s="53"/>
    </row>
    <row r="2" spans="1:83" s="52" customFormat="1">
      <c r="B2" s="52" t="s">
        <v>346</v>
      </c>
      <c r="D2" s="52" t="s">
        <v>880</v>
      </c>
      <c r="G2" s="401">
        <v>1100000000</v>
      </c>
      <c r="M2" s="415"/>
      <c r="BR2" s="53"/>
    </row>
    <row r="3" spans="1:83" s="52" customFormat="1">
      <c r="B3" s="52" t="s">
        <v>348</v>
      </c>
      <c r="D3" s="52" t="s">
        <v>881</v>
      </c>
      <c r="M3" s="415"/>
      <c r="AE3" s="869"/>
      <c r="BR3" s="53"/>
    </row>
    <row r="4" spans="1:83" s="52" customFormat="1">
      <c r="B4" s="52" t="s">
        <v>350</v>
      </c>
      <c r="D4" s="52" t="s">
        <v>882</v>
      </c>
      <c r="M4" s="415"/>
      <c r="BR4" s="53"/>
    </row>
    <row r="5" spans="1:83" s="52" customFormat="1">
      <c r="B5" s="52" t="s">
        <v>352</v>
      </c>
      <c r="D5" s="52" t="s">
        <v>883</v>
      </c>
      <c r="H5" s="52">
        <v>550000</v>
      </c>
      <c r="M5" s="415"/>
      <c r="BR5" s="53"/>
    </row>
    <row r="6" spans="1:83" s="52" customFormat="1">
      <c r="B6" s="52" t="s">
        <v>354</v>
      </c>
      <c r="D6" s="52" t="s">
        <v>355</v>
      </c>
      <c r="H6" s="199">
        <f>+H5*D11</f>
        <v>390112250</v>
      </c>
      <c r="M6" s="415"/>
      <c r="AF6" s="357"/>
      <c r="BR6" s="53"/>
    </row>
    <row r="7" spans="1:83" s="52" customFormat="1">
      <c r="B7" s="52" t="s">
        <v>356</v>
      </c>
      <c r="D7" s="52" t="s">
        <v>884</v>
      </c>
      <c r="M7" s="415"/>
      <c r="BR7" s="53"/>
    </row>
    <row r="8" spans="1:83">
      <c r="A8" s="54"/>
      <c r="B8" s="62"/>
      <c r="C8" s="5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358"/>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885</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886</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28.15" customHeight="1">
      <c r="A10" s="54"/>
      <c r="B10" s="1318"/>
      <c r="C10" s="1318"/>
      <c r="D10" s="1320"/>
      <c r="E10" s="1315"/>
      <c r="F10" s="1320"/>
      <c r="G10" s="1320"/>
      <c r="H10" s="1320"/>
      <c r="I10" s="1320"/>
      <c r="J10" s="59" t="s">
        <v>377</v>
      </c>
      <c r="K10" s="59" t="s">
        <v>378</v>
      </c>
      <c r="L10" s="59" t="s">
        <v>379</v>
      </c>
      <c r="M10" s="1315"/>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62"/>
      <c r="B11" s="1322">
        <v>1</v>
      </c>
      <c r="C11" s="1531" t="s">
        <v>887</v>
      </c>
      <c r="D11" s="1343">
        <v>709.29499999999996</v>
      </c>
      <c r="E11" s="1324" t="s">
        <v>888</v>
      </c>
      <c r="F11" s="63" t="s">
        <v>388</v>
      </c>
      <c r="G11" s="64">
        <f>+지급비율!F20*$D$11/1000</f>
        <v>780224500</v>
      </c>
      <c r="H11" s="64">
        <f>+G11*10%</f>
        <v>78022450</v>
      </c>
      <c r="I11" s="64">
        <f>SUM(G11:H11)</f>
        <v>858246950</v>
      </c>
      <c r="J11" s="63">
        <f t="shared" ref="J11:J50" si="0">+IFERROR(K11/I11,"-")</f>
        <v>0</v>
      </c>
      <c r="K11" s="134">
        <f>+IFERROR(R11+Y11+AF11+AM11+AT11+BA11+BH11+BO11,"-")</f>
        <v>0</v>
      </c>
      <c r="L11" s="134">
        <f>+I11-K11</f>
        <v>858246950</v>
      </c>
      <c r="M11" s="1331"/>
      <c r="N11" s="67"/>
      <c r="O11" s="67"/>
      <c r="P11" s="135"/>
      <c r="Q11" s="66">
        <f>+$I11*지급비율!G20</f>
        <v>0</v>
      </c>
      <c r="R11" s="66"/>
      <c r="S11" s="66">
        <f t="shared" ref="S11:S56" si="1">+Q11-R11</f>
        <v>0</v>
      </c>
      <c r="T11" s="136"/>
      <c r="U11" s="67"/>
      <c r="V11" s="67"/>
      <c r="W11" s="135"/>
      <c r="X11" s="66">
        <f>+$I11*지급비율!N20</f>
        <v>0</v>
      </c>
      <c r="Y11" s="66"/>
      <c r="Z11" s="66">
        <f t="shared" ref="Z11:Z56" si="2">+X11-Y11</f>
        <v>0</v>
      </c>
      <c r="AA11" s="136"/>
      <c r="AB11" s="67">
        <f>+EDATE(AI11,0)</f>
        <v>46020</v>
      </c>
      <c r="AC11" s="67"/>
      <c r="AD11" s="135">
        <f>+IFERROR(AE11/$I11,"-")</f>
        <v>0.5</v>
      </c>
      <c r="AE11" s="66">
        <f>+$I11*지급비율!U20</f>
        <v>429123475</v>
      </c>
      <c r="AF11" s="66"/>
      <c r="AG11" s="66">
        <f t="shared" ref="AG11:AG50" si="3">+AE11-AF11</f>
        <v>429123475</v>
      </c>
      <c r="AH11" s="136"/>
      <c r="AI11" s="67">
        <f>+EDATE(AP11,-1)</f>
        <v>46020</v>
      </c>
      <c r="AJ11" s="67"/>
      <c r="AK11" s="135">
        <f t="shared" ref="AK11:AK50" si="4">+IFERROR(AL11/$I11,"-")</f>
        <v>0</v>
      </c>
      <c r="AL11" s="66">
        <f>+$I11*지급비율!AB20</f>
        <v>0</v>
      </c>
      <c r="AM11" s="66"/>
      <c r="AN11" s="66">
        <f t="shared" ref="AN11:AN50" si="5">+AL11-AM11</f>
        <v>0</v>
      </c>
      <c r="AO11" s="136"/>
      <c r="AP11" s="67">
        <f>+EDATE(AW11,-1)+1</f>
        <v>46051</v>
      </c>
      <c r="AQ11" s="67"/>
      <c r="AR11" s="135">
        <f>+IFERROR(AS11/$I11,"-")</f>
        <v>0</v>
      </c>
      <c r="AS11" s="66">
        <f>+$I11*지급비율!AI20</f>
        <v>0</v>
      </c>
      <c r="AT11" s="66"/>
      <c r="AU11" s="66">
        <f t="shared" ref="AU11:AU50" si="6">+AS11-AT11</f>
        <v>0</v>
      </c>
      <c r="AV11" s="136"/>
      <c r="AW11" s="67">
        <f>+EDATE(BD11,-1)</f>
        <v>46081</v>
      </c>
      <c r="AX11" s="67"/>
      <c r="AY11" s="135">
        <f>+IFERROR(AZ11/$I11,"-")</f>
        <v>0</v>
      </c>
      <c r="AZ11" s="66">
        <f>+$I11*지급비율!AP20</f>
        <v>0</v>
      </c>
      <c r="BA11" s="66"/>
      <c r="BB11" s="66">
        <f t="shared" ref="BB11:BB50" si="7">+AZ11-BA11</f>
        <v>0</v>
      </c>
      <c r="BC11" s="136"/>
      <c r="BD11" s="67">
        <f>+EDATE(BK11,-1)</f>
        <v>46111</v>
      </c>
      <c r="BE11" s="67"/>
      <c r="BF11" s="135">
        <f>+IFERROR(BG11/$I11,"-")</f>
        <v>0.4</v>
      </c>
      <c r="BG11" s="66">
        <f>+$I11*지급비율!AW20</f>
        <v>343298780</v>
      </c>
      <c r="BH11" s="66"/>
      <c r="BI11" s="66">
        <f t="shared" ref="BI11:BI50" si="8">+BG11-BH11</f>
        <v>343298780</v>
      </c>
      <c r="BJ11" s="136"/>
      <c r="BK11" s="138">
        <v>46142</v>
      </c>
      <c r="BL11" s="67"/>
      <c r="BM11" s="135">
        <f t="shared" ref="BM11:BM50" si="9">+IFERROR(BN11/$I11,"-")</f>
        <v>0.1</v>
      </c>
      <c r="BN11" s="66">
        <f>+$I11*지급비율!BD20</f>
        <v>85824695</v>
      </c>
      <c r="BO11" s="66"/>
      <c r="BP11" s="66">
        <f t="shared" ref="BP11:BP50" si="10">+BN11-BO11</f>
        <v>85824695</v>
      </c>
      <c r="BQ11" s="136"/>
      <c r="BR11" s="73"/>
      <c r="BS11" s="74" t="b">
        <f>+Q11+X11+AE11+AS11+AZ11+BG11+BN11=I11</f>
        <v>1</v>
      </c>
      <c r="BT11" s="74" t="b">
        <f>+R11+Y11+AF11+AT11+BA11+BH11+BO11=K11</f>
        <v>1</v>
      </c>
      <c r="BU11" s="74"/>
      <c r="BV11" s="54"/>
      <c r="BW11" s="54"/>
      <c r="BX11" s="54"/>
      <c r="BY11" s="54"/>
      <c r="BZ11" s="54"/>
      <c r="CA11" s="54"/>
      <c r="CB11" s="54"/>
      <c r="CC11" s="54"/>
      <c r="CD11" s="58"/>
      <c r="CE11" s="58"/>
    </row>
    <row r="12" spans="1:83" ht="16.5" customHeight="1">
      <c r="A12" s="62"/>
      <c r="B12" s="1322"/>
      <c r="C12" s="1531"/>
      <c r="D12" s="1344"/>
      <c r="E12" s="1324"/>
      <c r="F12" s="75" t="s">
        <v>389</v>
      </c>
      <c r="G12" s="76">
        <f>+지급비율!F21*$D$11/1000</f>
        <v>212788500</v>
      </c>
      <c r="H12" s="76">
        <f>+G12*10%</f>
        <v>21278850</v>
      </c>
      <c r="I12" s="76">
        <f>SUM(G12:H12)</f>
        <v>234067350</v>
      </c>
      <c r="J12" s="75">
        <f t="shared" si="0"/>
        <v>0.4</v>
      </c>
      <c r="K12" s="80">
        <f>+IFERROR(R12+Y12+AF12+AM12+AT12+BA12+BH12+BO12,"-")</f>
        <v>93626940</v>
      </c>
      <c r="L12" s="80">
        <f>+I12-K12</f>
        <v>140440410</v>
      </c>
      <c r="M12" s="1332"/>
      <c r="N12" s="72">
        <v>45808</v>
      </c>
      <c r="O12" s="72">
        <v>45791</v>
      </c>
      <c r="P12" s="79">
        <f>+IFERROR(Q12/$I12,"-")</f>
        <v>0.2</v>
      </c>
      <c r="Q12" s="99">
        <f>+$I12*지급비율!G21</f>
        <v>46813470</v>
      </c>
      <c r="R12" s="99">
        <f>10000000+36813470</f>
        <v>46813470</v>
      </c>
      <c r="S12" s="99">
        <f t="shared" si="1"/>
        <v>0</v>
      </c>
      <c r="T12" s="137"/>
      <c r="U12" s="78">
        <v>45930</v>
      </c>
      <c r="V12" s="78">
        <v>45898</v>
      </c>
      <c r="W12" s="79">
        <f>+IFERROR(X12/$I12,"-")</f>
        <v>0.2</v>
      </c>
      <c r="X12" s="70">
        <f>+$I12*지급비율!N21</f>
        <v>46813470</v>
      </c>
      <c r="Y12" s="70">
        <v>46813470</v>
      </c>
      <c r="Z12" s="70">
        <f t="shared" si="2"/>
        <v>0</v>
      </c>
      <c r="AA12" s="81"/>
      <c r="AB12" s="152">
        <v>45991</v>
      </c>
      <c r="AC12" s="152"/>
      <c r="AD12" s="117">
        <f>+IFERROR(AE12/$I12,"-")</f>
        <v>0.5</v>
      </c>
      <c r="AE12" s="289">
        <f>+$I12*지급비율!U21</f>
        <v>117033675</v>
      </c>
      <c r="AF12" s="289"/>
      <c r="AG12" s="289">
        <f t="shared" si="3"/>
        <v>117033675</v>
      </c>
      <c r="AH12" s="118"/>
      <c r="AI12" s="78"/>
      <c r="AJ12" s="72"/>
      <c r="AK12" s="79">
        <f t="shared" si="4"/>
        <v>0</v>
      </c>
      <c r="AL12" s="99">
        <f>+$I12*지급비율!AB21</f>
        <v>0</v>
      </c>
      <c r="AM12" s="99"/>
      <c r="AN12" s="99">
        <f t="shared" si="5"/>
        <v>0</v>
      </c>
      <c r="AO12" s="137"/>
      <c r="AP12" s="78"/>
      <c r="AQ12" s="72"/>
      <c r="AR12" s="79"/>
      <c r="AS12" s="99">
        <f>+$I12*지급비율!AI21</f>
        <v>0</v>
      </c>
      <c r="AT12" s="99"/>
      <c r="AU12" s="99">
        <f t="shared" si="6"/>
        <v>0</v>
      </c>
      <c r="AV12" s="137"/>
      <c r="AW12" s="78"/>
      <c r="AX12" s="72"/>
      <c r="AY12" s="79"/>
      <c r="AZ12" s="99">
        <f>+$I12*지급비율!AP21</f>
        <v>0</v>
      </c>
      <c r="BA12" s="99"/>
      <c r="BB12" s="99">
        <f t="shared" si="7"/>
        <v>0</v>
      </c>
      <c r="BC12" s="137"/>
      <c r="BD12" s="78"/>
      <c r="BE12" s="72"/>
      <c r="BF12" s="79"/>
      <c r="BG12" s="99">
        <f>+$I12*지급비율!AW21</f>
        <v>0</v>
      </c>
      <c r="BH12" s="99"/>
      <c r="BI12" s="99">
        <f t="shared" si="8"/>
        <v>0</v>
      </c>
      <c r="BJ12" s="137"/>
      <c r="BK12" s="138">
        <v>46142</v>
      </c>
      <c r="BL12" s="72"/>
      <c r="BM12" s="79">
        <f t="shared" si="9"/>
        <v>0.1</v>
      </c>
      <c r="BN12" s="99">
        <f>+$I12*지급비율!BD21</f>
        <v>23406735</v>
      </c>
      <c r="BO12" s="99"/>
      <c r="BP12" s="99">
        <f t="shared" si="10"/>
        <v>23406735</v>
      </c>
      <c r="BQ12" s="137"/>
      <c r="BR12" s="73"/>
      <c r="BS12" s="74" t="b">
        <f>+Q12+X12+AE12+AS12+AZ12+BG12+BN12=I12</f>
        <v>1</v>
      </c>
      <c r="BT12" s="74" t="b">
        <f>+R12+Y12+AF12+AT12+BA12+BH12+BO12=K12</f>
        <v>1</v>
      </c>
      <c r="BU12" s="74" t="b">
        <f>+BG12+BG13+AZ12+AZ13+AS12+AS13+AE12+AE13+X12+X13+Q12+Q13+BN12+BN13=([5]지급비율!$F$21+[5]지급비율!$F$22)*1.1*D11/1000</f>
        <v>1</v>
      </c>
      <c r="BV12" s="54"/>
      <c r="BW12" s="54"/>
      <c r="BX12" s="54"/>
      <c r="BY12" s="54"/>
      <c r="BZ12" s="54"/>
      <c r="CA12" s="54"/>
      <c r="CB12" s="54"/>
      <c r="CC12" s="54"/>
      <c r="CD12" s="58"/>
      <c r="CE12" s="58"/>
    </row>
    <row r="13" spans="1:83" ht="16.5" customHeight="1">
      <c r="A13" s="62"/>
      <c r="B13" s="1322"/>
      <c r="C13" s="1531"/>
      <c r="D13" s="1344"/>
      <c r="E13" s="1324"/>
      <c r="F13" s="75" t="s">
        <v>390</v>
      </c>
      <c r="G13" s="76">
        <f>+지급비율!F22*$D$11/1000</f>
        <v>141859000</v>
      </c>
      <c r="H13" s="76">
        <f>+G13*10%</f>
        <v>14185900</v>
      </c>
      <c r="I13" s="76">
        <f>SUM(G13:H13)</f>
        <v>156044900</v>
      </c>
      <c r="J13" s="75">
        <f t="shared" si="0"/>
        <v>0.4</v>
      </c>
      <c r="K13" s="80">
        <f>+IFERROR(R13+Y13+AF13+AM13+AT13+BA13+BH13+BO13,"-")</f>
        <v>62417960</v>
      </c>
      <c r="L13" s="80">
        <f>+I13-K13</f>
        <v>93626940</v>
      </c>
      <c r="M13" s="1332"/>
      <c r="N13" s="72">
        <v>45808</v>
      </c>
      <c r="O13" s="72">
        <v>45791</v>
      </c>
      <c r="P13" s="79">
        <f>+IFERROR(Q13/$I13,"-")</f>
        <v>0.2</v>
      </c>
      <c r="Q13" s="99">
        <f>+$I13*지급비율!G22</f>
        <v>31208980</v>
      </c>
      <c r="R13" s="99">
        <v>31208980</v>
      </c>
      <c r="S13" s="99">
        <f t="shared" si="1"/>
        <v>0</v>
      </c>
      <c r="T13" s="137"/>
      <c r="U13" s="78">
        <v>45930</v>
      </c>
      <c r="V13" s="78">
        <v>45898</v>
      </c>
      <c r="W13" s="79">
        <f>+IFERROR(X13/$I13,"-")</f>
        <v>0.2</v>
      </c>
      <c r="X13" s="70">
        <f>+$I13*지급비율!N22</f>
        <v>31208980</v>
      </c>
      <c r="Y13" s="70">
        <v>31208980</v>
      </c>
      <c r="Z13" s="70">
        <f t="shared" si="2"/>
        <v>0</v>
      </c>
      <c r="AA13" s="81"/>
      <c r="AB13" s="152">
        <v>45991</v>
      </c>
      <c r="AC13" s="152"/>
      <c r="AD13" s="117">
        <f>+IFERROR(AE13/$I13,"-")</f>
        <v>0.5</v>
      </c>
      <c r="AE13" s="289">
        <f>+$I13*지급비율!U22</f>
        <v>78022450</v>
      </c>
      <c r="AF13" s="289"/>
      <c r="AG13" s="289">
        <f t="shared" si="3"/>
        <v>78022450</v>
      </c>
      <c r="AH13" s="118"/>
      <c r="AI13" s="72"/>
      <c r="AJ13" s="72"/>
      <c r="AK13" s="79">
        <f t="shared" si="4"/>
        <v>0</v>
      </c>
      <c r="AL13" s="99">
        <f>+$I13*지급비율!AB22</f>
        <v>0</v>
      </c>
      <c r="AM13" s="99"/>
      <c r="AN13" s="99">
        <f t="shared" si="5"/>
        <v>0</v>
      </c>
      <c r="AO13" s="137"/>
      <c r="AP13" s="72"/>
      <c r="AQ13" s="72"/>
      <c r="AR13" s="79"/>
      <c r="AS13" s="99">
        <f>+$I13*지급비율!AI22</f>
        <v>0</v>
      </c>
      <c r="AT13" s="99"/>
      <c r="AU13" s="99">
        <f t="shared" si="6"/>
        <v>0</v>
      </c>
      <c r="AV13" s="137"/>
      <c r="AW13" s="72"/>
      <c r="AX13" s="72"/>
      <c r="AY13" s="79"/>
      <c r="AZ13" s="99">
        <f>+$I13*지급비율!AP22</f>
        <v>0</v>
      </c>
      <c r="BA13" s="99"/>
      <c r="BB13" s="99">
        <f t="shared" si="7"/>
        <v>0</v>
      </c>
      <c r="BC13" s="137"/>
      <c r="BD13" s="72"/>
      <c r="BE13" s="72"/>
      <c r="BF13" s="79"/>
      <c r="BG13" s="99">
        <f>+$I13*지급비율!AW22</f>
        <v>0</v>
      </c>
      <c r="BH13" s="99"/>
      <c r="BI13" s="99">
        <f t="shared" si="8"/>
        <v>0</v>
      </c>
      <c r="BJ13" s="137"/>
      <c r="BK13" s="138">
        <v>46142</v>
      </c>
      <c r="BL13" s="72"/>
      <c r="BM13" s="79">
        <f t="shared" si="9"/>
        <v>0.1</v>
      </c>
      <c r="BN13" s="99">
        <f>+$I13*지급비율!BD22</f>
        <v>15604490</v>
      </c>
      <c r="BO13" s="99"/>
      <c r="BP13" s="99">
        <f t="shared" si="10"/>
        <v>15604490</v>
      </c>
      <c r="BQ13" s="137"/>
      <c r="BR13" s="73"/>
      <c r="BS13" s="74" t="b">
        <f>+Q13+X13+AE13+AS13+AZ13+BG13+BN13=I13</f>
        <v>1</v>
      </c>
      <c r="BT13" s="74" t="b">
        <f>+R13+Y13+AF13+AT13+BA13+BH13+BO13=K13</f>
        <v>1</v>
      </c>
      <c r="BU13" s="74"/>
      <c r="BV13" s="54"/>
      <c r="BW13" s="54"/>
      <c r="BX13" s="54"/>
      <c r="BY13" s="54"/>
      <c r="BZ13" s="54"/>
      <c r="CA13" s="54"/>
      <c r="CB13" s="54"/>
      <c r="CC13" s="54"/>
      <c r="CD13" s="58"/>
      <c r="CE13" s="58"/>
    </row>
    <row r="14" spans="1:83" ht="16.5" customHeight="1">
      <c r="A14" s="62"/>
      <c r="B14" s="1322"/>
      <c r="C14" s="1531"/>
      <c r="D14" s="1344"/>
      <c r="E14" s="1324"/>
      <c r="F14" s="101" t="s">
        <v>391</v>
      </c>
      <c r="G14" s="102">
        <f>+지급비율!F23*$D$11/1000</f>
        <v>141859000</v>
      </c>
      <c r="H14" s="102">
        <f>+G14*0.1</f>
        <v>14185900</v>
      </c>
      <c r="I14" s="102">
        <f>SUM(G14:H14)</f>
        <v>156044900</v>
      </c>
      <c r="J14" s="101">
        <f t="shared" si="0"/>
        <v>0</v>
      </c>
      <c r="K14" s="106">
        <f>+IFERROR(R14+Y14+AF14+AM14+AT14+BA14+BH14+BO14,"-")</f>
        <v>0</v>
      </c>
      <c r="L14" s="106">
        <f>+I14-K14</f>
        <v>156044900</v>
      </c>
      <c r="M14" s="1333"/>
      <c r="N14" s="104"/>
      <c r="O14" s="101"/>
      <c r="P14" s="105"/>
      <c r="Q14" s="103">
        <f>+$I14*지급비율!G23</f>
        <v>0</v>
      </c>
      <c r="R14" s="103"/>
      <c r="S14" s="103">
        <f t="shared" si="1"/>
        <v>0</v>
      </c>
      <c r="T14" s="101"/>
      <c r="U14" s="85"/>
      <c r="V14" s="101"/>
      <c r="W14" s="105"/>
      <c r="X14" s="103">
        <f>+$I14*지급비율!N23</f>
        <v>0</v>
      </c>
      <c r="Y14" s="103"/>
      <c r="Z14" s="103">
        <f t="shared" si="2"/>
        <v>0</v>
      </c>
      <c r="AA14" s="101"/>
      <c r="AB14" s="85"/>
      <c r="AC14" s="101"/>
      <c r="AD14" s="105"/>
      <c r="AE14" s="103">
        <f>+$I14*지급비율!U23</f>
        <v>0</v>
      </c>
      <c r="AF14" s="103"/>
      <c r="AG14" s="103">
        <f t="shared" si="3"/>
        <v>0</v>
      </c>
      <c r="AH14" s="101"/>
      <c r="AI14" s="85"/>
      <c r="AJ14" s="101"/>
      <c r="AK14" s="105">
        <f t="shared" si="4"/>
        <v>0</v>
      </c>
      <c r="AL14" s="103">
        <f>+$I14*지급비율!AB23</f>
        <v>0</v>
      </c>
      <c r="AM14" s="103"/>
      <c r="AN14" s="103">
        <f t="shared" si="5"/>
        <v>0</v>
      </c>
      <c r="AO14" s="101"/>
      <c r="AP14" s="85"/>
      <c r="AQ14" s="101"/>
      <c r="AR14" s="105"/>
      <c r="AS14" s="103">
        <f>+$I14*지급비율!AI23</f>
        <v>0</v>
      </c>
      <c r="AT14" s="103"/>
      <c r="AU14" s="103">
        <f t="shared" si="6"/>
        <v>0</v>
      </c>
      <c r="AV14" s="101"/>
      <c r="AW14" s="85"/>
      <c r="AX14" s="101"/>
      <c r="AY14" s="105"/>
      <c r="AZ14" s="103">
        <f>+$I14*지급비율!AP23</f>
        <v>0</v>
      </c>
      <c r="BA14" s="103"/>
      <c r="BB14" s="103">
        <f t="shared" si="7"/>
        <v>0</v>
      </c>
      <c r="BC14" s="101"/>
      <c r="BD14" s="85"/>
      <c r="BE14" s="101"/>
      <c r="BF14" s="105"/>
      <c r="BG14" s="103">
        <f>+$I14*지급비율!AW23</f>
        <v>0</v>
      </c>
      <c r="BH14" s="103"/>
      <c r="BI14" s="103">
        <f t="shared" si="8"/>
        <v>0</v>
      </c>
      <c r="BJ14" s="101"/>
      <c r="BK14" s="138">
        <v>46142</v>
      </c>
      <c r="BL14" s="101"/>
      <c r="BM14" s="105">
        <f t="shared" si="9"/>
        <v>1</v>
      </c>
      <c r="BN14" s="103">
        <f>+$I14*지급비율!BD23</f>
        <v>156044900</v>
      </c>
      <c r="BO14" s="103"/>
      <c r="BP14" s="103">
        <f t="shared" si="10"/>
        <v>156044900</v>
      </c>
      <c r="BQ14" s="101"/>
      <c r="BR14" s="88"/>
      <c r="BS14" s="89" t="b">
        <f>+Q14+X14+AE14+AS14+AZ14+BG14+BN14=I14</f>
        <v>1</v>
      </c>
      <c r="BT14" s="90" t="b">
        <f>+R14+Y14+AF14+AT14+BA14+BH14+BO14=K14</f>
        <v>1</v>
      </c>
      <c r="BU14" s="90"/>
      <c r="BV14" s="54"/>
      <c r="BW14" s="54"/>
      <c r="BX14" s="54"/>
      <c r="BY14" s="54"/>
      <c r="BZ14" s="54"/>
      <c r="CA14" s="54"/>
      <c r="CB14" s="54"/>
      <c r="CC14" s="54"/>
      <c r="CD14" s="58"/>
      <c r="CE14" s="58"/>
    </row>
    <row r="15" spans="1:83" ht="16.5" customHeight="1">
      <c r="A15" s="62"/>
      <c r="B15" s="1322"/>
      <c r="C15" s="1531"/>
      <c r="D15" s="1345"/>
      <c r="E15" s="1324"/>
      <c r="F15" s="91" t="s">
        <v>392</v>
      </c>
      <c r="G15" s="92">
        <f>SUM(G11:G14)</f>
        <v>1276731000</v>
      </c>
      <c r="H15" s="92">
        <f>SUM(H11:H14)</f>
        <v>127673100</v>
      </c>
      <c r="I15" s="92">
        <f>SUM(I11:I14)</f>
        <v>1404404100</v>
      </c>
      <c r="J15" s="91">
        <f t="shared" si="0"/>
        <v>0.1111111111111111</v>
      </c>
      <c r="K15" s="92">
        <f>SUM(K11:K14)</f>
        <v>156044900</v>
      </c>
      <c r="L15" s="92">
        <f>SUM(L11:L14)</f>
        <v>1248359200</v>
      </c>
      <c r="M15" s="419"/>
      <c r="N15" s="93"/>
      <c r="O15" s="91"/>
      <c r="P15" s="94">
        <f>+IFERROR(Q15/$I15,"-")</f>
        <v>5.5555555555555552E-2</v>
      </c>
      <c r="Q15" s="92">
        <f>SUM(Q11:Q14)</f>
        <v>78022450</v>
      </c>
      <c r="R15" s="170">
        <f>SUM(R11:R14)</f>
        <v>78022450</v>
      </c>
      <c r="S15" s="92">
        <f t="shared" si="1"/>
        <v>0</v>
      </c>
      <c r="T15" s="91"/>
      <c r="U15" s="93"/>
      <c r="V15" s="91"/>
      <c r="W15" s="94">
        <f>+IFERROR(X15/$I15,"-")</f>
        <v>5.5555555555555552E-2</v>
      </c>
      <c r="X15" s="92">
        <f>SUM(X11:X14)</f>
        <v>78022450</v>
      </c>
      <c r="Y15" s="170">
        <f>SUM(Y11:Y14)</f>
        <v>78022450</v>
      </c>
      <c r="Z15" s="92">
        <f t="shared" si="2"/>
        <v>0</v>
      </c>
      <c r="AA15" s="91"/>
      <c r="AB15" s="93"/>
      <c r="AC15" s="91"/>
      <c r="AD15" s="94">
        <f>+IFERROR(AE15/$I15,"-")</f>
        <v>0.44444444444444442</v>
      </c>
      <c r="AE15" s="92">
        <f>SUM(AE11:AE14)</f>
        <v>624179600</v>
      </c>
      <c r="AF15" s="92">
        <f>SUM(AF11:AF14)</f>
        <v>0</v>
      </c>
      <c r="AG15" s="92">
        <f t="shared" si="3"/>
        <v>624179600</v>
      </c>
      <c r="AH15" s="91"/>
      <c r="AI15" s="93"/>
      <c r="AJ15" s="91"/>
      <c r="AK15" s="94">
        <f t="shared" si="4"/>
        <v>0</v>
      </c>
      <c r="AL15" s="92">
        <f>SUM(AL11:AL14)</f>
        <v>0</v>
      </c>
      <c r="AM15" s="92">
        <f>SUM(AM11:AM14)</f>
        <v>0</v>
      </c>
      <c r="AN15" s="92">
        <f t="shared" si="5"/>
        <v>0</v>
      </c>
      <c r="AO15" s="91"/>
      <c r="AP15" s="93"/>
      <c r="AQ15" s="91"/>
      <c r="AR15" s="94">
        <f>+IFERROR(AS15/$I15,"-")</f>
        <v>0</v>
      </c>
      <c r="AS15" s="92">
        <f>SUM(AS11:AS14)</f>
        <v>0</v>
      </c>
      <c r="AT15" s="92">
        <f>SUM(AT11:AT14)</f>
        <v>0</v>
      </c>
      <c r="AU15" s="92">
        <f t="shared" si="6"/>
        <v>0</v>
      </c>
      <c r="AV15" s="91"/>
      <c r="AW15" s="93"/>
      <c r="AX15" s="91"/>
      <c r="AY15" s="94">
        <f>+IFERROR(AZ15/$I15,"-")</f>
        <v>0</v>
      </c>
      <c r="AZ15" s="92">
        <f>SUM(AZ11:AZ14)</f>
        <v>0</v>
      </c>
      <c r="BA15" s="92">
        <f>SUM(BA11:BA14)</f>
        <v>0</v>
      </c>
      <c r="BB15" s="92">
        <f t="shared" si="7"/>
        <v>0</v>
      </c>
      <c r="BC15" s="91"/>
      <c r="BD15" s="93"/>
      <c r="BE15" s="91"/>
      <c r="BF15" s="94">
        <f>+IFERROR(BG15/$I15,"-")</f>
        <v>0.24444444444444444</v>
      </c>
      <c r="BG15" s="92">
        <f>SUM(BG11:BG14)</f>
        <v>343298780</v>
      </c>
      <c r="BH15" s="92">
        <f>SUM(BH11:BH14)</f>
        <v>0</v>
      </c>
      <c r="BI15" s="92">
        <f t="shared" si="8"/>
        <v>343298780</v>
      </c>
      <c r="BJ15" s="91"/>
      <c r="BK15" s="93"/>
      <c r="BL15" s="91"/>
      <c r="BM15" s="94">
        <f t="shared" si="9"/>
        <v>0.2</v>
      </c>
      <c r="BN15" s="92">
        <f>SUM(BN11:BN14)</f>
        <v>280880820</v>
      </c>
      <c r="BO15" s="92">
        <f>SUM(BO11:BO14)</f>
        <v>0</v>
      </c>
      <c r="BP15" s="92">
        <f t="shared" si="10"/>
        <v>280880820</v>
      </c>
      <c r="BQ15" s="91"/>
      <c r="BR15" s="88"/>
      <c r="BS15" s="96"/>
      <c r="BT15" s="96"/>
      <c r="BU15" s="139"/>
      <c r="BV15" s="54"/>
      <c r="BW15" s="54"/>
      <c r="BX15" s="54"/>
      <c r="BY15" s="54"/>
      <c r="BZ15" s="54"/>
      <c r="CA15" s="54"/>
      <c r="CB15" s="54"/>
      <c r="CC15" s="54"/>
      <c r="CD15" s="58"/>
      <c r="CE15" s="58"/>
    </row>
    <row r="16" spans="1:83" ht="16.5" customHeight="1">
      <c r="A16" s="62"/>
      <c r="B16" s="1322">
        <f>+B11+1</f>
        <v>2</v>
      </c>
      <c r="C16" s="1531" t="s">
        <v>889</v>
      </c>
      <c r="D16" s="1343">
        <v>522.60500000000002</v>
      </c>
      <c r="E16" s="1324" t="s">
        <v>888</v>
      </c>
      <c r="F16" s="63" t="s">
        <v>388</v>
      </c>
      <c r="G16" s="64">
        <f>+지급비율!F20*$D$16/1000</f>
        <v>574865500</v>
      </c>
      <c r="H16" s="64">
        <f>+G16*10%</f>
        <v>57486550</v>
      </c>
      <c r="I16" s="64">
        <f>SUM(G16:H16)</f>
        <v>632352050</v>
      </c>
      <c r="J16" s="63">
        <f t="shared" si="0"/>
        <v>1.7395373352549423E-3</v>
      </c>
      <c r="K16" s="134">
        <f>+IFERROR(R16+Y16+AF16+AM16+AT16+BA16+BH16+BO16,"-")</f>
        <v>1100000</v>
      </c>
      <c r="L16" s="134">
        <f>+I16-K16</f>
        <v>631252050</v>
      </c>
      <c r="M16" s="1331"/>
      <c r="N16" s="67"/>
      <c r="O16" s="67"/>
      <c r="P16" s="135"/>
      <c r="Q16" s="66">
        <f>+$I16*지급비율!G20</f>
        <v>0</v>
      </c>
      <c r="R16" s="66"/>
      <c r="S16" s="66">
        <f t="shared" si="1"/>
        <v>0</v>
      </c>
      <c r="T16" s="136"/>
      <c r="U16" s="67"/>
      <c r="V16" s="67">
        <v>45945</v>
      </c>
      <c r="W16" s="135"/>
      <c r="X16" s="66">
        <f>+$I16*지급비율!N20</f>
        <v>0</v>
      </c>
      <c r="Y16" s="66">
        <v>1100000</v>
      </c>
      <c r="Z16" s="66">
        <f t="shared" si="2"/>
        <v>-1100000</v>
      </c>
      <c r="AA16" s="1052" t="s">
        <v>890</v>
      </c>
      <c r="AB16" s="67">
        <f>+EDATE(AI16,1)</f>
        <v>46020</v>
      </c>
      <c r="AC16" s="67"/>
      <c r="AD16" s="135">
        <f>+IFERROR(AE16/$I16,"-")</f>
        <v>0.5</v>
      </c>
      <c r="AE16" s="66">
        <f>+$I16*지급비율!U20</f>
        <v>316176025</v>
      </c>
      <c r="AF16" s="66"/>
      <c r="AG16" s="66">
        <f t="shared" si="3"/>
        <v>316176025</v>
      </c>
      <c r="AH16" s="136"/>
      <c r="AI16" s="67">
        <f>+EDATE(AP16,-1)</f>
        <v>45990</v>
      </c>
      <c r="AJ16" s="67"/>
      <c r="AK16" s="135">
        <f t="shared" si="4"/>
        <v>0</v>
      </c>
      <c r="AL16" s="66">
        <f>+$I16*지급비율!AB20</f>
        <v>0</v>
      </c>
      <c r="AM16" s="66"/>
      <c r="AN16" s="66">
        <f t="shared" si="5"/>
        <v>0</v>
      </c>
      <c r="AO16" s="136"/>
      <c r="AP16" s="67">
        <f>+EDATE(AW16,-1)+1</f>
        <v>46020</v>
      </c>
      <c r="AQ16" s="67"/>
      <c r="AR16" s="135">
        <f>+IFERROR(AS16/$I16,"-")</f>
        <v>0</v>
      </c>
      <c r="AS16" s="66">
        <f>+$I16*지급비율!AI20</f>
        <v>0</v>
      </c>
      <c r="AT16" s="66"/>
      <c r="AU16" s="66">
        <f t="shared" si="6"/>
        <v>0</v>
      </c>
      <c r="AV16" s="136"/>
      <c r="AW16" s="67">
        <f>+EDATE(BD16,-1)</f>
        <v>46050</v>
      </c>
      <c r="AX16" s="67"/>
      <c r="AY16" s="135">
        <f>+IFERROR(AZ16/$I16,"-")</f>
        <v>0</v>
      </c>
      <c r="AZ16" s="66">
        <f>+$I16*지급비율!AP20</f>
        <v>0</v>
      </c>
      <c r="BA16" s="66"/>
      <c r="BB16" s="66">
        <f t="shared" si="7"/>
        <v>0</v>
      </c>
      <c r="BC16" s="136"/>
      <c r="BD16" s="67">
        <f>+EDATE(BK16,-1)</f>
        <v>46081</v>
      </c>
      <c r="BE16" s="67"/>
      <c r="BF16" s="135">
        <f>+IFERROR(BG16/$I16,"-")</f>
        <v>0.4</v>
      </c>
      <c r="BG16" s="66">
        <f>+$I16*지급비율!AW20</f>
        <v>252940820</v>
      </c>
      <c r="BH16" s="66"/>
      <c r="BI16" s="66">
        <f t="shared" si="8"/>
        <v>252940820</v>
      </c>
      <c r="BJ16" s="136"/>
      <c r="BK16" s="67">
        <v>46112</v>
      </c>
      <c r="BL16" s="67"/>
      <c r="BM16" s="135">
        <f t="shared" si="9"/>
        <v>0.1</v>
      </c>
      <c r="BN16" s="66">
        <f>+$I16*지급비율!BD20</f>
        <v>63235205</v>
      </c>
      <c r="BO16" s="66"/>
      <c r="BP16" s="66">
        <f t="shared" si="10"/>
        <v>63235205</v>
      </c>
      <c r="BQ16" s="136"/>
      <c r="BR16" s="73"/>
      <c r="BS16" s="74" t="b">
        <f>+Q16+X16+AE16+AS16+AZ16+BG16+BN16=I16</f>
        <v>1</v>
      </c>
      <c r="BT16" s="74" t="b">
        <f>+R16+Y16+AF16+AT16+BA16+BH16+BO16=K16</f>
        <v>1</v>
      </c>
      <c r="BU16" s="74"/>
      <c r="BV16" s="54"/>
      <c r="BW16" s="54"/>
      <c r="BX16" s="54"/>
      <c r="BY16" s="54"/>
      <c r="BZ16" s="54"/>
      <c r="CA16" s="54"/>
      <c r="CB16" s="54"/>
      <c r="CC16" s="54"/>
      <c r="CD16" s="58"/>
      <c r="CE16" s="58"/>
    </row>
    <row r="17" spans="1:83" ht="16.5" customHeight="1">
      <c r="A17" s="62"/>
      <c r="B17" s="1322"/>
      <c r="C17" s="1531"/>
      <c r="D17" s="1344"/>
      <c r="E17" s="1324"/>
      <c r="F17" s="75" t="s">
        <v>389</v>
      </c>
      <c r="G17" s="76">
        <f>+지급비율!F21*$D$16/1000</f>
        <v>156781500</v>
      </c>
      <c r="H17" s="76">
        <f>+G17*10%</f>
        <v>15678150</v>
      </c>
      <c r="I17" s="76">
        <f>SUM(G17:H17)</f>
        <v>172459650</v>
      </c>
      <c r="J17" s="75">
        <f t="shared" si="0"/>
        <v>0.9</v>
      </c>
      <c r="K17" s="80">
        <f>+IFERROR(R17+Y17+AF17+AM17+AT17+BA17+BH17+BO17,"-")</f>
        <v>155213685</v>
      </c>
      <c r="L17" s="80">
        <f>+I17-K17</f>
        <v>17245965</v>
      </c>
      <c r="M17" s="1332"/>
      <c r="N17" s="72">
        <f>+O17</f>
        <v>45754</v>
      </c>
      <c r="O17" s="78">
        <v>45754</v>
      </c>
      <c r="P17" s="79">
        <f>+IFERROR(Q17/$I17,"-")</f>
        <v>0.2</v>
      </c>
      <c r="Q17" s="99">
        <f>+$I17*지급비율!G21</f>
        <v>34491930</v>
      </c>
      <c r="R17" s="99">
        <v>34491930</v>
      </c>
      <c r="S17" s="99">
        <f t="shared" si="1"/>
        <v>0</v>
      </c>
      <c r="T17" s="137"/>
      <c r="U17" s="78">
        <v>45855</v>
      </c>
      <c r="V17" s="78">
        <v>45867</v>
      </c>
      <c r="W17" s="79">
        <f>+IFERROR(X17/$I17,"-")</f>
        <v>0.2</v>
      </c>
      <c r="X17" s="70">
        <f>+$I17*지급비율!N21</f>
        <v>34491930</v>
      </c>
      <c r="Y17" s="70">
        <v>34491930</v>
      </c>
      <c r="Z17" s="70">
        <f t="shared" si="2"/>
        <v>0</v>
      </c>
      <c r="AA17" s="81"/>
      <c r="AB17" s="78">
        <v>45930</v>
      </c>
      <c r="AC17" s="78">
        <v>45898</v>
      </c>
      <c r="AD17" s="79">
        <f>+IFERROR(AE17/$I17,"-")</f>
        <v>0.5</v>
      </c>
      <c r="AE17" s="70">
        <f>+$I17*지급비율!U21</f>
        <v>86229825</v>
      </c>
      <c r="AF17" s="70">
        <v>86229825</v>
      </c>
      <c r="AG17" s="70">
        <f t="shared" si="3"/>
        <v>0</v>
      </c>
      <c r="AH17" s="81"/>
      <c r="AI17" s="78"/>
      <c r="AJ17" s="72"/>
      <c r="AK17" s="79">
        <f t="shared" si="4"/>
        <v>0</v>
      </c>
      <c r="AL17" s="99">
        <f>+$I17*지급비율!AB21</f>
        <v>0</v>
      </c>
      <c r="AM17" s="99"/>
      <c r="AN17" s="99">
        <f t="shared" si="5"/>
        <v>0</v>
      </c>
      <c r="AO17" s="137"/>
      <c r="AP17" s="78"/>
      <c r="AQ17" s="72"/>
      <c r="AR17" s="79"/>
      <c r="AS17" s="99">
        <f>+$I17*지급비율!AI21</f>
        <v>0</v>
      </c>
      <c r="AT17" s="99"/>
      <c r="AU17" s="99">
        <f t="shared" si="6"/>
        <v>0</v>
      </c>
      <c r="AV17" s="137"/>
      <c r="AW17" s="78"/>
      <c r="AX17" s="72"/>
      <c r="AY17" s="79"/>
      <c r="AZ17" s="99">
        <f>+$I17*지급비율!AP21</f>
        <v>0</v>
      </c>
      <c r="BA17" s="99"/>
      <c r="BB17" s="99">
        <f t="shared" si="7"/>
        <v>0</v>
      </c>
      <c r="BC17" s="137"/>
      <c r="BD17" s="78"/>
      <c r="BE17" s="72"/>
      <c r="BF17" s="79"/>
      <c r="BG17" s="99">
        <f>+$I17*지급비율!AW21</f>
        <v>0</v>
      </c>
      <c r="BH17" s="99"/>
      <c r="BI17" s="99">
        <f t="shared" si="8"/>
        <v>0</v>
      </c>
      <c r="BJ17" s="137"/>
      <c r="BK17" s="138">
        <v>46053</v>
      </c>
      <c r="BL17" s="72"/>
      <c r="BM17" s="79">
        <f t="shared" si="9"/>
        <v>0.1</v>
      </c>
      <c r="BN17" s="99">
        <f>+$I17*지급비율!BD21</f>
        <v>17245965</v>
      </c>
      <c r="BO17" s="99"/>
      <c r="BP17" s="99">
        <f t="shared" si="10"/>
        <v>17245965</v>
      </c>
      <c r="BQ17" s="137"/>
      <c r="BR17" s="73"/>
      <c r="BS17" s="74" t="b">
        <f>+Q17+X17+AE17+AS17+AZ17+BG17+BN17=I17</f>
        <v>1</v>
      </c>
      <c r="BT17" s="74" t="b">
        <f>+R17+Y17+AF17+AT17+BA17+BH17+BO17=K17</f>
        <v>1</v>
      </c>
      <c r="BU17" s="74" t="b">
        <f>+BG17+BG18+AZ17+AZ18+AS17+AS18+AE17+AE18+X17+X18+Q17+Q18+BN17+BN18=([5]지급비율!$F$21+[5]지급비율!$F$22)*1.1*D16/1000</f>
        <v>1</v>
      </c>
      <c r="BV17" s="54"/>
      <c r="BW17" s="54"/>
      <c r="BX17" s="54"/>
      <c r="BY17" s="54"/>
      <c r="BZ17" s="54"/>
      <c r="CA17" s="54"/>
      <c r="CB17" s="54"/>
      <c r="CC17" s="54"/>
      <c r="CD17" s="58"/>
      <c r="CE17" s="58"/>
    </row>
    <row r="18" spans="1:83" ht="16.5" customHeight="1">
      <c r="A18" s="62"/>
      <c r="B18" s="1322"/>
      <c r="C18" s="1531"/>
      <c r="D18" s="1344"/>
      <c r="E18" s="1324"/>
      <c r="F18" s="75" t="s">
        <v>390</v>
      </c>
      <c r="G18" s="76">
        <f>+지급비율!F22*$D$16/1000</f>
        <v>104521000</v>
      </c>
      <c r="H18" s="76">
        <f>+G18*10%</f>
        <v>10452100</v>
      </c>
      <c r="I18" s="76">
        <f>SUM(G18:H18)</f>
        <v>114973100</v>
      </c>
      <c r="J18" s="75">
        <f t="shared" si="0"/>
        <v>0.9</v>
      </c>
      <c r="K18" s="80">
        <f>+IFERROR(R18+Y18+AF18+AM18+AT18+BA18+BH18+BO18,"-")</f>
        <v>103475790</v>
      </c>
      <c r="L18" s="80">
        <f>+I18-K18</f>
        <v>11497310</v>
      </c>
      <c r="M18" s="1332"/>
      <c r="N18" s="72">
        <f>+O18</f>
        <v>45754</v>
      </c>
      <c r="O18" s="72">
        <f>O17</f>
        <v>45754</v>
      </c>
      <c r="P18" s="79">
        <f>+IFERROR(Q18/$I18,"-")</f>
        <v>0.2</v>
      </c>
      <c r="Q18" s="99">
        <f>+$I18*지급비율!G22</f>
        <v>22994620</v>
      </c>
      <c r="R18" s="99">
        <v>22994620</v>
      </c>
      <c r="S18" s="99">
        <f t="shared" si="1"/>
        <v>0</v>
      </c>
      <c r="T18" s="137"/>
      <c r="U18" s="78">
        <v>45855</v>
      </c>
      <c r="V18" s="78">
        <v>45867</v>
      </c>
      <c r="W18" s="79">
        <f>+IFERROR(X18/$I18,"-")</f>
        <v>0.2</v>
      </c>
      <c r="X18" s="70">
        <f>+$I18*지급비율!N22</f>
        <v>22994620</v>
      </c>
      <c r="Y18" s="70">
        <v>22994620</v>
      </c>
      <c r="Z18" s="70">
        <f t="shared" si="2"/>
        <v>0</v>
      </c>
      <c r="AA18" s="81"/>
      <c r="AB18" s="78">
        <v>45930</v>
      </c>
      <c r="AC18" s="78">
        <v>45898</v>
      </c>
      <c r="AD18" s="79">
        <f>+IFERROR(AE18/$I18,"-")</f>
        <v>0.5</v>
      </c>
      <c r="AE18" s="70">
        <f>+$I18*지급비율!U22</f>
        <v>57486550</v>
      </c>
      <c r="AF18" s="70">
        <v>57486550</v>
      </c>
      <c r="AG18" s="70">
        <f t="shared" si="3"/>
        <v>0</v>
      </c>
      <c r="AH18" s="81"/>
      <c r="AI18" s="72"/>
      <c r="AJ18" s="72"/>
      <c r="AK18" s="79">
        <f t="shared" si="4"/>
        <v>0</v>
      </c>
      <c r="AL18" s="99">
        <f>+$I18*지급비율!AB22</f>
        <v>0</v>
      </c>
      <c r="AM18" s="99"/>
      <c r="AN18" s="99">
        <f t="shared" si="5"/>
        <v>0</v>
      </c>
      <c r="AO18" s="137"/>
      <c r="AP18" s="72"/>
      <c r="AQ18" s="72"/>
      <c r="AR18" s="79"/>
      <c r="AS18" s="99">
        <f>+$I18*지급비율!AI22</f>
        <v>0</v>
      </c>
      <c r="AT18" s="99"/>
      <c r="AU18" s="99">
        <f t="shared" si="6"/>
        <v>0</v>
      </c>
      <c r="AV18" s="137"/>
      <c r="AW18" s="72"/>
      <c r="AX18" s="72"/>
      <c r="AY18" s="79"/>
      <c r="AZ18" s="99">
        <f>+$I18*지급비율!AP22</f>
        <v>0</v>
      </c>
      <c r="BA18" s="99"/>
      <c r="BB18" s="99">
        <f t="shared" si="7"/>
        <v>0</v>
      </c>
      <c r="BC18" s="137"/>
      <c r="BD18" s="72"/>
      <c r="BE18" s="72"/>
      <c r="BF18" s="79"/>
      <c r="BG18" s="99">
        <f>+$I18*지급비율!AW22</f>
        <v>0</v>
      </c>
      <c r="BH18" s="99"/>
      <c r="BI18" s="99">
        <f t="shared" si="8"/>
        <v>0</v>
      </c>
      <c r="BJ18" s="137"/>
      <c r="BK18" s="72">
        <v>46053</v>
      </c>
      <c r="BL18" s="72"/>
      <c r="BM18" s="79">
        <f t="shared" si="9"/>
        <v>0.1</v>
      </c>
      <c r="BN18" s="99">
        <f>+$I18*지급비율!BD22</f>
        <v>11497310</v>
      </c>
      <c r="BO18" s="99"/>
      <c r="BP18" s="99">
        <f t="shared" si="10"/>
        <v>11497310</v>
      </c>
      <c r="BQ18" s="137"/>
      <c r="BR18" s="73"/>
      <c r="BS18" s="74" t="b">
        <f>+Q18+X18+AE18+AS18+AZ18+BG18+BN18=I18</f>
        <v>1</v>
      </c>
      <c r="BT18" s="74" t="b">
        <f>+R18+Y18+AF18+AT18+BA18+BH18+BO18=K18</f>
        <v>1</v>
      </c>
      <c r="BU18" s="74"/>
      <c r="BV18" s="54"/>
      <c r="BW18" s="54"/>
      <c r="BX18" s="54"/>
      <c r="BY18" s="54"/>
      <c r="BZ18" s="54"/>
      <c r="CA18" s="54"/>
      <c r="CB18" s="54"/>
      <c r="CC18" s="54"/>
      <c r="CD18" s="58"/>
      <c r="CE18" s="58"/>
    </row>
    <row r="19" spans="1:83" ht="16.5" customHeight="1">
      <c r="A19" s="62"/>
      <c r="B19" s="1322"/>
      <c r="C19" s="1531"/>
      <c r="D19" s="1344"/>
      <c r="E19" s="1324"/>
      <c r="F19" s="101" t="s">
        <v>391</v>
      </c>
      <c r="G19" s="102">
        <f>+지급비율!F23*$D$16/1000</f>
        <v>104521000</v>
      </c>
      <c r="H19" s="102">
        <f>+G19*0.1</f>
        <v>10452100</v>
      </c>
      <c r="I19" s="102">
        <f>SUM(G19:H19)</f>
        <v>114973100</v>
      </c>
      <c r="J19" s="101">
        <f t="shared" si="0"/>
        <v>0</v>
      </c>
      <c r="K19" s="106">
        <f>+IFERROR(R19+Y19+AF19+AM19+AT19+BA19+BH19+BO19,"-")</f>
        <v>0</v>
      </c>
      <c r="L19" s="106">
        <f>+I19-K19</f>
        <v>114973100</v>
      </c>
      <c r="M19" s="1333"/>
      <c r="N19" s="104"/>
      <c r="O19" s="101"/>
      <c r="P19" s="105"/>
      <c r="Q19" s="103">
        <f>+$I19*지급비율!G23</f>
        <v>0</v>
      </c>
      <c r="R19" s="103"/>
      <c r="S19" s="103">
        <f t="shared" si="1"/>
        <v>0</v>
      </c>
      <c r="T19" s="101"/>
      <c r="U19" s="85"/>
      <c r="V19" s="101"/>
      <c r="W19" s="105"/>
      <c r="X19" s="103">
        <f>+$I19*지급비율!N23</f>
        <v>0</v>
      </c>
      <c r="Y19" s="103"/>
      <c r="Z19" s="103">
        <f t="shared" si="2"/>
        <v>0</v>
      </c>
      <c r="AA19" s="101"/>
      <c r="AB19" s="85"/>
      <c r="AC19" s="101"/>
      <c r="AD19" s="105"/>
      <c r="AE19" s="103">
        <f>+$I19*지급비율!U23</f>
        <v>0</v>
      </c>
      <c r="AF19" s="103"/>
      <c r="AG19" s="103">
        <f t="shared" si="3"/>
        <v>0</v>
      </c>
      <c r="AH19" s="101"/>
      <c r="AI19" s="85"/>
      <c r="AJ19" s="101"/>
      <c r="AK19" s="105">
        <f t="shared" si="4"/>
        <v>0</v>
      </c>
      <c r="AL19" s="103">
        <f>+$I19*지급비율!AB23</f>
        <v>0</v>
      </c>
      <c r="AM19" s="103"/>
      <c r="AN19" s="103">
        <f t="shared" si="5"/>
        <v>0</v>
      </c>
      <c r="AO19" s="101"/>
      <c r="AP19" s="85"/>
      <c r="AQ19" s="101"/>
      <c r="AR19" s="105"/>
      <c r="AS19" s="103">
        <f>+$I19*지급비율!AI23</f>
        <v>0</v>
      </c>
      <c r="AT19" s="103"/>
      <c r="AU19" s="103">
        <f t="shared" si="6"/>
        <v>0</v>
      </c>
      <c r="AV19" s="101"/>
      <c r="AW19" s="85"/>
      <c r="AX19" s="101"/>
      <c r="AY19" s="105"/>
      <c r="AZ19" s="103">
        <f>+$I19*지급비율!AP23</f>
        <v>0</v>
      </c>
      <c r="BA19" s="103"/>
      <c r="BB19" s="103">
        <f t="shared" si="7"/>
        <v>0</v>
      </c>
      <c r="BC19" s="101"/>
      <c r="BD19" s="85"/>
      <c r="BE19" s="101"/>
      <c r="BF19" s="105"/>
      <c r="BG19" s="103">
        <f>+$I19*지급비율!AW23</f>
        <v>0</v>
      </c>
      <c r="BH19" s="103"/>
      <c r="BI19" s="103">
        <f t="shared" si="8"/>
        <v>0</v>
      </c>
      <c r="BJ19" s="101"/>
      <c r="BK19" s="104">
        <v>46053</v>
      </c>
      <c r="BL19" s="101"/>
      <c r="BM19" s="105">
        <f t="shared" si="9"/>
        <v>1</v>
      </c>
      <c r="BN19" s="103">
        <f>+$I19*지급비율!BD23</f>
        <v>114973100</v>
      </c>
      <c r="BO19" s="103"/>
      <c r="BP19" s="103">
        <f t="shared" si="10"/>
        <v>114973100</v>
      </c>
      <c r="BQ19" s="101"/>
      <c r="BR19" s="88"/>
      <c r="BS19" s="89" t="b">
        <f>+Q19+X19+AE19+AS19+AZ19+BG19+BN19=I19</f>
        <v>1</v>
      </c>
      <c r="BT19" s="90" t="b">
        <f>+R19+Y19+AF19+AT19+BA19+BH19+BO19=K19</f>
        <v>1</v>
      </c>
      <c r="BU19" s="90"/>
      <c r="BV19" s="54"/>
      <c r="BW19" s="54"/>
      <c r="BX19" s="54"/>
      <c r="BY19" s="54"/>
      <c r="BZ19" s="54"/>
      <c r="CA19" s="54"/>
      <c r="CB19" s="54"/>
      <c r="CC19" s="54"/>
      <c r="CD19" s="58"/>
      <c r="CE19" s="58"/>
    </row>
    <row r="20" spans="1:83" ht="16.5" customHeight="1">
      <c r="A20" s="62"/>
      <c r="B20" s="1322"/>
      <c r="C20" s="1531"/>
      <c r="D20" s="1345"/>
      <c r="E20" s="1324"/>
      <c r="F20" s="91" t="s">
        <v>392</v>
      </c>
      <c r="G20" s="92">
        <f>SUM(G16:G19)</f>
        <v>940689000</v>
      </c>
      <c r="H20" s="92">
        <f>SUM(H16:H19)</f>
        <v>94068900</v>
      </c>
      <c r="I20" s="92">
        <f>SUM(I16:I19)</f>
        <v>1034757900</v>
      </c>
      <c r="J20" s="91">
        <f t="shared" si="0"/>
        <v>0.25106305059376693</v>
      </c>
      <c r="K20" s="92">
        <f>SUM(K16:K19)</f>
        <v>259789475</v>
      </c>
      <c r="L20" s="92">
        <f>SUM(L16:L19)</f>
        <v>774968425</v>
      </c>
      <c r="M20" s="419"/>
      <c r="N20" s="93"/>
      <c r="O20" s="91"/>
      <c r="P20" s="94">
        <f>+IFERROR(Q20/$I20,"-")</f>
        <v>5.5555555555555552E-2</v>
      </c>
      <c r="Q20" s="92">
        <f>SUM(Q16:Q19)</f>
        <v>57486550</v>
      </c>
      <c r="R20" s="170">
        <f>SUM(R16:R19)</f>
        <v>57486550</v>
      </c>
      <c r="S20" s="92">
        <f t="shared" si="1"/>
        <v>0</v>
      </c>
      <c r="T20" s="91"/>
      <c r="U20" s="93"/>
      <c r="V20" s="91"/>
      <c r="W20" s="94">
        <f>+IFERROR(X20/$I20,"-")</f>
        <v>5.5555555555555552E-2</v>
      </c>
      <c r="X20" s="92">
        <f>SUM(X16:X19)</f>
        <v>57486550</v>
      </c>
      <c r="Y20" s="170">
        <f>SUM(Y16:Y19)</f>
        <v>58586550</v>
      </c>
      <c r="Z20" s="92">
        <f t="shared" si="2"/>
        <v>-1100000</v>
      </c>
      <c r="AA20" s="91"/>
      <c r="AB20" s="93"/>
      <c r="AC20" s="91"/>
      <c r="AD20" s="94">
        <f>+IFERROR(AE20/$I20,"-")</f>
        <v>0.44444444444444442</v>
      </c>
      <c r="AE20" s="92">
        <f>SUM(AE16:AE19)</f>
        <v>459892400</v>
      </c>
      <c r="AF20" s="170">
        <f>SUM(AF16:AF19)</f>
        <v>143716375</v>
      </c>
      <c r="AG20" s="92">
        <f t="shared" si="3"/>
        <v>316176025</v>
      </c>
      <c r="AH20" s="91"/>
      <c r="AI20" s="93"/>
      <c r="AJ20" s="91"/>
      <c r="AK20" s="94">
        <f t="shared" si="4"/>
        <v>0</v>
      </c>
      <c r="AL20" s="92">
        <f>SUM(AL16:AL19)</f>
        <v>0</v>
      </c>
      <c r="AM20" s="92">
        <f>SUM(AM16:AM19)</f>
        <v>0</v>
      </c>
      <c r="AN20" s="92">
        <f t="shared" si="5"/>
        <v>0</v>
      </c>
      <c r="AO20" s="91"/>
      <c r="AP20" s="93"/>
      <c r="AQ20" s="91"/>
      <c r="AR20" s="94">
        <f>+IFERROR(AS20/$I20,"-")</f>
        <v>0</v>
      </c>
      <c r="AS20" s="92">
        <f>SUM(AS16:AS19)</f>
        <v>0</v>
      </c>
      <c r="AT20" s="92">
        <f>SUM(AT16:AT19)</f>
        <v>0</v>
      </c>
      <c r="AU20" s="92">
        <f t="shared" si="6"/>
        <v>0</v>
      </c>
      <c r="AV20" s="91"/>
      <c r="AW20" s="93"/>
      <c r="AX20" s="91"/>
      <c r="AY20" s="94">
        <f>+IFERROR(AZ20/$I20,"-")</f>
        <v>0</v>
      </c>
      <c r="AZ20" s="92">
        <f>SUM(AZ16:AZ19)</f>
        <v>0</v>
      </c>
      <c r="BA20" s="92">
        <f>SUM(BA16:BA19)</f>
        <v>0</v>
      </c>
      <c r="BB20" s="92">
        <f t="shared" si="7"/>
        <v>0</v>
      </c>
      <c r="BC20" s="91"/>
      <c r="BD20" s="93"/>
      <c r="BE20" s="91"/>
      <c r="BF20" s="94">
        <f>+IFERROR(BG20/$I20,"-")</f>
        <v>0.24444444444444444</v>
      </c>
      <c r="BG20" s="92">
        <f>SUM(BG16:BG19)</f>
        <v>252940820</v>
      </c>
      <c r="BH20" s="92">
        <f>SUM(BH16:BH19)</f>
        <v>0</v>
      </c>
      <c r="BI20" s="92">
        <f t="shared" si="8"/>
        <v>252940820</v>
      </c>
      <c r="BJ20" s="91"/>
      <c r="BK20" s="93"/>
      <c r="BL20" s="91"/>
      <c r="BM20" s="94">
        <f t="shared" si="9"/>
        <v>0.2</v>
      </c>
      <c r="BN20" s="92">
        <f>SUM(BN16:BN19)</f>
        <v>206951580</v>
      </c>
      <c r="BO20" s="92">
        <f>SUM(BO16:BO19)</f>
        <v>0</v>
      </c>
      <c r="BP20" s="92">
        <f t="shared" si="10"/>
        <v>206951580</v>
      </c>
      <c r="BQ20" s="91"/>
      <c r="BR20" s="88"/>
      <c r="BS20" s="96"/>
      <c r="BT20" s="96"/>
      <c r="BU20" s="139"/>
      <c r="BV20" s="54"/>
      <c r="BW20" s="54"/>
      <c r="BX20" s="54"/>
      <c r="BY20" s="54"/>
      <c r="BZ20" s="54"/>
      <c r="CA20" s="54"/>
      <c r="CB20" s="54"/>
      <c r="CC20" s="54"/>
      <c r="CD20" s="58"/>
      <c r="CE20" s="58"/>
    </row>
    <row r="21" spans="1:83" ht="16.5" customHeight="1">
      <c r="A21" s="62"/>
      <c r="B21" s="1322">
        <f t="shared" ref="B21" si="11">+B16+1</f>
        <v>3</v>
      </c>
      <c r="C21" s="1532" t="s">
        <v>891</v>
      </c>
      <c r="D21" s="1343">
        <v>499.11</v>
      </c>
      <c r="E21" s="1324" t="s">
        <v>888</v>
      </c>
      <c r="F21" s="63" t="s">
        <v>388</v>
      </c>
      <c r="G21" s="64">
        <f>+지급비율!F20*$D$21/1000</f>
        <v>549021000</v>
      </c>
      <c r="H21" s="64">
        <f>+G21*10%</f>
        <v>54902100</v>
      </c>
      <c r="I21" s="64">
        <f>SUM(G21:H21)</f>
        <v>603923100</v>
      </c>
      <c r="J21" s="63">
        <f t="shared" si="0"/>
        <v>0.11164908247424217</v>
      </c>
      <c r="K21" s="134">
        <f>+IFERROR(R21+Y21+AF21+AM21+AT21+BA21+BH21+BO21,"-")</f>
        <v>67427460</v>
      </c>
      <c r="L21" s="134">
        <f>+I21-K21</f>
        <v>536495640</v>
      </c>
      <c r="M21" s="416"/>
      <c r="N21" s="67"/>
      <c r="O21" s="67"/>
      <c r="P21" s="135"/>
      <c r="Q21" s="66">
        <f>+$I21*지급비율!G20</f>
        <v>0</v>
      </c>
      <c r="R21" s="66"/>
      <c r="S21" s="66">
        <f t="shared" si="1"/>
        <v>0</v>
      </c>
      <c r="T21" s="136"/>
      <c r="U21" s="67"/>
      <c r="V21" s="67">
        <v>45980</v>
      </c>
      <c r="W21" s="135"/>
      <c r="X21" s="66">
        <f>+$I21*지급비율!N20</f>
        <v>0</v>
      </c>
      <c r="Y21" s="66">
        <f>62588890+3029700+1808870</f>
        <v>67427460</v>
      </c>
      <c r="Z21" s="66">
        <f t="shared" si="2"/>
        <v>-67427460</v>
      </c>
      <c r="AA21" s="1052" t="s">
        <v>832</v>
      </c>
      <c r="AB21" s="67">
        <f>+EDATE(AI21,1)</f>
        <v>46020</v>
      </c>
      <c r="AC21" s="67"/>
      <c r="AD21" s="135">
        <f>+IFERROR(AE21/$I21,"-")</f>
        <v>0.5</v>
      </c>
      <c r="AE21" s="66">
        <f>+$I21*지급비율!U20</f>
        <v>301961550</v>
      </c>
      <c r="AF21" s="66"/>
      <c r="AG21" s="66">
        <f t="shared" si="3"/>
        <v>301961550</v>
      </c>
      <c r="AH21" s="136"/>
      <c r="AI21" s="67">
        <f>+EDATE(AP21,-1)</f>
        <v>45990</v>
      </c>
      <c r="AJ21" s="67"/>
      <c r="AK21" s="135">
        <f t="shared" si="4"/>
        <v>0</v>
      </c>
      <c r="AL21" s="66">
        <f>+$I21*지급비율!AB20</f>
        <v>0</v>
      </c>
      <c r="AM21" s="66"/>
      <c r="AN21" s="66">
        <f t="shared" si="5"/>
        <v>0</v>
      </c>
      <c r="AO21" s="136"/>
      <c r="AP21" s="67">
        <f>+EDATE(AW21,-1)+1</f>
        <v>46020</v>
      </c>
      <c r="AQ21" s="67"/>
      <c r="AR21" s="135">
        <f>+IFERROR(AS21/$I21,"-")</f>
        <v>0</v>
      </c>
      <c r="AS21" s="66">
        <f>+$I21*지급비율!AI20</f>
        <v>0</v>
      </c>
      <c r="AT21" s="66"/>
      <c r="AU21" s="66">
        <f t="shared" si="6"/>
        <v>0</v>
      </c>
      <c r="AV21" s="136"/>
      <c r="AW21" s="67">
        <f>+EDATE(BD21,-1)</f>
        <v>46050</v>
      </c>
      <c r="AX21" s="67"/>
      <c r="AY21" s="135">
        <f>+IFERROR(AZ21/$I21,"-")</f>
        <v>0</v>
      </c>
      <c r="AZ21" s="66">
        <f>+$I21*지급비율!AP20</f>
        <v>0</v>
      </c>
      <c r="BA21" s="66"/>
      <c r="BB21" s="66">
        <f t="shared" si="7"/>
        <v>0</v>
      </c>
      <c r="BC21" s="136"/>
      <c r="BD21" s="67">
        <f>+EDATE(BK21,-1)</f>
        <v>46081</v>
      </c>
      <c r="BE21" s="67"/>
      <c r="BF21" s="135">
        <f>+IFERROR(BG21/$I21,"-")</f>
        <v>0.4</v>
      </c>
      <c r="BG21" s="66">
        <f>+$I21*지급비율!AW20</f>
        <v>241569240</v>
      </c>
      <c r="BH21" s="66"/>
      <c r="BI21" s="66">
        <f t="shared" si="8"/>
        <v>241569240</v>
      </c>
      <c r="BJ21" s="136"/>
      <c r="BK21" s="67">
        <v>46112</v>
      </c>
      <c r="BL21" s="67"/>
      <c r="BM21" s="135">
        <f t="shared" si="9"/>
        <v>0.1</v>
      </c>
      <c r="BN21" s="66">
        <f>+$I21*지급비율!BD20</f>
        <v>60392310</v>
      </c>
      <c r="BO21" s="66"/>
      <c r="BP21" s="66">
        <f t="shared" si="10"/>
        <v>60392310</v>
      </c>
      <c r="BQ21" s="136"/>
      <c r="BR21" s="73"/>
      <c r="BS21" s="74" t="b">
        <f>+Q21+X21+AE21+AS21+AZ21+BG21+BN21=I21</f>
        <v>1</v>
      </c>
      <c r="BT21" s="74" t="b">
        <f>+R21+Y21+AF21+AT21+BA21+BH21+BO21=K21</f>
        <v>1</v>
      </c>
      <c r="BU21" s="74"/>
      <c r="BV21" s="54"/>
      <c r="BW21" s="54"/>
      <c r="BX21" s="54"/>
      <c r="BY21" s="54"/>
      <c r="BZ21" s="54"/>
      <c r="CA21" s="54"/>
      <c r="CB21" s="54"/>
      <c r="CC21" s="54"/>
      <c r="CD21" s="58"/>
      <c r="CE21" s="58"/>
    </row>
    <row r="22" spans="1:83" ht="16.5" customHeight="1">
      <c r="A22" s="62"/>
      <c r="B22" s="1322"/>
      <c r="C22" s="1532"/>
      <c r="D22" s="1344"/>
      <c r="E22" s="1324"/>
      <c r="F22" s="75" t="s">
        <v>389</v>
      </c>
      <c r="G22" s="76">
        <f>+지급비율!F21*$D$21/1000</f>
        <v>149733000</v>
      </c>
      <c r="H22" s="76">
        <f>+G22*10%</f>
        <v>14973300</v>
      </c>
      <c r="I22" s="76">
        <f>SUM(G22:H22)</f>
        <v>164706300</v>
      </c>
      <c r="J22" s="75">
        <f t="shared" si="0"/>
        <v>0.9</v>
      </c>
      <c r="K22" s="80">
        <f>+IFERROR(R22+Y22+AF22+AM22+AT22+BA22+BH22+BO22,"-")</f>
        <v>148235670</v>
      </c>
      <c r="L22" s="80">
        <f>+I22-K22</f>
        <v>16470630</v>
      </c>
      <c r="M22" s="417"/>
      <c r="N22" s="72">
        <v>45820</v>
      </c>
      <c r="O22" s="72">
        <v>45820</v>
      </c>
      <c r="P22" s="79">
        <f>+IFERROR(Q22/$I22,"-")</f>
        <v>0.2</v>
      </c>
      <c r="Q22" s="99">
        <f>+$I22*지급비율!G21</f>
        <v>32941260</v>
      </c>
      <c r="R22" s="99">
        <v>32941260</v>
      </c>
      <c r="S22" s="99">
        <f t="shared" si="1"/>
        <v>0</v>
      </c>
      <c r="T22" s="140"/>
      <c r="U22" s="78">
        <v>45831</v>
      </c>
      <c r="V22" s="78">
        <v>45831</v>
      </c>
      <c r="W22" s="79">
        <f>+IFERROR(X22/$I22,"-")</f>
        <v>0.2</v>
      </c>
      <c r="X22" s="99">
        <f>+$I22*지급비율!N21</f>
        <v>32941260</v>
      </c>
      <c r="Y22" s="70">
        <v>32941260</v>
      </c>
      <c r="Z22" s="70">
        <f t="shared" si="2"/>
        <v>0</v>
      </c>
      <c r="AA22" s="81"/>
      <c r="AB22" s="78">
        <v>45831</v>
      </c>
      <c r="AC22" s="78">
        <v>45831</v>
      </c>
      <c r="AD22" s="79">
        <f>+IFERROR(AE22/$I22,"-")</f>
        <v>0.5</v>
      </c>
      <c r="AE22" s="70">
        <f>+$I22*지급비율!U21</f>
        <v>82353150</v>
      </c>
      <c r="AF22" s="70">
        <v>82353150</v>
      </c>
      <c r="AG22" s="70">
        <f t="shared" si="3"/>
        <v>0</v>
      </c>
      <c r="AH22" s="81"/>
      <c r="AI22" s="78"/>
      <c r="AJ22" s="72"/>
      <c r="AK22" s="79">
        <f t="shared" si="4"/>
        <v>0</v>
      </c>
      <c r="AL22" s="99">
        <f>+$I22*지급비율!AB21</f>
        <v>0</v>
      </c>
      <c r="AM22" s="99"/>
      <c r="AN22" s="99">
        <f t="shared" si="5"/>
        <v>0</v>
      </c>
      <c r="AO22" s="137"/>
      <c r="AP22" s="78"/>
      <c r="AQ22" s="72"/>
      <c r="AR22" s="79"/>
      <c r="AS22" s="99">
        <f>+$I22*지급비율!AI21</f>
        <v>0</v>
      </c>
      <c r="AT22" s="99"/>
      <c r="AU22" s="99">
        <f t="shared" si="6"/>
        <v>0</v>
      </c>
      <c r="AV22" s="137"/>
      <c r="AW22" s="78"/>
      <c r="AX22" s="72"/>
      <c r="AY22" s="79"/>
      <c r="AZ22" s="99">
        <f>+$I22*지급비율!AP21</f>
        <v>0</v>
      </c>
      <c r="BA22" s="99"/>
      <c r="BB22" s="99">
        <f t="shared" si="7"/>
        <v>0</v>
      </c>
      <c r="BC22" s="137"/>
      <c r="BD22" s="78"/>
      <c r="BE22" s="72"/>
      <c r="BF22" s="79"/>
      <c r="BG22" s="99">
        <f>+$I22*지급비율!AW21</f>
        <v>0</v>
      </c>
      <c r="BH22" s="99"/>
      <c r="BI22" s="99">
        <f t="shared" si="8"/>
        <v>0</v>
      </c>
      <c r="BJ22" s="137"/>
      <c r="BK22" s="138">
        <v>46053</v>
      </c>
      <c r="BL22" s="72"/>
      <c r="BM22" s="79">
        <f t="shared" si="9"/>
        <v>0.1</v>
      </c>
      <c r="BN22" s="99">
        <f>+$I22*지급비율!BD21</f>
        <v>16470630</v>
      </c>
      <c r="BO22" s="99"/>
      <c r="BP22" s="99">
        <f t="shared" si="10"/>
        <v>16470630</v>
      </c>
      <c r="BQ22" s="137"/>
      <c r="BR22" s="73"/>
      <c r="BS22" s="74" t="b">
        <f>+Q22+X22+AE22+AS22+AZ22+BG22+BN22=I22</f>
        <v>1</v>
      </c>
      <c r="BT22" s="74" t="b">
        <f>+R22+Y22+AF22+AT22+BA22+BH22+BO22=K22</f>
        <v>1</v>
      </c>
      <c r="BU22" s="74" t="b">
        <f>+BG22+BG23+AZ22+AZ23+AS22+AS23+AE22+AE23+X22+X23+Q22+Q23+BN22+BN23=([5]지급비율!$F$21+[5]지급비율!$F$22)*1.1*D21/1000</f>
        <v>1</v>
      </c>
      <c r="BV22" s="54"/>
      <c r="BW22" s="54"/>
      <c r="BX22" s="54"/>
      <c r="BY22" s="54"/>
      <c r="BZ22" s="54"/>
      <c r="CA22" s="54"/>
      <c r="CB22" s="54"/>
      <c r="CC22" s="54"/>
      <c r="CD22" s="58"/>
      <c r="CE22" s="58"/>
    </row>
    <row r="23" spans="1:83" ht="16.5" customHeight="1">
      <c r="A23" s="62"/>
      <c r="B23" s="1322"/>
      <c r="C23" s="1532"/>
      <c r="D23" s="1344"/>
      <c r="E23" s="1324"/>
      <c r="F23" s="75" t="s">
        <v>390</v>
      </c>
      <c r="G23" s="76">
        <f>+지급비율!F22*$D$21/1000</f>
        <v>99822000</v>
      </c>
      <c r="H23" s="76">
        <f>+G23*10%</f>
        <v>9982200</v>
      </c>
      <c r="I23" s="76">
        <f>SUM(G23:H23)</f>
        <v>109804200</v>
      </c>
      <c r="J23" s="75">
        <f t="shared" si="0"/>
        <v>0.9</v>
      </c>
      <c r="K23" s="80">
        <f>+IFERROR(R23+Y23+AF23+AM23+AT23+BA23+BH24+BO23,"-")</f>
        <v>98823780</v>
      </c>
      <c r="L23" s="80">
        <f>+I23-K23</f>
        <v>10980420</v>
      </c>
      <c r="M23" s="417"/>
      <c r="N23" s="72">
        <v>45820</v>
      </c>
      <c r="O23" s="72">
        <v>45820</v>
      </c>
      <c r="P23" s="79">
        <f>+IFERROR(Q23/$I23,"-")</f>
        <v>0.2</v>
      </c>
      <c r="Q23" s="99">
        <f>+$I23*지급비율!G22</f>
        <v>21960840</v>
      </c>
      <c r="R23" s="99">
        <f>21960840+18000</f>
        <v>21978840</v>
      </c>
      <c r="S23" s="99">
        <f t="shared" si="1"/>
        <v>-18000</v>
      </c>
      <c r="T23" s="140"/>
      <c r="U23" s="78">
        <v>45831</v>
      </c>
      <c r="V23" s="78">
        <v>45831</v>
      </c>
      <c r="W23" s="79">
        <f>+IFERROR(X23/$I23,"-")</f>
        <v>0.2</v>
      </c>
      <c r="X23" s="99">
        <f>+$I23*지급비율!N22</f>
        <v>21960840</v>
      </c>
      <c r="Y23" s="70">
        <v>21960840</v>
      </c>
      <c r="Z23" s="70">
        <f t="shared" si="2"/>
        <v>0</v>
      </c>
      <c r="AA23" s="81"/>
      <c r="AB23" s="78">
        <v>45831</v>
      </c>
      <c r="AC23" s="78">
        <v>45831</v>
      </c>
      <c r="AD23" s="79">
        <f>+IFERROR(AE23/$I23,"-")</f>
        <v>0.5</v>
      </c>
      <c r="AE23" s="70">
        <f>+$I23*지급비율!U22</f>
        <v>54902100</v>
      </c>
      <c r="AF23" s="70">
        <f>54902100-18000</f>
        <v>54884100</v>
      </c>
      <c r="AG23" s="70">
        <f t="shared" si="3"/>
        <v>18000</v>
      </c>
      <c r="AH23" s="81"/>
      <c r="AI23" s="72"/>
      <c r="AJ23" s="72"/>
      <c r="AK23" s="79">
        <f t="shared" si="4"/>
        <v>0</v>
      </c>
      <c r="AL23" s="99">
        <f>+$I23*지급비율!AB22</f>
        <v>0</v>
      </c>
      <c r="AM23" s="99"/>
      <c r="AN23" s="99">
        <f t="shared" si="5"/>
        <v>0</v>
      </c>
      <c r="AO23" s="137"/>
      <c r="AP23" s="72"/>
      <c r="AQ23" s="72"/>
      <c r="AR23" s="79"/>
      <c r="AS23" s="99">
        <f>+$I23*지급비율!AI22</f>
        <v>0</v>
      </c>
      <c r="AT23" s="99"/>
      <c r="AU23" s="99">
        <f t="shared" si="6"/>
        <v>0</v>
      </c>
      <c r="AV23" s="137"/>
      <c r="AW23" s="72"/>
      <c r="AX23" s="72"/>
      <c r="AY23" s="79"/>
      <c r="AZ23" s="99">
        <f>+$I23*지급비율!AP22</f>
        <v>0</v>
      </c>
      <c r="BA23" s="99"/>
      <c r="BB23" s="99">
        <f t="shared" si="7"/>
        <v>0</v>
      </c>
      <c r="BC23" s="137"/>
      <c r="BD23" s="72"/>
      <c r="BE23" s="72"/>
      <c r="BF23" s="79"/>
      <c r="BG23" s="99">
        <f>+$I23*지급비율!AW22</f>
        <v>0</v>
      </c>
      <c r="BH23" s="99"/>
      <c r="BI23" s="99">
        <f t="shared" si="8"/>
        <v>0</v>
      </c>
      <c r="BJ23" s="137"/>
      <c r="BK23" s="72">
        <v>46053</v>
      </c>
      <c r="BL23" s="72"/>
      <c r="BM23" s="79">
        <f t="shared" si="9"/>
        <v>0.1</v>
      </c>
      <c r="BN23" s="99">
        <f>+$I23*지급비율!BD22</f>
        <v>10980420</v>
      </c>
      <c r="BO23" s="99"/>
      <c r="BP23" s="99">
        <f t="shared" si="10"/>
        <v>10980420</v>
      </c>
      <c r="BQ23" s="137"/>
      <c r="BR23" s="73"/>
      <c r="BS23" s="74" t="b">
        <f>+Q23+X23+AE23+AS23+AZ23+BG23+BN23=I23</f>
        <v>1</v>
      </c>
      <c r="BT23" s="74" t="b">
        <f>+R23+Y23+AF23+AT23+BA23+BH24+BO23=K23</f>
        <v>1</v>
      </c>
      <c r="BU23" s="74"/>
      <c r="BV23" s="54"/>
      <c r="BW23" s="54"/>
      <c r="BX23" s="54"/>
      <c r="BY23" s="54"/>
      <c r="BZ23" s="54"/>
      <c r="CA23" s="54"/>
      <c r="CB23" s="54"/>
      <c r="CC23" s="54"/>
      <c r="CD23" s="58"/>
      <c r="CE23" s="58"/>
    </row>
    <row r="24" spans="1:83" ht="16.5" customHeight="1">
      <c r="A24" s="62"/>
      <c r="B24" s="1322"/>
      <c r="C24" s="1532"/>
      <c r="D24" s="1344"/>
      <c r="E24" s="1324"/>
      <c r="F24" s="101" t="s">
        <v>391</v>
      </c>
      <c r="G24" s="102">
        <f>+지급비율!F23*$D$21/1000</f>
        <v>99822000</v>
      </c>
      <c r="H24" s="102">
        <f>+G24*10%</f>
        <v>9982200</v>
      </c>
      <c r="I24" s="102">
        <f>SUM(G24:H24)</f>
        <v>109804200</v>
      </c>
      <c r="J24" s="101">
        <f t="shared" si="0"/>
        <v>0</v>
      </c>
      <c r="K24" s="106">
        <f>+IFERROR(R24+Y24+AF24+AM24+AT24+BA24+BH24+BO24,"-")</f>
        <v>0</v>
      </c>
      <c r="L24" s="106">
        <f>+I24-K24</f>
        <v>109804200</v>
      </c>
      <c r="M24" s="420"/>
      <c r="N24" s="104"/>
      <c r="O24" s="101"/>
      <c r="P24" s="105"/>
      <c r="Q24" s="103">
        <f>+$I24*지급비율!G23</f>
        <v>0</v>
      </c>
      <c r="R24" s="103">
        <v>0</v>
      </c>
      <c r="S24" s="103">
        <f t="shared" si="1"/>
        <v>0</v>
      </c>
      <c r="T24" s="101"/>
      <c r="U24" s="85"/>
      <c r="V24" s="101"/>
      <c r="W24" s="105"/>
      <c r="X24" s="103">
        <f>+$I24*지급비율!N23</f>
        <v>0</v>
      </c>
      <c r="Y24" s="103">
        <v>0</v>
      </c>
      <c r="Z24" s="103">
        <f t="shared" si="2"/>
        <v>0</v>
      </c>
      <c r="AA24" s="101"/>
      <c r="AB24" s="85"/>
      <c r="AC24" s="101"/>
      <c r="AD24" s="105"/>
      <c r="AE24" s="103">
        <f>+$I24*지급비율!U23</f>
        <v>0</v>
      </c>
      <c r="AF24" s="103"/>
      <c r="AG24" s="103">
        <f t="shared" si="3"/>
        <v>0</v>
      </c>
      <c r="AH24" s="101"/>
      <c r="AI24" s="85"/>
      <c r="AJ24" s="101"/>
      <c r="AK24" s="105">
        <f t="shared" si="4"/>
        <v>0</v>
      </c>
      <c r="AL24" s="103">
        <f>+$I24*지급비율!AB23</f>
        <v>0</v>
      </c>
      <c r="AM24" s="103"/>
      <c r="AN24" s="103">
        <f t="shared" si="5"/>
        <v>0</v>
      </c>
      <c r="AO24" s="101"/>
      <c r="AP24" s="85"/>
      <c r="AQ24" s="101"/>
      <c r="AR24" s="105"/>
      <c r="AS24" s="103">
        <f>+$I24*지급비율!AI23</f>
        <v>0</v>
      </c>
      <c r="AT24" s="103"/>
      <c r="AU24" s="103">
        <f t="shared" si="6"/>
        <v>0</v>
      </c>
      <c r="AV24" s="101"/>
      <c r="AW24" s="85"/>
      <c r="AX24" s="101"/>
      <c r="AY24" s="105"/>
      <c r="AZ24" s="103">
        <f>+$I24*지급비율!AP23</f>
        <v>0</v>
      </c>
      <c r="BA24" s="103"/>
      <c r="BB24" s="103">
        <f t="shared" si="7"/>
        <v>0</v>
      </c>
      <c r="BC24" s="101"/>
      <c r="BD24" s="85"/>
      <c r="BE24" s="101"/>
      <c r="BF24" s="105"/>
      <c r="BG24" s="103">
        <f>+$I24*지급비율!AW23</f>
        <v>0</v>
      </c>
      <c r="BH24" s="99">
        <v>0</v>
      </c>
      <c r="BI24" s="103">
        <f t="shared" si="8"/>
        <v>0</v>
      </c>
      <c r="BJ24" s="101"/>
      <c r="BK24" s="104">
        <v>46053</v>
      </c>
      <c r="BL24" s="101"/>
      <c r="BM24" s="105">
        <f t="shared" si="9"/>
        <v>1</v>
      </c>
      <c r="BN24" s="103">
        <f>+$I24*지급비율!BD23</f>
        <v>109804200</v>
      </c>
      <c r="BO24" s="103"/>
      <c r="BP24" s="103">
        <f t="shared" si="10"/>
        <v>109804200</v>
      </c>
      <c r="BQ24" s="101"/>
      <c r="BR24" s="88"/>
      <c r="BS24" s="89" t="b">
        <f>+Q24+X24+AE24+AS24+AZ24+BG24+BN24=I24</f>
        <v>1</v>
      </c>
      <c r="BT24" s="90" t="b">
        <f>+R24+Y24+AF24+AT24+BA24+BH24+BO24=K24</f>
        <v>1</v>
      </c>
      <c r="BU24" s="90"/>
      <c r="BV24" s="54"/>
      <c r="BW24" s="54"/>
      <c r="BX24" s="54"/>
      <c r="BY24" s="54"/>
      <c r="BZ24" s="54"/>
      <c r="CA24" s="54"/>
      <c r="CB24" s="54"/>
      <c r="CC24" s="54"/>
      <c r="CD24" s="58"/>
      <c r="CE24" s="58"/>
    </row>
    <row r="25" spans="1:83" ht="16.5" customHeight="1">
      <c r="A25" s="62"/>
      <c r="B25" s="1322"/>
      <c r="C25" s="1532"/>
      <c r="D25" s="1345"/>
      <c r="E25" s="1324"/>
      <c r="F25" s="91" t="s">
        <v>392</v>
      </c>
      <c r="G25" s="92">
        <f>SUM(G21:G24)</f>
        <v>898398000</v>
      </c>
      <c r="H25" s="92">
        <f>SUM(H21:H24)</f>
        <v>89839800</v>
      </c>
      <c r="I25" s="92">
        <f>SUM(I21:I24)</f>
        <v>988237800</v>
      </c>
      <c r="J25" s="91">
        <f t="shared" si="0"/>
        <v>0.31822999484537023</v>
      </c>
      <c r="K25" s="92">
        <f>SUM(K21:K24)</f>
        <v>314486910</v>
      </c>
      <c r="L25" s="92">
        <f>SUM(L21:L24)</f>
        <v>673750890</v>
      </c>
      <c r="M25" s="419"/>
      <c r="N25" s="93"/>
      <c r="O25" s="91"/>
      <c r="P25" s="94">
        <f>+IFERROR(Q25/$I25,"-")</f>
        <v>5.5555555555555552E-2</v>
      </c>
      <c r="Q25" s="92">
        <f>SUM(Q21:Q24)</f>
        <v>54902100</v>
      </c>
      <c r="R25" s="170">
        <f>SUM(R21:R24)</f>
        <v>54920100</v>
      </c>
      <c r="S25" s="92">
        <f t="shared" si="1"/>
        <v>-18000</v>
      </c>
      <c r="T25" s="91"/>
      <c r="U25" s="93"/>
      <c r="V25" s="91"/>
      <c r="W25" s="94">
        <f>+IFERROR(X25/$I25,"-")</f>
        <v>5.5555555555555552E-2</v>
      </c>
      <c r="X25" s="92">
        <f>SUM(X21:X24)</f>
        <v>54902100</v>
      </c>
      <c r="Y25" s="170">
        <f>SUM(Y21:Y24)</f>
        <v>122329560</v>
      </c>
      <c r="Z25" s="92">
        <f t="shared" si="2"/>
        <v>-67427460</v>
      </c>
      <c r="AA25" s="91"/>
      <c r="AB25" s="93"/>
      <c r="AC25" s="91"/>
      <c r="AD25" s="94">
        <f>+IFERROR(AE25/$I25,"-")</f>
        <v>0.44444444444444442</v>
      </c>
      <c r="AE25" s="92">
        <f>SUM(AE21:AE24)</f>
        <v>439216800</v>
      </c>
      <c r="AF25" s="170">
        <f>SUM(AF21:AF24)</f>
        <v>137237250</v>
      </c>
      <c r="AG25" s="92">
        <f t="shared" si="3"/>
        <v>301979550</v>
      </c>
      <c r="AH25" s="91"/>
      <c r="AI25" s="93"/>
      <c r="AJ25" s="91"/>
      <c r="AK25" s="94">
        <f t="shared" si="4"/>
        <v>0</v>
      </c>
      <c r="AL25" s="92">
        <f>SUM(AL21:AL24)</f>
        <v>0</v>
      </c>
      <c r="AM25" s="92">
        <f>SUM(AM21:AM24)</f>
        <v>0</v>
      </c>
      <c r="AN25" s="92">
        <f t="shared" si="5"/>
        <v>0</v>
      </c>
      <c r="AO25" s="91"/>
      <c r="AP25" s="93"/>
      <c r="AQ25" s="91"/>
      <c r="AR25" s="94">
        <f>+IFERROR(AS25/$I25,"-")</f>
        <v>0</v>
      </c>
      <c r="AS25" s="92">
        <f>SUM(AS21:AS24)</f>
        <v>0</v>
      </c>
      <c r="AT25" s="92">
        <f>SUM(AT21:AT24)</f>
        <v>0</v>
      </c>
      <c r="AU25" s="92">
        <f t="shared" si="6"/>
        <v>0</v>
      </c>
      <c r="AV25" s="91"/>
      <c r="AW25" s="93"/>
      <c r="AX25" s="91"/>
      <c r="AY25" s="94">
        <f>+IFERROR(AZ25/$I25,"-")</f>
        <v>0</v>
      </c>
      <c r="AZ25" s="92">
        <f>SUM(AZ21:AZ24)</f>
        <v>0</v>
      </c>
      <c r="BA25" s="92">
        <f>SUM(BA21:BA24)</f>
        <v>0</v>
      </c>
      <c r="BB25" s="92">
        <f t="shared" si="7"/>
        <v>0</v>
      </c>
      <c r="BC25" s="91"/>
      <c r="BD25" s="93"/>
      <c r="BE25" s="91"/>
      <c r="BF25" s="94">
        <f>+IFERROR(BG25/$I25,"-")</f>
        <v>0.24444444444444444</v>
      </c>
      <c r="BG25" s="92">
        <f>SUM(BG21:BG24)</f>
        <v>241569240</v>
      </c>
      <c r="BH25" s="92">
        <f>SUM(BH21:BH24)</f>
        <v>0</v>
      </c>
      <c r="BI25" s="92">
        <f t="shared" si="8"/>
        <v>241569240</v>
      </c>
      <c r="BJ25" s="91"/>
      <c r="BK25" s="93"/>
      <c r="BL25" s="91"/>
      <c r="BM25" s="94">
        <f t="shared" si="9"/>
        <v>0.2</v>
      </c>
      <c r="BN25" s="92">
        <f>SUM(BN21:BN24)</f>
        <v>197647560</v>
      </c>
      <c r="BO25" s="92">
        <f>SUM(BO21:BO24)</f>
        <v>0</v>
      </c>
      <c r="BP25" s="92">
        <f t="shared" si="10"/>
        <v>197647560</v>
      </c>
      <c r="BQ25" s="91"/>
      <c r="BR25" s="88"/>
      <c r="BS25" s="96"/>
      <c r="BT25" s="96"/>
      <c r="BU25" s="139"/>
      <c r="BV25" s="54"/>
      <c r="BW25" s="54"/>
      <c r="BX25" s="54"/>
      <c r="BY25" s="54"/>
      <c r="BZ25" s="54"/>
      <c r="CA25" s="54"/>
      <c r="CB25" s="54"/>
      <c r="CC25" s="54"/>
      <c r="CD25" s="58"/>
      <c r="CE25" s="58"/>
    </row>
    <row r="26" spans="1:83" ht="16.5" customHeight="1">
      <c r="A26" s="62"/>
      <c r="B26" s="1322">
        <f t="shared" ref="B26" si="12">+B21+1</f>
        <v>4</v>
      </c>
      <c r="C26" s="1532" t="s">
        <v>892</v>
      </c>
      <c r="D26" s="1343">
        <v>142.875</v>
      </c>
      <c r="E26" s="1324" t="s">
        <v>888</v>
      </c>
      <c r="F26" s="63" t="s">
        <v>388</v>
      </c>
      <c r="G26" s="64">
        <f>+지급비율!F20*$D$26/1000</f>
        <v>157162500</v>
      </c>
      <c r="H26" s="64">
        <f>+G26*10%</f>
        <v>15716250</v>
      </c>
      <c r="I26" s="64">
        <f>SUM(G26:H26)</f>
        <v>172878750</v>
      </c>
      <c r="J26" s="63">
        <f t="shared" si="0"/>
        <v>0.13397927738371546</v>
      </c>
      <c r="K26" s="134">
        <f>+IFERROR(R26+Y26+AF26+AM26+AT26+BA26+BH26+BO26,"-")</f>
        <v>23162170</v>
      </c>
      <c r="L26" s="134">
        <f>+I26-K26</f>
        <v>149716580</v>
      </c>
      <c r="M26" s="416"/>
      <c r="N26" s="67"/>
      <c r="O26" s="67"/>
      <c r="P26" s="135"/>
      <c r="Q26" s="66">
        <f>+$I26*지급비율!G20</f>
        <v>0</v>
      </c>
      <c r="R26" s="66"/>
      <c r="S26" s="66">
        <f t="shared" si="1"/>
        <v>0</v>
      </c>
      <c r="T26" s="136"/>
      <c r="U26" s="67"/>
      <c r="V26" s="67">
        <v>45975</v>
      </c>
      <c r="W26" s="135"/>
      <c r="X26" s="66">
        <f>+$I26*지급비율!N20</f>
        <v>0</v>
      </c>
      <c r="Y26" s="66">
        <f>18323600+1808870+3029700</f>
        <v>23162170</v>
      </c>
      <c r="Z26" s="66">
        <f t="shared" si="2"/>
        <v>-23162170</v>
      </c>
      <c r="AA26" s="1052" t="s">
        <v>832</v>
      </c>
      <c r="AB26" s="67">
        <f>+EDATE(AI26,1)</f>
        <v>46020</v>
      </c>
      <c r="AC26" s="67"/>
      <c r="AD26" s="135">
        <f>+IFERROR(AE26/$I26,"-")</f>
        <v>0.5</v>
      </c>
      <c r="AE26" s="66">
        <f>+$I26*지급비율!U20</f>
        <v>86439375</v>
      </c>
      <c r="AF26" s="66"/>
      <c r="AG26" s="66">
        <f t="shared" si="3"/>
        <v>86439375</v>
      </c>
      <c r="AH26" s="136"/>
      <c r="AI26" s="67">
        <f>+EDATE(AP26,-1)</f>
        <v>45990</v>
      </c>
      <c r="AJ26" s="67"/>
      <c r="AK26" s="135">
        <f t="shared" si="4"/>
        <v>0</v>
      </c>
      <c r="AL26" s="66">
        <f>+$I26*지급비율!AB20</f>
        <v>0</v>
      </c>
      <c r="AM26" s="66"/>
      <c r="AN26" s="66">
        <f t="shared" si="5"/>
        <v>0</v>
      </c>
      <c r="AO26" s="136"/>
      <c r="AP26" s="67">
        <f>+EDATE(AW26,-1)+1</f>
        <v>46020</v>
      </c>
      <c r="AQ26" s="67"/>
      <c r="AR26" s="135">
        <f>+IFERROR(AS26/$I26,"-")</f>
        <v>0</v>
      </c>
      <c r="AS26" s="66">
        <f>+$I26*지급비율!AI20</f>
        <v>0</v>
      </c>
      <c r="AT26" s="66"/>
      <c r="AU26" s="66">
        <f t="shared" si="6"/>
        <v>0</v>
      </c>
      <c r="AV26" s="136"/>
      <c r="AW26" s="67">
        <f>+EDATE(BD26,-1)</f>
        <v>46050</v>
      </c>
      <c r="AX26" s="67"/>
      <c r="AY26" s="135">
        <f>+IFERROR(AZ26/$I26,"-")</f>
        <v>0</v>
      </c>
      <c r="AZ26" s="66">
        <f>+$I26*지급비율!AP20</f>
        <v>0</v>
      </c>
      <c r="BA26" s="66"/>
      <c r="BB26" s="66">
        <f t="shared" si="7"/>
        <v>0</v>
      </c>
      <c r="BC26" s="136"/>
      <c r="BD26" s="67">
        <f>+EDATE(BK26,-1)</f>
        <v>46081</v>
      </c>
      <c r="BE26" s="67"/>
      <c r="BF26" s="135">
        <f>+IFERROR(BG26/$I26,"-")</f>
        <v>0.4</v>
      </c>
      <c r="BG26" s="66">
        <f>+$I26*지급비율!AW20</f>
        <v>69151500</v>
      </c>
      <c r="BH26" s="66"/>
      <c r="BI26" s="66">
        <f t="shared" si="8"/>
        <v>69151500</v>
      </c>
      <c r="BJ26" s="136"/>
      <c r="BK26" s="67">
        <v>46112</v>
      </c>
      <c r="BL26" s="67"/>
      <c r="BM26" s="135">
        <f t="shared" si="9"/>
        <v>0.1</v>
      </c>
      <c r="BN26" s="66">
        <f>+$I26*지급비율!BD20</f>
        <v>17287875</v>
      </c>
      <c r="BO26" s="66"/>
      <c r="BP26" s="66">
        <f t="shared" si="10"/>
        <v>17287875</v>
      </c>
      <c r="BQ26" s="136"/>
      <c r="BR26" s="73"/>
      <c r="BS26" s="74" t="b">
        <f>+Q26+X26+AE26+AS26+AZ26+BG26+BN26=I26</f>
        <v>1</v>
      </c>
      <c r="BT26" s="74" t="b">
        <f>+R26+Y26+AF26+AT26+BA26+BH26+BO26=K26</f>
        <v>1</v>
      </c>
      <c r="BU26" s="74"/>
      <c r="BV26" s="54"/>
      <c r="BW26" s="54"/>
      <c r="BX26" s="54"/>
      <c r="BY26" s="54"/>
      <c r="BZ26" s="54"/>
      <c r="CA26" s="54"/>
      <c r="CB26" s="54"/>
      <c r="CC26" s="54"/>
      <c r="CD26" s="58"/>
      <c r="CE26" s="58"/>
    </row>
    <row r="27" spans="1:83" ht="16.5" customHeight="1">
      <c r="A27" s="62"/>
      <c r="B27" s="1322"/>
      <c r="C27" s="1532"/>
      <c r="D27" s="1344"/>
      <c r="E27" s="1324"/>
      <c r="F27" s="75" t="s">
        <v>389</v>
      </c>
      <c r="G27" s="76">
        <f>+지급비율!F21*$D$26/1000</f>
        <v>42862500</v>
      </c>
      <c r="H27" s="76">
        <f>+G27*10%</f>
        <v>4286250</v>
      </c>
      <c r="I27" s="76">
        <f>SUM(G27:H27)</f>
        <v>47148750</v>
      </c>
      <c r="J27" s="75">
        <f t="shared" si="0"/>
        <v>0.9</v>
      </c>
      <c r="K27" s="80">
        <f>+IFERROR(R27+Y27+AF27+AM27+AT27+BA27+BH27+BO27,"-")</f>
        <v>42433875</v>
      </c>
      <c r="L27" s="80">
        <f>+I27-K27</f>
        <v>4714875</v>
      </c>
      <c r="M27" s="417"/>
      <c r="N27" s="72">
        <v>45820</v>
      </c>
      <c r="O27" s="72">
        <v>45820</v>
      </c>
      <c r="P27" s="79">
        <f>+IFERROR(Q27/$I27,"-")</f>
        <v>0.2</v>
      </c>
      <c r="Q27" s="99">
        <f>+$I27*지급비율!G21</f>
        <v>9429750</v>
      </c>
      <c r="R27" s="99">
        <v>9429750</v>
      </c>
      <c r="S27" s="99">
        <f t="shared" si="1"/>
        <v>0</v>
      </c>
      <c r="T27" s="140"/>
      <c r="U27" s="78">
        <v>45831</v>
      </c>
      <c r="V27" s="78">
        <v>45831</v>
      </c>
      <c r="W27" s="79">
        <f>+IFERROR(X27/$I27,"-")</f>
        <v>0.2</v>
      </c>
      <c r="X27" s="99">
        <f>+$I27*지급비율!N21</f>
        <v>9429750</v>
      </c>
      <c r="Y27" s="70">
        <v>9429750</v>
      </c>
      <c r="Z27" s="70">
        <f t="shared" si="2"/>
        <v>0</v>
      </c>
      <c r="AA27" s="81"/>
      <c r="AB27" s="78">
        <v>45831</v>
      </c>
      <c r="AC27" s="78">
        <v>45831</v>
      </c>
      <c r="AD27" s="79">
        <f>+IFERROR(AE27/$I27,"-")</f>
        <v>0.5</v>
      </c>
      <c r="AE27" s="99">
        <f>+$I27*지급비율!U21</f>
        <v>23574375</v>
      </c>
      <c r="AF27" s="70">
        <v>23574375</v>
      </c>
      <c r="AG27" s="70">
        <f t="shared" si="3"/>
        <v>0</v>
      </c>
      <c r="AH27" s="81"/>
      <c r="AI27" s="78"/>
      <c r="AJ27" s="72"/>
      <c r="AK27" s="79">
        <f t="shared" si="4"/>
        <v>0</v>
      </c>
      <c r="AL27" s="99">
        <f>+$I27*지급비율!AB21</f>
        <v>0</v>
      </c>
      <c r="AM27" s="99"/>
      <c r="AN27" s="99">
        <f t="shared" si="5"/>
        <v>0</v>
      </c>
      <c r="AO27" s="137"/>
      <c r="AP27" s="78"/>
      <c r="AQ27" s="72"/>
      <c r="AR27" s="79"/>
      <c r="AS27" s="99">
        <f>+$I27*지급비율!AI21</f>
        <v>0</v>
      </c>
      <c r="AT27" s="99"/>
      <c r="AU27" s="99">
        <f t="shared" si="6"/>
        <v>0</v>
      </c>
      <c r="AV27" s="137"/>
      <c r="AW27" s="78"/>
      <c r="AX27" s="72"/>
      <c r="AY27" s="79"/>
      <c r="AZ27" s="99">
        <f>+$I27*지급비율!AP21</f>
        <v>0</v>
      </c>
      <c r="BA27" s="99"/>
      <c r="BB27" s="99">
        <f t="shared" si="7"/>
        <v>0</v>
      </c>
      <c r="BC27" s="137"/>
      <c r="BD27" s="78"/>
      <c r="BE27" s="72"/>
      <c r="BF27" s="79"/>
      <c r="BG27" s="99">
        <f>+$I27*지급비율!AW21</f>
        <v>0</v>
      </c>
      <c r="BH27" s="99"/>
      <c r="BI27" s="99">
        <f t="shared" si="8"/>
        <v>0</v>
      </c>
      <c r="BJ27" s="137"/>
      <c r="BK27" s="138">
        <v>46053</v>
      </c>
      <c r="BL27" s="72"/>
      <c r="BM27" s="79">
        <f t="shared" si="9"/>
        <v>0.1</v>
      </c>
      <c r="BN27" s="99">
        <f>+$I27*지급비율!BD21</f>
        <v>4714875</v>
      </c>
      <c r="BO27" s="99"/>
      <c r="BP27" s="99">
        <f t="shared" si="10"/>
        <v>4714875</v>
      </c>
      <c r="BQ27" s="137"/>
      <c r="BR27" s="73"/>
      <c r="BS27" s="74" t="b">
        <f>+Q27+X27+AE27+AS27+AZ27+BG27+BN27=I27</f>
        <v>1</v>
      </c>
      <c r="BT27" s="74" t="b">
        <f>+R27+Y27+AF27+AT27+BA27+BH27+BO27=K27</f>
        <v>1</v>
      </c>
      <c r="BU27" s="74" t="b">
        <f>+BG27+BG28+AZ27+AZ28+AS27+AS28+AE27+AE28+X27+X28+Q27+Q28+BN27+BN28=([5]지급비율!$F$21+[5]지급비율!$F$22)*1.1*D26/1000</f>
        <v>1</v>
      </c>
      <c r="BV27" s="54"/>
      <c r="BW27" s="54"/>
      <c r="BX27" s="54"/>
      <c r="BY27" s="54"/>
      <c r="BZ27" s="54"/>
      <c r="CA27" s="54"/>
      <c r="CB27" s="54"/>
      <c r="CC27" s="54"/>
      <c r="CD27" s="58"/>
      <c r="CE27" s="58"/>
    </row>
    <row r="28" spans="1:83" ht="16.5" customHeight="1">
      <c r="A28" s="62"/>
      <c r="B28" s="1322"/>
      <c r="C28" s="1532"/>
      <c r="D28" s="1344"/>
      <c r="E28" s="1324"/>
      <c r="F28" s="75" t="s">
        <v>390</v>
      </c>
      <c r="G28" s="76">
        <f>+지급비율!F22*$D$26/1000</f>
        <v>28575000</v>
      </c>
      <c r="H28" s="76">
        <f>+G28*10%</f>
        <v>2857500</v>
      </c>
      <c r="I28" s="76">
        <f>SUM(G28:H28)</f>
        <v>31432500</v>
      </c>
      <c r="J28" s="75">
        <f t="shared" si="0"/>
        <v>0.9</v>
      </c>
      <c r="K28" s="80">
        <f>+IFERROR(R28+Y28+AF28+AM28+AT28+BA28+BH28+BO28,"-")</f>
        <v>28289250</v>
      </c>
      <c r="L28" s="80">
        <f>+I28-K28</f>
        <v>3143250</v>
      </c>
      <c r="M28" s="417"/>
      <c r="N28" s="72">
        <v>45820</v>
      </c>
      <c r="O28" s="72">
        <v>45820</v>
      </c>
      <c r="P28" s="79">
        <f>+IFERROR(Q28/$I28,"-")</f>
        <v>0.2</v>
      </c>
      <c r="Q28" s="99">
        <f>+$I28*지급비율!G22</f>
        <v>6286500</v>
      </c>
      <c r="R28" s="99">
        <v>6286500</v>
      </c>
      <c r="S28" s="99">
        <f t="shared" si="1"/>
        <v>0</v>
      </c>
      <c r="T28" s="140"/>
      <c r="U28" s="78">
        <v>45831</v>
      </c>
      <c r="V28" s="78">
        <v>45831</v>
      </c>
      <c r="W28" s="79">
        <f>+IFERROR(X28/$I28,"-")</f>
        <v>0.2</v>
      </c>
      <c r="X28" s="99">
        <f>+$I28*지급비율!N22</f>
        <v>6286500</v>
      </c>
      <c r="Y28" s="70">
        <v>6286500</v>
      </c>
      <c r="Z28" s="70">
        <f t="shared" si="2"/>
        <v>0</v>
      </c>
      <c r="AA28" s="81"/>
      <c r="AB28" s="78">
        <v>45831</v>
      </c>
      <c r="AC28" s="78">
        <v>45831</v>
      </c>
      <c r="AD28" s="79">
        <f>+IFERROR(AE28/$I28,"-")</f>
        <v>0.5</v>
      </c>
      <c r="AE28" s="99">
        <f>+$I28*지급비율!U22</f>
        <v>15716250</v>
      </c>
      <c r="AF28" s="70">
        <v>15716250</v>
      </c>
      <c r="AG28" s="70">
        <f t="shared" si="3"/>
        <v>0</v>
      </c>
      <c r="AH28" s="81"/>
      <c r="AI28" s="72"/>
      <c r="AJ28" s="72"/>
      <c r="AK28" s="79">
        <f t="shared" si="4"/>
        <v>0</v>
      </c>
      <c r="AL28" s="99">
        <f>+$I28*지급비율!AB22</f>
        <v>0</v>
      </c>
      <c r="AM28" s="99"/>
      <c r="AN28" s="99">
        <f t="shared" si="5"/>
        <v>0</v>
      </c>
      <c r="AO28" s="137"/>
      <c r="AP28" s="72"/>
      <c r="AQ28" s="72"/>
      <c r="AR28" s="79"/>
      <c r="AS28" s="99">
        <f>+$I28*지급비율!AI22</f>
        <v>0</v>
      </c>
      <c r="AT28" s="99"/>
      <c r="AU28" s="99">
        <f t="shared" si="6"/>
        <v>0</v>
      </c>
      <c r="AV28" s="137"/>
      <c r="AW28" s="72"/>
      <c r="AX28" s="72"/>
      <c r="AY28" s="79"/>
      <c r="AZ28" s="99">
        <f>+$I28*지급비율!AP22</f>
        <v>0</v>
      </c>
      <c r="BA28" s="99"/>
      <c r="BB28" s="99">
        <f t="shared" si="7"/>
        <v>0</v>
      </c>
      <c r="BC28" s="137"/>
      <c r="BD28" s="72"/>
      <c r="BE28" s="72"/>
      <c r="BF28" s="79"/>
      <c r="BG28" s="99">
        <f>+$I28*지급비율!AW22</f>
        <v>0</v>
      </c>
      <c r="BH28" s="99"/>
      <c r="BI28" s="99">
        <f t="shared" si="8"/>
        <v>0</v>
      </c>
      <c r="BJ28" s="137"/>
      <c r="BK28" s="72">
        <v>46053</v>
      </c>
      <c r="BL28" s="72"/>
      <c r="BM28" s="79">
        <f t="shared" si="9"/>
        <v>0.1</v>
      </c>
      <c r="BN28" s="99">
        <f>+$I28*지급비율!BD22</f>
        <v>3143250</v>
      </c>
      <c r="BO28" s="99"/>
      <c r="BP28" s="99">
        <f t="shared" si="10"/>
        <v>3143250</v>
      </c>
      <c r="BQ28" s="137"/>
      <c r="BR28" s="73"/>
      <c r="BS28" s="74" t="b">
        <f>+Q28+X28+AE28+AS28+AZ28+BG28+BN28=I28</f>
        <v>1</v>
      </c>
      <c r="BT28" s="74" t="b">
        <f>+R28+Y28+AF28+AT28+BA28+BH28+BO28=K28</f>
        <v>1</v>
      </c>
      <c r="BU28" s="74"/>
      <c r="BV28" s="54"/>
      <c r="BW28" s="54"/>
      <c r="BX28" s="54"/>
      <c r="BY28" s="54"/>
      <c r="BZ28" s="54"/>
      <c r="CA28" s="54"/>
      <c r="CB28" s="54"/>
      <c r="CC28" s="54"/>
      <c r="CD28" s="58"/>
      <c r="CE28" s="58"/>
    </row>
    <row r="29" spans="1:83" ht="16.5" customHeight="1">
      <c r="A29" s="62"/>
      <c r="B29" s="1322"/>
      <c r="C29" s="1532"/>
      <c r="D29" s="1344"/>
      <c r="E29" s="1324"/>
      <c r="F29" s="101" t="s">
        <v>391</v>
      </c>
      <c r="G29" s="102">
        <f>+지급비율!F23*$D$26/1000</f>
        <v>28575000</v>
      </c>
      <c r="H29" s="102">
        <f>+G29*0.1</f>
        <v>2857500</v>
      </c>
      <c r="I29" s="102">
        <f>SUM(G29:H29)</f>
        <v>31432500</v>
      </c>
      <c r="J29" s="101">
        <f t="shared" si="0"/>
        <v>0</v>
      </c>
      <c r="K29" s="106">
        <f>+IFERROR(R29+Y29+AF29+AM29+AT29+BA29+BH29+BO29,"-")</f>
        <v>0</v>
      </c>
      <c r="L29" s="106">
        <f>+I29-K29</f>
        <v>31432500</v>
      </c>
      <c r="M29" s="420"/>
      <c r="N29" s="104"/>
      <c r="O29" s="101"/>
      <c r="P29" s="105"/>
      <c r="Q29" s="103">
        <f>+$I29*지급비율!G23</f>
        <v>0</v>
      </c>
      <c r="R29" s="103"/>
      <c r="S29" s="103">
        <f t="shared" si="1"/>
        <v>0</v>
      </c>
      <c r="T29" s="101"/>
      <c r="U29" s="85"/>
      <c r="V29" s="101"/>
      <c r="W29" s="105"/>
      <c r="X29" s="103">
        <f>+$I29*지급비율!N23</f>
        <v>0</v>
      </c>
      <c r="Y29" s="103"/>
      <c r="Z29" s="103">
        <f t="shared" si="2"/>
        <v>0</v>
      </c>
      <c r="AA29" s="101"/>
      <c r="AB29" s="85"/>
      <c r="AC29" s="101"/>
      <c r="AD29" s="105"/>
      <c r="AE29" s="103">
        <f>+$I29*지급비율!U23</f>
        <v>0</v>
      </c>
      <c r="AF29" s="103"/>
      <c r="AG29" s="103">
        <f t="shared" si="3"/>
        <v>0</v>
      </c>
      <c r="AH29" s="101"/>
      <c r="AI29" s="85"/>
      <c r="AJ29" s="101"/>
      <c r="AK29" s="105">
        <f t="shared" si="4"/>
        <v>0</v>
      </c>
      <c r="AL29" s="103">
        <f>+$I29*지급비율!AB23</f>
        <v>0</v>
      </c>
      <c r="AM29" s="103"/>
      <c r="AN29" s="103">
        <f t="shared" si="5"/>
        <v>0</v>
      </c>
      <c r="AO29" s="101"/>
      <c r="AP29" s="85"/>
      <c r="AQ29" s="101"/>
      <c r="AR29" s="105"/>
      <c r="AS29" s="103">
        <f>+$I29*지급비율!AI23</f>
        <v>0</v>
      </c>
      <c r="AT29" s="103"/>
      <c r="AU29" s="103">
        <f t="shared" si="6"/>
        <v>0</v>
      </c>
      <c r="AV29" s="101"/>
      <c r="AW29" s="85"/>
      <c r="AX29" s="101"/>
      <c r="AY29" s="105"/>
      <c r="AZ29" s="103">
        <f>+$I29*지급비율!AP23</f>
        <v>0</v>
      </c>
      <c r="BA29" s="103"/>
      <c r="BB29" s="103">
        <f t="shared" si="7"/>
        <v>0</v>
      </c>
      <c r="BC29" s="101"/>
      <c r="BD29" s="85"/>
      <c r="BE29" s="101"/>
      <c r="BF29" s="105"/>
      <c r="BG29" s="103">
        <f>+$I29*지급비율!AW23</f>
        <v>0</v>
      </c>
      <c r="BH29" s="103"/>
      <c r="BI29" s="103">
        <f t="shared" si="8"/>
        <v>0</v>
      </c>
      <c r="BJ29" s="101"/>
      <c r="BK29" s="104">
        <v>46053</v>
      </c>
      <c r="BL29" s="101"/>
      <c r="BM29" s="105">
        <f t="shared" si="9"/>
        <v>1</v>
      </c>
      <c r="BN29" s="103">
        <f>+$I29*지급비율!BD23</f>
        <v>31432500</v>
      </c>
      <c r="BO29" s="103"/>
      <c r="BP29" s="103">
        <f t="shared" si="10"/>
        <v>31432500</v>
      </c>
      <c r="BQ29" s="101"/>
      <c r="BR29" s="88"/>
      <c r="BS29" s="89" t="b">
        <f>+Q29+X29+AE29+AS29+AZ29+BG29+BN29=I29</f>
        <v>1</v>
      </c>
      <c r="BT29" s="90" t="b">
        <f>+R29+Y29+AF29+AT29+BA29+BH29+BO29=K29</f>
        <v>1</v>
      </c>
      <c r="BU29" s="90"/>
      <c r="BV29" s="54"/>
      <c r="BW29" s="54"/>
      <c r="BX29" s="54"/>
      <c r="BY29" s="54"/>
      <c r="BZ29" s="54"/>
      <c r="CA29" s="54"/>
      <c r="CB29" s="54"/>
      <c r="CC29" s="54"/>
      <c r="CD29" s="58"/>
      <c r="CE29" s="58"/>
    </row>
    <row r="30" spans="1:83" ht="16.5" customHeight="1">
      <c r="A30" s="62"/>
      <c r="B30" s="1322"/>
      <c r="C30" s="1532"/>
      <c r="D30" s="1345"/>
      <c r="E30" s="1324"/>
      <c r="F30" s="91" t="s">
        <v>392</v>
      </c>
      <c r="G30" s="92">
        <f>SUM(G26:G29)</f>
        <v>257175000</v>
      </c>
      <c r="H30" s="92">
        <f>SUM(H26:H29)</f>
        <v>25717500</v>
      </c>
      <c r="I30" s="92">
        <f>SUM(I26:I29)</f>
        <v>282892500</v>
      </c>
      <c r="J30" s="91">
        <f t="shared" si="0"/>
        <v>0.3318762250678261</v>
      </c>
      <c r="K30" s="92">
        <f>SUM(K26:K29)</f>
        <v>93885295</v>
      </c>
      <c r="L30" s="92">
        <f>SUM(L26:L29)</f>
        <v>189007205</v>
      </c>
      <c r="M30" s="419"/>
      <c r="N30" s="93"/>
      <c r="O30" s="91"/>
      <c r="P30" s="94">
        <f>+IFERROR(Q30/$I30,"-")</f>
        <v>5.5555555555555552E-2</v>
      </c>
      <c r="Q30" s="92">
        <f>SUM(Q26:Q29)</f>
        <v>15716250</v>
      </c>
      <c r="R30" s="170">
        <f>SUM(R26:R29)</f>
        <v>15716250</v>
      </c>
      <c r="S30" s="92">
        <f t="shared" si="1"/>
        <v>0</v>
      </c>
      <c r="T30" s="91"/>
      <c r="U30" s="93"/>
      <c r="V30" s="91"/>
      <c r="W30" s="94">
        <f>+IFERROR(X30/$I30,"-")</f>
        <v>5.5555555555555552E-2</v>
      </c>
      <c r="X30" s="92">
        <f>SUM(X26:X29)</f>
        <v>15716250</v>
      </c>
      <c r="Y30" s="170">
        <f>SUM(Y26:Y29)</f>
        <v>38878420</v>
      </c>
      <c r="Z30" s="92">
        <f t="shared" si="2"/>
        <v>-23162170</v>
      </c>
      <c r="AA30" s="91"/>
      <c r="AB30" s="93"/>
      <c r="AC30" s="91"/>
      <c r="AD30" s="94">
        <f>+IFERROR(AE30/$I30,"-")</f>
        <v>0.44444444444444442</v>
      </c>
      <c r="AE30" s="92">
        <f>SUM(AE26:AE29)</f>
        <v>125730000</v>
      </c>
      <c r="AF30" s="170">
        <f>SUM(AF26:AF29)</f>
        <v>39290625</v>
      </c>
      <c r="AG30" s="92">
        <f t="shared" si="3"/>
        <v>86439375</v>
      </c>
      <c r="AH30" s="91"/>
      <c r="AI30" s="93"/>
      <c r="AJ30" s="91"/>
      <c r="AK30" s="94">
        <f t="shared" si="4"/>
        <v>0</v>
      </c>
      <c r="AL30" s="92">
        <f>SUM(AL26:AL29)</f>
        <v>0</v>
      </c>
      <c r="AM30" s="92">
        <f>SUM(AM26:AM29)</f>
        <v>0</v>
      </c>
      <c r="AN30" s="92">
        <f t="shared" si="5"/>
        <v>0</v>
      </c>
      <c r="AO30" s="91"/>
      <c r="AP30" s="93"/>
      <c r="AQ30" s="91"/>
      <c r="AR30" s="94">
        <f>+IFERROR(AS30/$I30,"-")</f>
        <v>0</v>
      </c>
      <c r="AS30" s="92">
        <f>SUM(AS26:AS29)</f>
        <v>0</v>
      </c>
      <c r="AT30" s="92">
        <f>SUM(AT26:AT29)</f>
        <v>0</v>
      </c>
      <c r="AU30" s="92">
        <f t="shared" si="6"/>
        <v>0</v>
      </c>
      <c r="AV30" s="91"/>
      <c r="AW30" s="93"/>
      <c r="AX30" s="91"/>
      <c r="AY30" s="94">
        <f>+IFERROR(AZ30/$I30,"-")</f>
        <v>0</v>
      </c>
      <c r="AZ30" s="92">
        <f>SUM(AZ26:AZ29)</f>
        <v>0</v>
      </c>
      <c r="BA30" s="92">
        <f>SUM(BA26:BA29)</f>
        <v>0</v>
      </c>
      <c r="BB30" s="92">
        <f t="shared" si="7"/>
        <v>0</v>
      </c>
      <c r="BC30" s="91"/>
      <c r="BD30" s="93"/>
      <c r="BE30" s="91"/>
      <c r="BF30" s="94">
        <f>+IFERROR(BG30/$I30,"-")</f>
        <v>0.24444444444444444</v>
      </c>
      <c r="BG30" s="92">
        <f>SUM(BG26:BG29)</f>
        <v>69151500</v>
      </c>
      <c r="BH30" s="92">
        <f>SUM(BH26:BH29)</f>
        <v>0</v>
      </c>
      <c r="BI30" s="92">
        <f t="shared" si="8"/>
        <v>69151500</v>
      </c>
      <c r="BJ30" s="91"/>
      <c r="BK30" s="93"/>
      <c r="BL30" s="91"/>
      <c r="BM30" s="94">
        <f t="shared" si="9"/>
        <v>0.2</v>
      </c>
      <c r="BN30" s="92">
        <f>SUM(BN26:BN29)</f>
        <v>56578500</v>
      </c>
      <c r="BO30" s="92">
        <f>SUM(BO26:BO29)</f>
        <v>0</v>
      </c>
      <c r="BP30" s="92">
        <f t="shared" si="10"/>
        <v>56578500</v>
      </c>
      <c r="BQ30" s="91"/>
      <c r="BR30" s="88"/>
      <c r="BS30" s="96"/>
      <c r="BT30" s="96"/>
      <c r="BU30" s="139"/>
      <c r="BV30" s="54"/>
      <c r="BW30" s="54"/>
      <c r="BX30" s="54"/>
      <c r="BY30" s="54"/>
      <c r="BZ30" s="54"/>
      <c r="CA30" s="54"/>
      <c r="CB30" s="54"/>
      <c r="CC30" s="54"/>
      <c r="CD30" s="58"/>
      <c r="CE30" s="58"/>
    </row>
    <row r="31" spans="1:83" ht="16.5" customHeight="1">
      <c r="A31" s="62"/>
      <c r="B31" s="1322">
        <f t="shared" ref="B31" si="13">+B26+1</f>
        <v>5</v>
      </c>
      <c r="C31" s="1531" t="s">
        <v>893</v>
      </c>
      <c r="D31" s="1343">
        <v>897.89</v>
      </c>
      <c r="E31" s="1324" t="s">
        <v>888</v>
      </c>
      <c r="F31" s="63" t="s">
        <v>388</v>
      </c>
      <c r="G31" s="64">
        <f>+$G$2*D31/1000</f>
        <v>987679000</v>
      </c>
      <c r="H31" s="64">
        <f>+G31*10%</f>
        <v>98767900</v>
      </c>
      <c r="I31" s="64">
        <f>SUM(G31:H31)</f>
        <v>1086446900</v>
      </c>
      <c r="J31" s="63">
        <f t="shared" si="0"/>
        <v>2.8985245390271721E-2</v>
      </c>
      <c r="K31" s="134">
        <f>+IFERROR(R31+Y31+AF31+AM31+AT31+BA31+BH31+BO31,"-")</f>
        <v>31490930</v>
      </c>
      <c r="L31" s="134">
        <f>+I31-K31</f>
        <v>1054955970</v>
      </c>
      <c r="M31" s="1331" t="s">
        <v>894</v>
      </c>
      <c r="N31" s="67"/>
      <c r="O31" s="67"/>
      <c r="P31" s="135"/>
      <c r="Q31" s="66"/>
      <c r="R31" s="66"/>
      <c r="S31" s="66">
        <f t="shared" si="1"/>
        <v>0</v>
      </c>
      <c r="T31" s="136"/>
      <c r="U31" s="67"/>
      <c r="V31" s="67">
        <v>45980</v>
      </c>
      <c r="W31" s="135"/>
      <c r="X31" s="66">
        <v>0</v>
      </c>
      <c r="Y31" s="66">
        <f>1100000+23548800+2433490+4408640</f>
        <v>31490930</v>
      </c>
      <c r="Z31" s="66">
        <f t="shared" si="2"/>
        <v>-31490930</v>
      </c>
      <c r="AA31" s="1052" t="s">
        <v>832</v>
      </c>
      <c r="AB31" s="67">
        <f>+EDATE(AI31,1)</f>
        <v>46020</v>
      </c>
      <c r="AC31" s="67"/>
      <c r="AD31" s="135">
        <f>+IFERROR(AE31/$I31,"-")</f>
        <v>0.5</v>
      </c>
      <c r="AE31" s="66">
        <f>+$I31*지급비율!U20</f>
        <v>543223450</v>
      </c>
      <c r="AF31" s="66"/>
      <c r="AG31" s="66">
        <f t="shared" si="3"/>
        <v>543223450</v>
      </c>
      <c r="AH31" s="136"/>
      <c r="AI31" s="67">
        <f>+EDATE(AP31,-1)</f>
        <v>45990</v>
      </c>
      <c r="AJ31" s="67"/>
      <c r="AK31" s="135">
        <f t="shared" si="4"/>
        <v>0</v>
      </c>
      <c r="AL31" s="66">
        <f>+$I31*지급비율!AB20</f>
        <v>0</v>
      </c>
      <c r="AM31" s="66"/>
      <c r="AN31" s="66">
        <f t="shared" si="5"/>
        <v>0</v>
      </c>
      <c r="AO31" s="136"/>
      <c r="AP31" s="67">
        <f>+EDATE(AW31,-1)+1</f>
        <v>46020</v>
      </c>
      <c r="AQ31" s="67"/>
      <c r="AR31" s="135">
        <f>+IFERROR(AS31/$I31,"-")</f>
        <v>0</v>
      </c>
      <c r="AS31" s="66">
        <f>+$I31*지급비율!AI20</f>
        <v>0</v>
      </c>
      <c r="AT31" s="66"/>
      <c r="AU31" s="66">
        <f t="shared" si="6"/>
        <v>0</v>
      </c>
      <c r="AV31" s="136"/>
      <c r="AW31" s="67">
        <f>+EDATE(BD31,-1)</f>
        <v>46050</v>
      </c>
      <c r="AX31" s="67"/>
      <c r="AY31" s="135">
        <f>+IFERROR(AZ31/$I31,"-")</f>
        <v>0</v>
      </c>
      <c r="AZ31" s="66">
        <f>+$I31*지급비율!AP20</f>
        <v>0</v>
      </c>
      <c r="BA31" s="66"/>
      <c r="BB31" s="66">
        <f t="shared" si="7"/>
        <v>0</v>
      </c>
      <c r="BC31" s="136"/>
      <c r="BD31" s="67">
        <f>+EDATE(BK31,-1)</f>
        <v>46081</v>
      </c>
      <c r="BE31" s="67"/>
      <c r="BF31" s="135">
        <f>+IFERROR(BG31/$I31,"-")</f>
        <v>0.4</v>
      </c>
      <c r="BG31" s="66">
        <f>+$I31*지급비율!AW20</f>
        <v>434578760</v>
      </c>
      <c r="BH31" s="66"/>
      <c r="BI31" s="66">
        <f t="shared" si="8"/>
        <v>434578760</v>
      </c>
      <c r="BJ31" s="136"/>
      <c r="BK31" s="67">
        <v>46112</v>
      </c>
      <c r="BL31" s="67"/>
      <c r="BM31" s="135">
        <f t="shared" si="9"/>
        <v>0.1</v>
      </c>
      <c r="BN31" s="66">
        <f>+$I31*지급비율!BD20</f>
        <v>108644690</v>
      </c>
      <c r="BO31" s="66"/>
      <c r="BP31" s="66">
        <f t="shared" si="10"/>
        <v>108644690</v>
      </c>
      <c r="BQ31" s="136"/>
      <c r="BR31" s="73"/>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22"/>
      <c r="C32" s="1531"/>
      <c r="D32" s="1344"/>
      <c r="E32" s="1324"/>
      <c r="F32" s="75" t="s">
        <v>389</v>
      </c>
      <c r="G32" s="76">
        <f>+지급비율!F21*D31/1000</f>
        <v>269367000</v>
      </c>
      <c r="H32" s="76">
        <f>+G32*10%</f>
        <v>26936700</v>
      </c>
      <c r="I32" s="76">
        <f>SUM(G32:H32)</f>
        <v>296303700</v>
      </c>
      <c r="J32" s="75">
        <f t="shared" si="0"/>
        <v>0.9</v>
      </c>
      <c r="K32" s="80">
        <f>+IFERROR(R32+Y32+AF32+AM32+AT32+BA32+BH32+BO32,"-")</f>
        <v>266673330</v>
      </c>
      <c r="L32" s="80">
        <f>+I32-K32</f>
        <v>29630370</v>
      </c>
      <c r="M32" s="1332"/>
      <c r="N32" s="72">
        <v>45820</v>
      </c>
      <c r="O32" s="72">
        <v>45820</v>
      </c>
      <c r="P32" s="79">
        <f>+IFERROR(Q32/$I32,"-")</f>
        <v>0.2</v>
      </c>
      <c r="Q32" s="99">
        <f>+$I32*지급비율!G21</f>
        <v>59260740</v>
      </c>
      <c r="R32" s="99">
        <v>59260740</v>
      </c>
      <c r="S32" s="99">
        <f t="shared" si="1"/>
        <v>0</v>
      </c>
      <c r="T32" s="140"/>
      <c r="U32" s="78">
        <v>45900</v>
      </c>
      <c r="V32" s="78">
        <v>45883</v>
      </c>
      <c r="W32" s="79">
        <f>+IFERROR(X32/$I32,"-")</f>
        <v>0.2</v>
      </c>
      <c r="X32" s="99">
        <f>+$I32*지급비율!N21</f>
        <v>59260740</v>
      </c>
      <c r="Y32" s="70">
        <v>59260740</v>
      </c>
      <c r="Z32" s="70">
        <f t="shared" si="2"/>
        <v>0</v>
      </c>
      <c r="AA32" s="81"/>
      <c r="AB32" s="476">
        <v>45930</v>
      </c>
      <c r="AC32" s="476">
        <v>45922</v>
      </c>
      <c r="AD32" s="477">
        <f>+IFERROR(AE32/$I32,"-")</f>
        <v>0.5</v>
      </c>
      <c r="AE32" s="478">
        <f>+$I32*지급비율!U21</f>
        <v>148151850</v>
      </c>
      <c r="AF32" s="478">
        <v>148151850</v>
      </c>
      <c r="AG32" s="478">
        <f t="shared" si="3"/>
        <v>0</v>
      </c>
      <c r="AH32" s="479"/>
      <c r="AI32" s="78"/>
      <c r="AJ32" s="72"/>
      <c r="AK32" s="79">
        <f t="shared" si="4"/>
        <v>0</v>
      </c>
      <c r="AL32" s="99">
        <f>+$I32*지급비율!AB21</f>
        <v>0</v>
      </c>
      <c r="AM32" s="99"/>
      <c r="AN32" s="99">
        <f t="shared" si="5"/>
        <v>0</v>
      </c>
      <c r="AO32" s="137"/>
      <c r="AP32" s="78"/>
      <c r="AQ32" s="72"/>
      <c r="AR32" s="79"/>
      <c r="AS32" s="99">
        <f>+$I32*지급비율!AI21</f>
        <v>0</v>
      </c>
      <c r="AT32" s="99"/>
      <c r="AU32" s="99">
        <f t="shared" si="6"/>
        <v>0</v>
      </c>
      <c r="AV32" s="137"/>
      <c r="AW32" s="78"/>
      <c r="AX32" s="72"/>
      <c r="AY32" s="79"/>
      <c r="AZ32" s="99">
        <f>+$I32*지급비율!AP21</f>
        <v>0</v>
      </c>
      <c r="BA32" s="99"/>
      <c r="BB32" s="99">
        <f t="shared" si="7"/>
        <v>0</v>
      </c>
      <c r="BC32" s="137"/>
      <c r="BD32" s="78"/>
      <c r="BE32" s="72"/>
      <c r="BF32" s="79"/>
      <c r="BG32" s="99">
        <f>+$I32*지급비율!AW21</f>
        <v>0</v>
      </c>
      <c r="BH32" s="99"/>
      <c r="BI32" s="99">
        <f t="shared" si="8"/>
        <v>0</v>
      </c>
      <c r="BJ32" s="137"/>
      <c r="BK32" s="138">
        <v>46112</v>
      </c>
      <c r="BL32" s="72"/>
      <c r="BM32" s="79">
        <f t="shared" si="9"/>
        <v>0.1</v>
      </c>
      <c r="BN32" s="99">
        <f>+$I32*지급비율!BD21</f>
        <v>29630370</v>
      </c>
      <c r="BO32" s="99"/>
      <c r="BP32" s="99">
        <f t="shared" si="10"/>
        <v>29630370</v>
      </c>
      <c r="BQ32" s="137"/>
      <c r="BR32" s="73"/>
      <c r="BS32" s="74" t="b">
        <f>+Q32+X32+AE32+AS32+AZ32+BG32+BN32=I32</f>
        <v>1</v>
      </c>
      <c r="BT32" s="74" t="b">
        <f>+R32+Y32+AF32+AT32+BA32+BH32+BO32=K32</f>
        <v>1</v>
      </c>
      <c r="BU32" s="74" t="b">
        <f>+BG32+BG33+AZ32+AZ33+AS32+AS33+AE32+AE33+X32+X33+Q32+Q33+BN32+BN33=([5]지급비율!$F$21+[5]지급비율!$F$22)*1.1*D31/1000</f>
        <v>1</v>
      </c>
      <c r="BV32" s="54"/>
      <c r="BW32" s="54"/>
      <c r="BX32" s="54"/>
      <c r="BY32" s="54"/>
      <c r="BZ32" s="54"/>
      <c r="CA32" s="54"/>
      <c r="CB32" s="54"/>
      <c r="CC32" s="54"/>
      <c r="CD32" s="58"/>
      <c r="CE32" s="58"/>
    </row>
    <row r="33" spans="1:83" ht="16.5" customHeight="1">
      <c r="A33" s="62"/>
      <c r="B33" s="1322"/>
      <c r="C33" s="1531"/>
      <c r="D33" s="1344"/>
      <c r="E33" s="1324"/>
      <c r="F33" s="75" t="s">
        <v>390</v>
      </c>
      <c r="G33" s="76">
        <f>+지급비율!F22*D31/1000</f>
        <v>179578000</v>
      </c>
      <c r="H33" s="76">
        <f>+G33*10%</f>
        <v>17957800</v>
      </c>
      <c r="I33" s="76">
        <f>SUM(G33:H33)</f>
        <v>197535800</v>
      </c>
      <c r="J33" s="75">
        <f t="shared" si="0"/>
        <v>0.9</v>
      </c>
      <c r="K33" s="80">
        <f>+IFERROR(R33+Y33+AF33+AM33+AT33+BA33+BH33+BO33,"-")</f>
        <v>177782220</v>
      </c>
      <c r="L33" s="80">
        <f>+I33-K33</f>
        <v>19753580</v>
      </c>
      <c r="M33" s="1332"/>
      <c r="N33" s="72">
        <v>45820</v>
      </c>
      <c r="O33" s="72">
        <v>45820</v>
      </c>
      <c r="P33" s="79">
        <f>+IFERROR(Q33/$I33,"-")</f>
        <v>0.2</v>
      </c>
      <c r="Q33" s="99">
        <f>+$I33*지급비율!G22</f>
        <v>39507160</v>
      </c>
      <c r="R33" s="99">
        <v>39507160</v>
      </c>
      <c r="S33" s="99">
        <f t="shared" si="1"/>
        <v>0</v>
      </c>
      <c r="T33" s="140"/>
      <c r="U33" s="78">
        <v>45900</v>
      </c>
      <c r="V33" s="78">
        <v>45883</v>
      </c>
      <c r="W33" s="79">
        <f>+IFERROR(X33/$I33,"-")</f>
        <v>0.2</v>
      </c>
      <c r="X33" s="99">
        <f>+$I33*지급비율!N22</f>
        <v>39507160</v>
      </c>
      <c r="Y33" s="70">
        <v>39507160</v>
      </c>
      <c r="Z33" s="70">
        <f t="shared" si="2"/>
        <v>0</v>
      </c>
      <c r="AA33" s="81"/>
      <c r="AB33" s="476">
        <v>45930</v>
      </c>
      <c r="AC33" s="476">
        <v>45922</v>
      </c>
      <c r="AD33" s="477">
        <f>+IFERROR(AE33/$I33,"-")</f>
        <v>0.5</v>
      </c>
      <c r="AE33" s="478">
        <f>+$I33*지급비율!U22</f>
        <v>98767900</v>
      </c>
      <c r="AF33" s="478">
        <v>98767900</v>
      </c>
      <c r="AG33" s="478">
        <f t="shared" si="3"/>
        <v>0</v>
      </c>
      <c r="AH33" s="479"/>
      <c r="AI33" s="72"/>
      <c r="AJ33" s="72"/>
      <c r="AK33" s="79">
        <f t="shared" si="4"/>
        <v>0</v>
      </c>
      <c r="AL33" s="99">
        <f>+$I33*지급비율!AB22</f>
        <v>0</v>
      </c>
      <c r="AM33" s="99"/>
      <c r="AN33" s="99">
        <f t="shared" si="5"/>
        <v>0</v>
      </c>
      <c r="AO33" s="137"/>
      <c r="AP33" s="72"/>
      <c r="AQ33" s="72"/>
      <c r="AR33" s="79"/>
      <c r="AS33" s="99">
        <f>+$I33*지급비율!AI22</f>
        <v>0</v>
      </c>
      <c r="AT33" s="99"/>
      <c r="AU33" s="99">
        <f t="shared" si="6"/>
        <v>0</v>
      </c>
      <c r="AV33" s="137"/>
      <c r="AW33" s="72"/>
      <c r="AX33" s="72"/>
      <c r="AY33" s="79"/>
      <c r="AZ33" s="99">
        <f>+$I33*지급비율!AP22</f>
        <v>0</v>
      </c>
      <c r="BA33" s="99"/>
      <c r="BB33" s="99">
        <f t="shared" si="7"/>
        <v>0</v>
      </c>
      <c r="BC33" s="137"/>
      <c r="BD33" s="72"/>
      <c r="BE33" s="72"/>
      <c r="BF33" s="79"/>
      <c r="BG33" s="99">
        <f>+$I33*지급비율!AW22</f>
        <v>0</v>
      </c>
      <c r="BH33" s="99"/>
      <c r="BI33" s="99">
        <f t="shared" si="8"/>
        <v>0</v>
      </c>
      <c r="BJ33" s="137"/>
      <c r="BK33" s="72">
        <v>46112</v>
      </c>
      <c r="BL33" s="72"/>
      <c r="BM33" s="79">
        <f t="shared" si="9"/>
        <v>0.1</v>
      </c>
      <c r="BN33" s="99">
        <f>+$I33*지급비율!BD22</f>
        <v>19753580</v>
      </c>
      <c r="BO33" s="99"/>
      <c r="BP33" s="99">
        <f t="shared" si="10"/>
        <v>19753580</v>
      </c>
      <c r="BQ33" s="137"/>
      <c r="BR33" s="73"/>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22"/>
      <c r="C34" s="1531"/>
      <c r="D34" s="1344"/>
      <c r="E34" s="1324"/>
      <c r="F34" s="101" t="s">
        <v>391</v>
      </c>
      <c r="G34" s="102">
        <f>+지급비율!F23*D31/1000</f>
        <v>179578000</v>
      </c>
      <c r="H34" s="102">
        <f>+G34*0.1</f>
        <v>17957800</v>
      </c>
      <c r="I34" s="102">
        <f>SUM(G34:H34)</f>
        <v>197535800</v>
      </c>
      <c r="J34" s="101">
        <f t="shared" si="0"/>
        <v>0</v>
      </c>
      <c r="K34" s="106">
        <f>+IFERROR(R34+Y34+AF34+AM34+AT34+BA34+BH34+BO34,"-")</f>
        <v>0</v>
      </c>
      <c r="L34" s="106">
        <f>+I34-K34</f>
        <v>197535800</v>
      </c>
      <c r="M34" s="1333"/>
      <c r="N34" s="104"/>
      <c r="O34" s="101"/>
      <c r="P34" s="105"/>
      <c r="Q34" s="103"/>
      <c r="R34" s="103"/>
      <c r="S34" s="103">
        <f t="shared" si="1"/>
        <v>0</v>
      </c>
      <c r="T34" s="101"/>
      <c r="U34" s="85"/>
      <c r="V34" s="101"/>
      <c r="W34" s="105"/>
      <c r="X34" s="103">
        <f>+$I34*지급비율!N23</f>
        <v>0</v>
      </c>
      <c r="Y34" s="103"/>
      <c r="Z34" s="103">
        <f t="shared" si="2"/>
        <v>0</v>
      </c>
      <c r="AA34" s="101"/>
      <c r="AB34" s="85"/>
      <c r="AC34" s="101"/>
      <c r="AD34" s="105"/>
      <c r="AE34" s="103">
        <f>+$I34*지급비율!U23</f>
        <v>0</v>
      </c>
      <c r="AF34" s="103"/>
      <c r="AG34" s="103">
        <f t="shared" si="3"/>
        <v>0</v>
      </c>
      <c r="AH34" s="101"/>
      <c r="AI34" s="85"/>
      <c r="AJ34" s="101"/>
      <c r="AK34" s="105">
        <f t="shared" si="4"/>
        <v>0</v>
      </c>
      <c r="AL34" s="103">
        <f>+$I34*지급비율!AB23</f>
        <v>0</v>
      </c>
      <c r="AM34" s="103"/>
      <c r="AN34" s="103">
        <f t="shared" si="5"/>
        <v>0</v>
      </c>
      <c r="AO34" s="101"/>
      <c r="AP34" s="85"/>
      <c r="AQ34" s="101"/>
      <c r="AR34" s="105"/>
      <c r="AS34" s="103">
        <f>+$I34*지급비율!AI23</f>
        <v>0</v>
      </c>
      <c r="AT34" s="103"/>
      <c r="AU34" s="103">
        <f t="shared" si="6"/>
        <v>0</v>
      </c>
      <c r="AV34" s="101"/>
      <c r="AW34" s="85"/>
      <c r="AX34" s="101"/>
      <c r="AY34" s="105"/>
      <c r="AZ34" s="103">
        <f>+$I34*지급비율!AP23</f>
        <v>0</v>
      </c>
      <c r="BA34" s="103"/>
      <c r="BB34" s="103">
        <f t="shared" si="7"/>
        <v>0</v>
      </c>
      <c r="BC34" s="101"/>
      <c r="BD34" s="85"/>
      <c r="BE34" s="101"/>
      <c r="BF34" s="105"/>
      <c r="BG34" s="103">
        <f>+$I34*지급비율!AW23</f>
        <v>0</v>
      </c>
      <c r="BH34" s="103"/>
      <c r="BI34" s="103">
        <f t="shared" si="8"/>
        <v>0</v>
      </c>
      <c r="BJ34" s="101"/>
      <c r="BK34" s="104">
        <v>46112</v>
      </c>
      <c r="BL34" s="101"/>
      <c r="BM34" s="105">
        <f t="shared" si="9"/>
        <v>1</v>
      </c>
      <c r="BN34" s="103">
        <f>+$I34*지급비율!BD23</f>
        <v>197535800</v>
      </c>
      <c r="BO34" s="103"/>
      <c r="BP34" s="103">
        <f t="shared" si="10"/>
        <v>197535800</v>
      </c>
      <c r="BQ34" s="101"/>
      <c r="BR34" s="88"/>
      <c r="BS34" s="89" t="b">
        <f>+Q34+X34+AE34+AS34+AZ34+BG34+BN34=I34</f>
        <v>1</v>
      </c>
      <c r="BT34" s="90" t="b">
        <f>+R34+Y34+AF34+AT34+BA34+BH34+BO34=K34</f>
        <v>1</v>
      </c>
      <c r="BU34" s="90"/>
      <c r="BV34" s="54"/>
      <c r="BW34" s="54"/>
      <c r="BX34" s="54"/>
      <c r="BY34" s="54"/>
      <c r="BZ34" s="54"/>
      <c r="CA34" s="54"/>
      <c r="CB34" s="54"/>
      <c r="CC34" s="54"/>
      <c r="CD34" s="58"/>
      <c r="CE34" s="58"/>
    </row>
    <row r="35" spans="1:83" ht="16.5" customHeight="1">
      <c r="A35" s="62"/>
      <c r="B35" s="1322"/>
      <c r="C35" s="1531"/>
      <c r="D35" s="1345"/>
      <c r="E35" s="1324"/>
      <c r="F35" s="91" t="s">
        <v>392</v>
      </c>
      <c r="G35" s="92">
        <f>SUM(G31:G34)</f>
        <v>1616202000</v>
      </c>
      <c r="H35" s="92">
        <f>SUM(H31:H34)</f>
        <v>161620200</v>
      </c>
      <c r="I35" s="92">
        <f>SUM(I31:I34)</f>
        <v>1777822200</v>
      </c>
      <c r="J35" s="91">
        <f t="shared" si="0"/>
        <v>0.26771320551627714</v>
      </c>
      <c r="K35" s="92">
        <f>SUM(K31:K34)</f>
        <v>475946480</v>
      </c>
      <c r="L35" s="92">
        <f>SUM(L31:L34)</f>
        <v>1301875720</v>
      </c>
      <c r="M35" s="419">
        <f>+X32+X33+AE32+AE33</f>
        <v>345687650</v>
      </c>
      <c r="N35" s="93"/>
      <c r="O35" s="91"/>
      <c r="P35" s="94">
        <f>+IFERROR(Q35/$I35,"-")</f>
        <v>5.5555555555555552E-2</v>
      </c>
      <c r="Q35" s="92">
        <f>SUM(Q31:Q34)</f>
        <v>98767900</v>
      </c>
      <c r="R35" s="170">
        <f>SUM(R31:R34)</f>
        <v>98767900</v>
      </c>
      <c r="S35" s="92">
        <f t="shared" si="1"/>
        <v>0</v>
      </c>
      <c r="T35" s="91"/>
      <c r="U35" s="93"/>
      <c r="V35" s="91"/>
      <c r="W35" s="94">
        <f>+IFERROR(X35/$I35,"-")</f>
        <v>5.5555555555555552E-2</v>
      </c>
      <c r="X35" s="92">
        <f>SUM(X31:X34)</f>
        <v>98767900</v>
      </c>
      <c r="Y35" s="170">
        <f>SUM(Y31:Y34)</f>
        <v>130258830</v>
      </c>
      <c r="Z35" s="92">
        <f t="shared" si="2"/>
        <v>-31490930</v>
      </c>
      <c r="AA35" s="91"/>
      <c r="AB35" s="93"/>
      <c r="AC35" s="91"/>
      <c r="AD35" s="94">
        <f>+IFERROR(AE35/$I35,"-")</f>
        <v>0.44444444444444442</v>
      </c>
      <c r="AE35" s="92">
        <f>SUM(AE31:AE34)</f>
        <v>790143200</v>
      </c>
      <c r="AF35" s="170">
        <f>SUM(AF31:AF34)</f>
        <v>246919750</v>
      </c>
      <c r="AG35" s="92">
        <f t="shared" si="3"/>
        <v>543223450</v>
      </c>
      <c r="AH35" s="91"/>
      <c r="AI35" s="93"/>
      <c r="AJ35" s="91"/>
      <c r="AK35" s="94">
        <f t="shared" si="4"/>
        <v>0</v>
      </c>
      <c r="AL35" s="92">
        <f>SUM(AL31:AL34)</f>
        <v>0</v>
      </c>
      <c r="AM35" s="92">
        <f>SUM(AM31:AM34)</f>
        <v>0</v>
      </c>
      <c r="AN35" s="92">
        <f t="shared" si="5"/>
        <v>0</v>
      </c>
      <c r="AO35" s="91"/>
      <c r="AP35" s="93"/>
      <c r="AQ35" s="91"/>
      <c r="AR35" s="94">
        <f>+IFERROR(AS35/$I35,"-")</f>
        <v>0</v>
      </c>
      <c r="AS35" s="92">
        <f>SUM(AS31:AS34)</f>
        <v>0</v>
      </c>
      <c r="AT35" s="92">
        <f>SUM(AT31:AT34)</f>
        <v>0</v>
      </c>
      <c r="AU35" s="92">
        <f t="shared" si="6"/>
        <v>0</v>
      </c>
      <c r="AV35" s="91"/>
      <c r="AW35" s="93"/>
      <c r="AX35" s="91"/>
      <c r="AY35" s="94">
        <f>+IFERROR(AZ35/$I35,"-")</f>
        <v>0</v>
      </c>
      <c r="AZ35" s="92">
        <f>SUM(AZ31:AZ34)</f>
        <v>0</v>
      </c>
      <c r="BA35" s="92">
        <f>SUM(BA31:BA34)</f>
        <v>0</v>
      </c>
      <c r="BB35" s="92">
        <f t="shared" si="7"/>
        <v>0</v>
      </c>
      <c r="BC35" s="91"/>
      <c r="BD35" s="93"/>
      <c r="BE35" s="91"/>
      <c r="BF35" s="94">
        <f>+IFERROR(BG35/$I35,"-")</f>
        <v>0.24444444444444444</v>
      </c>
      <c r="BG35" s="92">
        <f>SUM(BG31:BG34)</f>
        <v>434578760</v>
      </c>
      <c r="BH35" s="92">
        <f>SUM(BH31:BH34)</f>
        <v>0</v>
      </c>
      <c r="BI35" s="92">
        <f t="shared" si="8"/>
        <v>434578760</v>
      </c>
      <c r="BJ35" s="91"/>
      <c r="BK35" s="93"/>
      <c r="BL35" s="91"/>
      <c r="BM35" s="94">
        <f t="shared" si="9"/>
        <v>0.2</v>
      </c>
      <c r="BN35" s="92">
        <f>SUM(BN31:BN34)</f>
        <v>355564440</v>
      </c>
      <c r="BO35" s="92">
        <f>SUM(BO31:BO34)</f>
        <v>0</v>
      </c>
      <c r="BP35" s="92">
        <f t="shared" si="10"/>
        <v>355564440</v>
      </c>
      <c r="BQ35" s="91"/>
      <c r="BR35" s="88"/>
      <c r="BS35" s="96"/>
      <c r="BT35" s="96"/>
      <c r="BU35" s="139"/>
      <c r="BV35" s="54"/>
      <c r="BW35" s="54"/>
      <c r="BX35" s="54"/>
      <c r="BY35" s="54"/>
      <c r="BZ35" s="54"/>
      <c r="CA35" s="54"/>
      <c r="CB35" s="54"/>
      <c r="CC35" s="54"/>
      <c r="CD35" s="58"/>
      <c r="CE35" s="58"/>
    </row>
    <row r="36" spans="1:83" ht="16.5" customHeight="1">
      <c r="A36" s="62"/>
      <c r="B36" s="1322">
        <f t="shared" ref="B36" si="14">+B31+1</f>
        <v>6</v>
      </c>
      <c r="C36" s="1531" t="s">
        <v>895</v>
      </c>
      <c r="D36" s="1343">
        <v>166.37</v>
      </c>
      <c r="E36" s="1324" t="s">
        <v>888</v>
      </c>
      <c r="F36" s="63" t="s">
        <v>388</v>
      </c>
      <c r="G36" s="64">
        <f>+$G$2*D36/1000</f>
        <v>183007000</v>
      </c>
      <c r="H36" s="64">
        <f>+G36*10%</f>
        <v>18300700</v>
      </c>
      <c r="I36" s="64">
        <f>SUM(G36:H36)</f>
        <v>201307700</v>
      </c>
      <c r="J36" s="63">
        <f t="shared" si="0"/>
        <v>0</v>
      </c>
      <c r="K36" s="134">
        <f>+IFERROR(R36+Y36+AF36+AM36+AT36+BA36+BH36+BO36,"-")</f>
        <v>0</v>
      </c>
      <c r="L36" s="134">
        <f>+I36-K36</f>
        <v>201307700</v>
      </c>
      <c r="M36" s="1331" t="s">
        <v>265</v>
      </c>
      <c r="N36" s="67"/>
      <c r="O36" s="67"/>
      <c r="P36" s="135"/>
      <c r="Q36" s="66"/>
      <c r="R36" s="66"/>
      <c r="S36" s="66">
        <f t="shared" si="1"/>
        <v>0</v>
      </c>
      <c r="T36" s="136"/>
      <c r="U36" s="364"/>
      <c r="V36" s="364"/>
      <c r="W36" s="365"/>
      <c r="X36" s="366">
        <f>+$I36*지급비율!N20</f>
        <v>0</v>
      </c>
      <c r="Y36" s="366"/>
      <c r="Z36" s="366">
        <f t="shared" si="2"/>
        <v>0</v>
      </c>
      <c r="AA36" s="367"/>
      <c r="AB36" s="67">
        <f>+EDATE(AI36,1)</f>
        <v>46020</v>
      </c>
      <c r="AC36" s="67"/>
      <c r="AD36" s="135">
        <f>+IFERROR(AE36/$I36,"-")</f>
        <v>0.5</v>
      </c>
      <c r="AE36" s="66">
        <f>+$I36*지급비율!U20</f>
        <v>100653850</v>
      </c>
      <c r="AF36" s="66"/>
      <c r="AG36" s="66">
        <f t="shared" si="3"/>
        <v>100653850</v>
      </c>
      <c r="AH36" s="136"/>
      <c r="AI36" s="67">
        <f>+EDATE(AP36,-1)</f>
        <v>45990</v>
      </c>
      <c r="AJ36" s="67"/>
      <c r="AK36" s="135">
        <f t="shared" si="4"/>
        <v>0</v>
      </c>
      <c r="AL36" s="66">
        <f>+$I36*[5]지급비율!AB$20</f>
        <v>0</v>
      </c>
      <c r="AM36" s="66"/>
      <c r="AN36" s="66">
        <f t="shared" si="5"/>
        <v>0</v>
      </c>
      <c r="AO36" s="136"/>
      <c r="AP36" s="67">
        <f>+EDATE(AW36,-1)+1</f>
        <v>46020</v>
      </c>
      <c r="AQ36" s="67"/>
      <c r="AR36" s="135">
        <f>+IFERROR(AS36/$I36,"-")</f>
        <v>0</v>
      </c>
      <c r="AS36" s="66">
        <f>+$I36*지급비율!AI20</f>
        <v>0</v>
      </c>
      <c r="AT36" s="66"/>
      <c r="AU36" s="66">
        <f t="shared" si="6"/>
        <v>0</v>
      </c>
      <c r="AV36" s="136"/>
      <c r="AW36" s="67">
        <f>+EDATE(BD36,-1)</f>
        <v>46050</v>
      </c>
      <c r="AX36" s="67"/>
      <c r="AY36" s="135">
        <f>+IFERROR(AZ36/$I36,"-")</f>
        <v>0</v>
      </c>
      <c r="AZ36" s="66">
        <f>+$I36*지급비율!AP20</f>
        <v>0</v>
      </c>
      <c r="BA36" s="66"/>
      <c r="BB36" s="66">
        <f t="shared" si="7"/>
        <v>0</v>
      </c>
      <c r="BC36" s="136"/>
      <c r="BD36" s="67">
        <f>+EDATE(BK36,-1)</f>
        <v>46081</v>
      </c>
      <c r="BE36" s="67"/>
      <c r="BF36" s="135">
        <f>+IFERROR(BG36/$I36,"-")</f>
        <v>0.4</v>
      </c>
      <c r="BG36" s="66">
        <f>+$I36*지급비율!AW20</f>
        <v>80523080</v>
      </c>
      <c r="BH36" s="66"/>
      <c r="BI36" s="66">
        <f t="shared" si="8"/>
        <v>80523080</v>
      </c>
      <c r="BJ36" s="136"/>
      <c r="BK36" s="67">
        <v>46112</v>
      </c>
      <c r="BL36" s="67"/>
      <c r="BM36" s="135">
        <f t="shared" si="9"/>
        <v>0.1</v>
      </c>
      <c r="BN36" s="66">
        <f>+$I36*지급비율!BD20</f>
        <v>20130770</v>
      </c>
      <c r="BO36" s="66"/>
      <c r="BP36" s="66">
        <f t="shared" si="10"/>
        <v>20130770</v>
      </c>
      <c r="BQ36" s="136"/>
      <c r="BR36" s="73"/>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22"/>
      <c r="C37" s="1531"/>
      <c r="D37" s="1344"/>
      <c r="E37" s="1324"/>
      <c r="F37" s="75" t="s">
        <v>389</v>
      </c>
      <c r="G37" s="76">
        <f>+지급비율!F21*D36/1000</f>
        <v>49911000</v>
      </c>
      <c r="H37" s="76">
        <f>+G37*10%</f>
        <v>4991100</v>
      </c>
      <c r="I37" s="76">
        <f>SUM(G37:H37)</f>
        <v>54902100</v>
      </c>
      <c r="J37" s="75">
        <f t="shared" si="0"/>
        <v>0.9</v>
      </c>
      <c r="K37" s="80">
        <f>+IFERROR(R37+Y37+AF37+AM37+AT37+BA37+BH37+BO37,"-")</f>
        <v>49411890</v>
      </c>
      <c r="L37" s="80">
        <f>+I37-K37</f>
        <v>5490210</v>
      </c>
      <c r="M37" s="1332"/>
      <c r="N37" s="72">
        <v>45820</v>
      </c>
      <c r="O37" s="72">
        <v>45820</v>
      </c>
      <c r="P37" s="79">
        <f>+IFERROR(Q37/$I37,"-")</f>
        <v>0.2</v>
      </c>
      <c r="Q37" s="99">
        <f>+$I37*지급비율!G21</f>
        <v>10980420</v>
      </c>
      <c r="R37" s="99">
        <v>10980420</v>
      </c>
      <c r="S37" s="99">
        <f t="shared" si="1"/>
        <v>0</v>
      </c>
      <c r="T37" s="140"/>
      <c r="U37" s="78">
        <v>45855</v>
      </c>
      <c r="V37" s="78">
        <v>45867</v>
      </c>
      <c r="W37" s="79">
        <f>+IFERROR(X37/$I37,"-")</f>
        <v>0.2</v>
      </c>
      <c r="X37" s="70">
        <f>+$I37*지급비율!N21</f>
        <v>10980420</v>
      </c>
      <c r="Y37" s="70">
        <v>10980420</v>
      </c>
      <c r="Z37" s="70">
        <f t="shared" si="2"/>
        <v>0</v>
      </c>
      <c r="AA37" s="81"/>
      <c r="AB37" s="476">
        <v>45930</v>
      </c>
      <c r="AC37" s="476">
        <v>45922</v>
      </c>
      <c r="AD37" s="477">
        <f>+IFERROR(AE37/$I37,"-")</f>
        <v>0.5</v>
      </c>
      <c r="AE37" s="478">
        <f>+$I37*지급비율!U21</f>
        <v>27451050</v>
      </c>
      <c r="AF37" s="478">
        <f>+AE37</f>
        <v>27451050</v>
      </c>
      <c r="AG37" s="478">
        <f t="shared" si="3"/>
        <v>0</v>
      </c>
      <c r="AH37" s="479"/>
      <c r="AI37" s="78"/>
      <c r="AJ37" s="72"/>
      <c r="AK37" s="79">
        <f t="shared" si="4"/>
        <v>0</v>
      </c>
      <c r="AL37" s="99">
        <f>+$I37*[5]지급비율!AB$21</f>
        <v>0</v>
      </c>
      <c r="AM37" s="99"/>
      <c r="AN37" s="99">
        <f t="shared" si="5"/>
        <v>0</v>
      </c>
      <c r="AO37" s="137"/>
      <c r="AP37" s="78"/>
      <c r="AQ37" s="72"/>
      <c r="AR37" s="79"/>
      <c r="AS37" s="99">
        <f>+$I37*지급비율!AI21</f>
        <v>0</v>
      </c>
      <c r="AT37" s="99"/>
      <c r="AU37" s="99">
        <f t="shared" si="6"/>
        <v>0</v>
      </c>
      <c r="AV37" s="137"/>
      <c r="AW37" s="78"/>
      <c r="AX37" s="72"/>
      <c r="AY37" s="79"/>
      <c r="AZ37" s="99">
        <f>+$I37*지급비율!AP21</f>
        <v>0</v>
      </c>
      <c r="BA37" s="99"/>
      <c r="BB37" s="99">
        <f t="shared" si="7"/>
        <v>0</v>
      </c>
      <c r="BC37" s="137"/>
      <c r="BD37" s="78"/>
      <c r="BE37" s="72"/>
      <c r="BF37" s="79"/>
      <c r="BG37" s="99">
        <f>+$I37*지급비율!AW21</f>
        <v>0</v>
      </c>
      <c r="BH37" s="99"/>
      <c r="BI37" s="99">
        <f t="shared" si="8"/>
        <v>0</v>
      </c>
      <c r="BJ37" s="137"/>
      <c r="BK37" s="138">
        <v>46112</v>
      </c>
      <c r="BL37" s="72"/>
      <c r="BM37" s="79">
        <f t="shared" si="9"/>
        <v>0.1</v>
      </c>
      <c r="BN37" s="99">
        <f>+$I37*지급비율!BD21</f>
        <v>5490210</v>
      </c>
      <c r="BO37" s="99"/>
      <c r="BP37" s="99">
        <f t="shared" si="10"/>
        <v>5490210</v>
      </c>
      <c r="BQ37" s="137"/>
      <c r="BR37" s="73"/>
      <c r="BS37" s="74" t="b">
        <f>+Q37+X37+AE37+AS37+AZ37+BG37+BN37=I37</f>
        <v>1</v>
      </c>
      <c r="BT37" s="74" t="b">
        <f>+R37+Y37+AF37+AT37+BA37+BH37+BO37=K37</f>
        <v>1</v>
      </c>
      <c r="BU37" s="74" t="b">
        <f>+BG37+BG38+AZ37+AZ38+AS37+AS38+AE37+AE38+X37+X38+Q37+Q38+BN37+BN38=([5]지급비율!$F$21+[5]지급비율!$F$22)*1.1*D36/1000</f>
        <v>1</v>
      </c>
      <c r="BV37" s="54"/>
      <c r="BW37" s="54"/>
      <c r="BX37" s="54"/>
      <c r="BY37" s="54"/>
      <c r="BZ37" s="54"/>
      <c r="CA37" s="54"/>
      <c r="CB37" s="54"/>
      <c r="CC37" s="54"/>
      <c r="CD37" s="58"/>
      <c r="CE37" s="58"/>
    </row>
    <row r="38" spans="1:83" ht="16.5" customHeight="1">
      <c r="A38" s="62"/>
      <c r="B38" s="1322"/>
      <c r="C38" s="1531"/>
      <c r="D38" s="1344"/>
      <c r="E38" s="1324"/>
      <c r="F38" s="75" t="s">
        <v>390</v>
      </c>
      <c r="G38" s="76">
        <f>+지급비율!F22*D36/1000</f>
        <v>33274000</v>
      </c>
      <c r="H38" s="76">
        <f>+G38*10%</f>
        <v>3327400</v>
      </c>
      <c r="I38" s="76">
        <f>SUM(G38:H38)</f>
        <v>36601400</v>
      </c>
      <c r="J38" s="75">
        <f t="shared" si="0"/>
        <v>0.9</v>
      </c>
      <c r="K38" s="80">
        <f>+IFERROR(R38+Y38+AF38+AM38+AT38+BA38+BH38+BO38,"-")</f>
        <v>32941260</v>
      </c>
      <c r="L38" s="80">
        <f>+I38-K38</f>
        <v>3660140</v>
      </c>
      <c r="M38" s="1332"/>
      <c r="N38" s="72">
        <v>45820</v>
      </c>
      <c r="O38" s="72">
        <v>45820</v>
      </c>
      <c r="P38" s="79">
        <f>+IFERROR(Q38/$I38,"-")</f>
        <v>0.2</v>
      </c>
      <c r="Q38" s="99">
        <f>+$I38*지급비율!G22</f>
        <v>7320280</v>
      </c>
      <c r="R38" s="99">
        <v>7320280</v>
      </c>
      <c r="S38" s="99">
        <f t="shared" si="1"/>
        <v>0</v>
      </c>
      <c r="T38" s="140"/>
      <c r="U38" s="78">
        <v>45855</v>
      </c>
      <c r="V38" s="78">
        <v>45867</v>
      </c>
      <c r="W38" s="79">
        <f>+IFERROR(X38/$I38,"-")</f>
        <v>0.2</v>
      </c>
      <c r="X38" s="70">
        <f>+$I38*지급비율!N22</f>
        <v>7320280</v>
      </c>
      <c r="Y38" s="70">
        <v>7320280</v>
      </c>
      <c r="Z38" s="70">
        <f t="shared" si="2"/>
        <v>0</v>
      </c>
      <c r="AA38" s="81"/>
      <c r="AB38" s="476">
        <v>45930</v>
      </c>
      <c r="AC38" s="476">
        <v>45922</v>
      </c>
      <c r="AD38" s="477">
        <f>+IFERROR(AE38/$I38,"-")</f>
        <v>0.5</v>
      </c>
      <c r="AE38" s="478">
        <f>+$I38*지급비율!U22</f>
        <v>18300700</v>
      </c>
      <c r="AF38" s="478">
        <f>+AE38</f>
        <v>18300700</v>
      </c>
      <c r="AG38" s="478">
        <f t="shared" si="3"/>
        <v>0</v>
      </c>
      <c r="AH38" s="479"/>
      <c r="AI38" s="72"/>
      <c r="AJ38" s="72"/>
      <c r="AK38" s="79">
        <f t="shared" si="4"/>
        <v>0</v>
      </c>
      <c r="AL38" s="99">
        <f>+$I38*[5]지급비율!AB$22</f>
        <v>0</v>
      </c>
      <c r="AM38" s="99"/>
      <c r="AN38" s="99">
        <f t="shared" si="5"/>
        <v>0</v>
      </c>
      <c r="AO38" s="137"/>
      <c r="AP38" s="72"/>
      <c r="AQ38" s="72"/>
      <c r="AR38" s="79"/>
      <c r="AS38" s="99">
        <f>+$I38*지급비율!AI22</f>
        <v>0</v>
      </c>
      <c r="AT38" s="99"/>
      <c r="AU38" s="99">
        <f t="shared" si="6"/>
        <v>0</v>
      </c>
      <c r="AV38" s="137"/>
      <c r="AW38" s="72"/>
      <c r="AX38" s="72"/>
      <c r="AY38" s="79"/>
      <c r="AZ38" s="99">
        <f>+$I38*지급비율!AP22</f>
        <v>0</v>
      </c>
      <c r="BA38" s="99"/>
      <c r="BB38" s="99">
        <f t="shared" si="7"/>
        <v>0</v>
      </c>
      <c r="BC38" s="137"/>
      <c r="BD38" s="72"/>
      <c r="BE38" s="72"/>
      <c r="BF38" s="79"/>
      <c r="BG38" s="99">
        <f>+$I38*지급비율!AW22</f>
        <v>0</v>
      </c>
      <c r="BH38" s="99"/>
      <c r="BI38" s="99">
        <f t="shared" si="8"/>
        <v>0</v>
      </c>
      <c r="BJ38" s="137"/>
      <c r="BK38" s="72">
        <v>46112</v>
      </c>
      <c r="BL38" s="72"/>
      <c r="BM38" s="79">
        <f t="shared" si="9"/>
        <v>0.1</v>
      </c>
      <c r="BN38" s="99">
        <f>+$I38*지급비율!BD22</f>
        <v>3660140</v>
      </c>
      <c r="BO38" s="99"/>
      <c r="BP38" s="99">
        <f t="shared" si="10"/>
        <v>3660140</v>
      </c>
      <c r="BQ38" s="137"/>
      <c r="BR38" s="73"/>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22"/>
      <c r="C39" s="1531"/>
      <c r="D39" s="1344"/>
      <c r="E39" s="1324"/>
      <c r="F39" s="101" t="s">
        <v>391</v>
      </c>
      <c r="G39" s="102">
        <f>+지급비율!F23*D36/1000</f>
        <v>33274000</v>
      </c>
      <c r="H39" s="102">
        <f>+G39*0.1</f>
        <v>3327400</v>
      </c>
      <c r="I39" s="102">
        <f>SUM(G39:H39)</f>
        <v>36601400</v>
      </c>
      <c r="J39" s="101">
        <f t="shared" si="0"/>
        <v>0</v>
      </c>
      <c r="K39" s="106">
        <f>+IFERROR(R39+Y39+AF39+AM39+AT39+BA39+BH39+BO39,"-")</f>
        <v>0</v>
      </c>
      <c r="L39" s="106">
        <f>+I39-K39</f>
        <v>36601400</v>
      </c>
      <c r="M39" s="1333"/>
      <c r="N39" s="104"/>
      <c r="O39" s="101"/>
      <c r="P39" s="105"/>
      <c r="Q39" s="103"/>
      <c r="R39" s="103"/>
      <c r="S39" s="103">
        <f t="shared" si="1"/>
        <v>0</v>
      </c>
      <c r="T39" s="101"/>
      <c r="U39" s="368"/>
      <c r="V39" s="369"/>
      <c r="W39" s="370"/>
      <c r="X39" s="371"/>
      <c r="Y39" s="371"/>
      <c r="Z39" s="371">
        <f t="shared" si="2"/>
        <v>0</v>
      </c>
      <c r="AA39" s="369"/>
      <c r="AB39" s="85"/>
      <c r="AC39" s="101"/>
      <c r="AD39" s="105"/>
      <c r="AE39" s="103"/>
      <c r="AF39" s="103"/>
      <c r="AG39" s="103">
        <f t="shared" si="3"/>
        <v>0</v>
      </c>
      <c r="AH39" s="101"/>
      <c r="AI39" s="85"/>
      <c r="AJ39" s="101"/>
      <c r="AK39" s="105">
        <f t="shared" si="4"/>
        <v>0</v>
      </c>
      <c r="AL39" s="103">
        <f>+$I39*[5]지급비율!AB$23</f>
        <v>0</v>
      </c>
      <c r="AM39" s="103"/>
      <c r="AN39" s="103">
        <f t="shared" si="5"/>
        <v>0</v>
      </c>
      <c r="AO39" s="101"/>
      <c r="AP39" s="85"/>
      <c r="AQ39" s="101"/>
      <c r="AR39" s="105"/>
      <c r="AS39" s="103">
        <f>+$I39*지급비율!AI23</f>
        <v>0</v>
      </c>
      <c r="AT39" s="103"/>
      <c r="AU39" s="103">
        <f t="shared" si="6"/>
        <v>0</v>
      </c>
      <c r="AV39" s="101"/>
      <c r="AW39" s="85"/>
      <c r="AX39" s="101"/>
      <c r="AY39" s="105"/>
      <c r="AZ39" s="103">
        <f>+$I39*지급비율!AP23</f>
        <v>0</v>
      </c>
      <c r="BA39" s="103"/>
      <c r="BB39" s="103">
        <f t="shared" si="7"/>
        <v>0</v>
      </c>
      <c r="BC39" s="101"/>
      <c r="BD39" s="85"/>
      <c r="BE39" s="101"/>
      <c r="BF39" s="105"/>
      <c r="BG39" s="103">
        <f>+$I39*지급비율!AW23</f>
        <v>0</v>
      </c>
      <c r="BH39" s="103"/>
      <c r="BI39" s="103">
        <f t="shared" si="8"/>
        <v>0</v>
      </c>
      <c r="BJ39" s="101"/>
      <c r="BK39" s="104">
        <v>46112</v>
      </c>
      <c r="BL39" s="101"/>
      <c r="BM39" s="105">
        <f t="shared" si="9"/>
        <v>1</v>
      </c>
      <c r="BN39" s="103">
        <f>+$I39*지급비율!BD23</f>
        <v>36601400</v>
      </c>
      <c r="BO39" s="103"/>
      <c r="BP39" s="103">
        <f t="shared" si="10"/>
        <v>36601400</v>
      </c>
      <c r="BQ39" s="101"/>
      <c r="BR39" s="88"/>
      <c r="BS39" s="89" t="b">
        <f>+Q39+X39+AE39+AS39+AZ39+BG39+BN39=I39</f>
        <v>1</v>
      </c>
      <c r="BT39" s="90" t="b">
        <f>+R39+Y39+AF39+AT39+BA39+BH39+BO39=K39</f>
        <v>1</v>
      </c>
      <c r="BU39" s="90"/>
      <c r="BV39" s="54"/>
      <c r="BW39" s="54"/>
      <c r="BX39" s="54"/>
      <c r="BY39" s="54"/>
      <c r="BZ39" s="54"/>
      <c r="CA39" s="54"/>
      <c r="CB39" s="54"/>
      <c r="CC39" s="54"/>
      <c r="CD39" s="58"/>
      <c r="CE39" s="58"/>
    </row>
    <row r="40" spans="1:83" ht="16.5" customHeight="1">
      <c r="A40" s="62"/>
      <c r="B40" s="1322"/>
      <c r="C40" s="1531"/>
      <c r="D40" s="1345"/>
      <c r="E40" s="1324"/>
      <c r="F40" s="91" t="s">
        <v>392</v>
      </c>
      <c r="G40" s="92">
        <f>SUM(G36:G39)</f>
        <v>299466000</v>
      </c>
      <c r="H40" s="92">
        <f>SUM(H36:H39)</f>
        <v>29946600</v>
      </c>
      <c r="I40" s="92">
        <f>SUM(I36:I39)</f>
        <v>329412600</v>
      </c>
      <c r="J40" s="91">
        <f t="shared" si="0"/>
        <v>0.25</v>
      </c>
      <c r="K40" s="92">
        <f>SUM(K36:K39)</f>
        <v>82353150</v>
      </c>
      <c r="L40" s="92">
        <f>SUM(L36:L39)</f>
        <v>247059450</v>
      </c>
      <c r="M40" s="419">
        <f>+AE37+AE38</f>
        <v>45751750</v>
      </c>
      <c r="N40" s="93"/>
      <c r="O40" s="91"/>
      <c r="P40" s="94">
        <f>+IFERROR(Q40/$I40,"-")</f>
        <v>5.5555555555555552E-2</v>
      </c>
      <c r="Q40" s="92">
        <f>SUM(Q36:Q39)</f>
        <v>18300700</v>
      </c>
      <c r="R40" s="170">
        <f>SUM(R36:R39)</f>
        <v>18300700</v>
      </c>
      <c r="S40" s="92">
        <f t="shared" si="1"/>
        <v>0</v>
      </c>
      <c r="T40" s="91"/>
      <c r="U40" s="93"/>
      <c r="V40" s="91"/>
      <c r="W40" s="94">
        <f>+IFERROR(X40/$I40,"-")</f>
        <v>5.5555555555555552E-2</v>
      </c>
      <c r="X40" s="92">
        <f>SUM(X36:X39)</f>
        <v>18300700</v>
      </c>
      <c r="Y40" s="170">
        <f>SUM(Y36:Y39)</f>
        <v>18300700</v>
      </c>
      <c r="Z40" s="92">
        <f t="shared" si="2"/>
        <v>0</v>
      </c>
      <c r="AA40" s="91"/>
      <c r="AB40" s="93"/>
      <c r="AC40" s="91"/>
      <c r="AD40" s="94">
        <f>+IFERROR(AE40/$I40,"-")</f>
        <v>0.44444444444444442</v>
      </c>
      <c r="AE40" s="92">
        <f>SUM(AE36:AE39)</f>
        <v>146405600</v>
      </c>
      <c r="AF40" s="170">
        <f>SUM(AF36:AF39)</f>
        <v>45751750</v>
      </c>
      <c r="AG40" s="92">
        <f t="shared" si="3"/>
        <v>100653850</v>
      </c>
      <c r="AH40" s="91"/>
      <c r="AI40" s="93"/>
      <c r="AJ40" s="91"/>
      <c r="AK40" s="94">
        <f t="shared" si="4"/>
        <v>0</v>
      </c>
      <c r="AL40" s="92">
        <f>SUM(AL36:AL39)</f>
        <v>0</v>
      </c>
      <c r="AM40" s="92">
        <f>SUM(AM36:AM39)</f>
        <v>0</v>
      </c>
      <c r="AN40" s="92">
        <f t="shared" si="5"/>
        <v>0</v>
      </c>
      <c r="AO40" s="91"/>
      <c r="AP40" s="93"/>
      <c r="AQ40" s="91"/>
      <c r="AR40" s="94">
        <f>+IFERROR(AS40/$I40,"-")</f>
        <v>0</v>
      </c>
      <c r="AS40" s="92">
        <f>SUM(AS36:AS39)</f>
        <v>0</v>
      </c>
      <c r="AT40" s="92">
        <f>SUM(AT36:AT39)</f>
        <v>0</v>
      </c>
      <c r="AU40" s="92">
        <f t="shared" si="6"/>
        <v>0</v>
      </c>
      <c r="AV40" s="91"/>
      <c r="AW40" s="93"/>
      <c r="AX40" s="91"/>
      <c r="AY40" s="94">
        <f>+IFERROR(AZ40/$I40,"-")</f>
        <v>0</v>
      </c>
      <c r="AZ40" s="92">
        <f>SUM(AZ36:AZ39)</f>
        <v>0</v>
      </c>
      <c r="BA40" s="92">
        <f>SUM(BA36:BA39)</f>
        <v>0</v>
      </c>
      <c r="BB40" s="92">
        <f t="shared" si="7"/>
        <v>0</v>
      </c>
      <c r="BC40" s="91"/>
      <c r="BD40" s="93"/>
      <c r="BE40" s="91"/>
      <c r="BF40" s="94">
        <f>+IFERROR(BG40/$I40,"-")</f>
        <v>0.24444444444444444</v>
      </c>
      <c r="BG40" s="92">
        <f>SUM(BG36:BG39)</f>
        <v>80523080</v>
      </c>
      <c r="BH40" s="92">
        <f>SUM(BH36:BH39)</f>
        <v>0</v>
      </c>
      <c r="BI40" s="92">
        <f t="shared" si="8"/>
        <v>80523080</v>
      </c>
      <c r="BJ40" s="91"/>
      <c r="BK40" s="93"/>
      <c r="BL40" s="91"/>
      <c r="BM40" s="94">
        <f t="shared" si="9"/>
        <v>0.2</v>
      </c>
      <c r="BN40" s="92">
        <f>SUM(BN36:BN39)</f>
        <v>65882520</v>
      </c>
      <c r="BO40" s="92">
        <f>SUM(BO36:BO39)</f>
        <v>0</v>
      </c>
      <c r="BP40" s="92">
        <f t="shared" si="10"/>
        <v>65882520</v>
      </c>
      <c r="BQ40" s="91"/>
      <c r="BR40" s="88"/>
      <c r="BS40" s="96"/>
      <c r="BT40" s="96"/>
      <c r="BU40" s="139"/>
      <c r="BV40" s="54"/>
      <c r="BW40" s="54"/>
      <c r="BX40" s="54"/>
      <c r="BY40" s="54"/>
      <c r="BZ40" s="54"/>
      <c r="CA40" s="54"/>
      <c r="CB40" s="54"/>
      <c r="CC40" s="54"/>
      <c r="CD40" s="58"/>
      <c r="CE40" s="58"/>
    </row>
    <row r="41" spans="1:83" ht="16.5" customHeight="1">
      <c r="A41" s="62"/>
      <c r="B41" s="1322">
        <f t="shared" ref="B41" si="15">+B36+1</f>
        <v>7</v>
      </c>
      <c r="C41" s="1531" t="s">
        <v>896</v>
      </c>
      <c r="D41" s="1343">
        <v>1155.7</v>
      </c>
      <c r="E41" s="1324" t="s">
        <v>888</v>
      </c>
      <c r="F41" s="63" t="s">
        <v>388</v>
      </c>
      <c r="G41" s="76">
        <f>+지급비율!F20*$D$41/1000</f>
        <v>1271270000</v>
      </c>
      <c r="H41" s="64">
        <f>+G41*10%</f>
        <v>127127000</v>
      </c>
      <c r="I41" s="64">
        <f>SUM(G41:H41)</f>
        <v>1398397000</v>
      </c>
      <c r="J41" s="63">
        <f t="shared" si="0"/>
        <v>7.8661495984330633E-4</v>
      </c>
      <c r="K41" s="134">
        <f>+IFERROR(R41+Y41+AF41+AM41+AT41+BA41+BH41+BO41,"-")</f>
        <v>1100000</v>
      </c>
      <c r="L41" s="134">
        <f>+I41-K41</f>
        <v>1397297000</v>
      </c>
      <c r="M41" s="1331" t="s">
        <v>894</v>
      </c>
      <c r="N41" s="67"/>
      <c r="O41" s="67"/>
      <c r="P41" s="135"/>
      <c r="Q41" s="134">
        <f>+$I41*지급비율!G20</f>
        <v>0</v>
      </c>
      <c r="R41" s="66"/>
      <c r="S41" s="66">
        <f t="shared" si="1"/>
        <v>0</v>
      </c>
      <c r="T41" s="136"/>
      <c r="U41" s="364"/>
      <c r="V41" s="364">
        <v>45945</v>
      </c>
      <c r="W41" s="365"/>
      <c r="X41" s="366">
        <f>+$I41*지급비율!N20</f>
        <v>0</v>
      </c>
      <c r="Y41" s="366">
        <f>1100000</f>
        <v>1100000</v>
      </c>
      <c r="Z41" s="366">
        <f t="shared" si="2"/>
        <v>-1100000</v>
      </c>
      <c r="AA41" s="1053" t="s">
        <v>890</v>
      </c>
      <c r="AB41" s="67">
        <f>+EDATE(AI41,1)</f>
        <v>46020</v>
      </c>
      <c r="AC41" s="67"/>
      <c r="AD41" s="135">
        <f>+IFERROR(AE41/$I41,"-")</f>
        <v>0.5</v>
      </c>
      <c r="AE41" s="134">
        <f>+$I41*지급비율!U20</f>
        <v>699198500</v>
      </c>
      <c r="AF41" s="134"/>
      <c r="AG41" s="134">
        <f t="shared" si="3"/>
        <v>699198500</v>
      </c>
      <c r="AH41" s="145"/>
      <c r="AI41" s="67">
        <f>+EDATE(AP41,-1)+1</f>
        <v>45990</v>
      </c>
      <c r="AJ41" s="67"/>
      <c r="AK41" s="135">
        <f t="shared" si="4"/>
        <v>0</v>
      </c>
      <c r="AL41" s="134">
        <f>+$I41*지급비율!AB20</f>
        <v>0</v>
      </c>
      <c r="AM41" s="134"/>
      <c r="AN41" s="134">
        <f t="shared" si="5"/>
        <v>0</v>
      </c>
      <c r="AO41" s="145"/>
      <c r="AP41" s="67">
        <f>+EDATE(AW41,-1)</f>
        <v>46019</v>
      </c>
      <c r="AQ41" s="67"/>
      <c r="AR41" s="135">
        <f>+IFERROR(AS41/$I41,"-")</f>
        <v>0</v>
      </c>
      <c r="AS41" s="134">
        <f>+$I41*지급비율!AI20</f>
        <v>0</v>
      </c>
      <c r="AT41" s="134"/>
      <c r="AU41" s="134">
        <f t="shared" si="6"/>
        <v>0</v>
      </c>
      <c r="AV41" s="145"/>
      <c r="AW41" s="67">
        <f>+EDATE(BD41,-1)</f>
        <v>46050</v>
      </c>
      <c r="AX41" s="67"/>
      <c r="AY41" s="135">
        <f>+IFERROR(AZ41/$I41,"-")</f>
        <v>0</v>
      </c>
      <c r="AZ41" s="134">
        <f>+$I41*지급비율!AP20</f>
        <v>0</v>
      </c>
      <c r="BA41" s="134"/>
      <c r="BB41" s="134">
        <f t="shared" si="7"/>
        <v>0</v>
      </c>
      <c r="BC41" s="145"/>
      <c r="BD41" s="67">
        <f>+EDATE(BK41,-1)</f>
        <v>46081</v>
      </c>
      <c r="BE41" s="67"/>
      <c r="BF41" s="135">
        <f>+IFERROR(BG41/$I41,"-")</f>
        <v>0.4</v>
      </c>
      <c r="BG41" s="134">
        <f>+$I41*지급비율!AW20</f>
        <v>559358800</v>
      </c>
      <c r="BH41" s="134"/>
      <c r="BI41" s="134">
        <f t="shared" si="8"/>
        <v>559358800</v>
      </c>
      <c r="BJ41" s="145"/>
      <c r="BK41" s="67">
        <v>46112</v>
      </c>
      <c r="BL41" s="67"/>
      <c r="BM41" s="135">
        <f t="shared" si="9"/>
        <v>0.1</v>
      </c>
      <c r="BN41" s="134">
        <f>+$I41*지급비율!BD20</f>
        <v>139839700</v>
      </c>
      <c r="BO41" s="134"/>
      <c r="BP41" s="134">
        <f t="shared" si="10"/>
        <v>139839700</v>
      </c>
      <c r="BQ41" s="145"/>
      <c r="BR41" s="73"/>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22"/>
      <c r="C42" s="1531"/>
      <c r="D42" s="1344"/>
      <c r="E42" s="1324"/>
      <c r="F42" s="75" t="s">
        <v>389</v>
      </c>
      <c r="G42" s="76">
        <f>+지급비율!F21*$D$41/1000</f>
        <v>346710000</v>
      </c>
      <c r="H42" s="76">
        <f>+G42*10%</f>
        <v>34671000</v>
      </c>
      <c r="I42" s="76">
        <f>SUM(G42:H42)</f>
        <v>381381000</v>
      </c>
      <c r="J42" s="75">
        <f t="shared" si="0"/>
        <v>0.9</v>
      </c>
      <c r="K42" s="80">
        <f>+IFERROR(R42+Y42+AF42+AM42+AT42+BA42+BH42+BO42,"-")</f>
        <v>343242900</v>
      </c>
      <c r="L42" s="80">
        <f>+I42-K42</f>
        <v>38138100</v>
      </c>
      <c r="M42" s="1332"/>
      <c r="N42" s="72">
        <v>45831</v>
      </c>
      <c r="O42" s="72">
        <v>45831</v>
      </c>
      <c r="P42" s="79">
        <f>+IFERROR(Q42/$I42,"-")</f>
        <v>0.2</v>
      </c>
      <c r="Q42" s="70">
        <f>+$I42*지급비율!G21</f>
        <v>76276200</v>
      </c>
      <c r="R42" s="70">
        <v>82981800</v>
      </c>
      <c r="S42" s="70">
        <f t="shared" si="1"/>
        <v>-6705600</v>
      </c>
      <c r="T42" s="161"/>
      <c r="U42" s="78">
        <v>45900</v>
      </c>
      <c r="V42" s="78">
        <v>45883</v>
      </c>
      <c r="W42" s="79">
        <f>+IFERROR(X42/$I42,"-")</f>
        <v>0.2</v>
      </c>
      <c r="X42" s="70">
        <f>+$I42*지급비율!N21</f>
        <v>76276200</v>
      </c>
      <c r="Y42" s="70">
        <v>82981800</v>
      </c>
      <c r="Z42" s="70">
        <f t="shared" si="2"/>
        <v>-6705600</v>
      </c>
      <c r="AA42" s="81"/>
      <c r="AB42" s="402">
        <v>45930</v>
      </c>
      <c r="AC42" s="476">
        <v>45922</v>
      </c>
      <c r="AD42" s="403">
        <f>+IFERROR(AE42/$I42,"-")</f>
        <v>0.5</v>
      </c>
      <c r="AE42" s="404">
        <f>+$I42*지급비율!U21</f>
        <v>190690500</v>
      </c>
      <c r="AF42" s="404">
        <f>+AE42+Z42+S42</f>
        <v>177279300</v>
      </c>
      <c r="AG42" s="404">
        <f t="shared" si="3"/>
        <v>13411200</v>
      </c>
      <c r="AH42" s="405"/>
      <c r="AI42" s="78"/>
      <c r="AJ42" s="72"/>
      <c r="AK42" s="79">
        <f t="shared" si="4"/>
        <v>0</v>
      </c>
      <c r="AL42" s="70">
        <f>+$I42*지급비율!AB21</f>
        <v>0</v>
      </c>
      <c r="AM42" s="70"/>
      <c r="AN42" s="70">
        <f t="shared" si="5"/>
        <v>0</v>
      </c>
      <c r="AO42" s="81"/>
      <c r="AP42" s="78"/>
      <c r="AQ42" s="72"/>
      <c r="AR42" s="79"/>
      <c r="AS42" s="70">
        <f>+$I42*지급비율!AI21</f>
        <v>0</v>
      </c>
      <c r="AT42" s="70"/>
      <c r="AU42" s="70">
        <f t="shared" si="6"/>
        <v>0</v>
      </c>
      <c r="AV42" s="81"/>
      <c r="AW42" s="78"/>
      <c r="AX42" s="72"/>
      <c r="AY42" s="79"/>
      <c r="AZ42" s="70">
        <f>+$I42*지급비율!AP21</f>
        <v>0</v>
      </c>
      <c r="BA42" s="70"/>
      <c r="BB42" s="70">
        <f t="shared" si="7"/>
        <v>0</v>
      </c>
      <c r="BC42" s="81"/>
      <c r="BD42" s="78"/>
      <c r="BE42" s="72"/>
      <c r="BF42" s="79"/>
      <c r="BG42" s="70">
        <f>+$I42*지급비율!AW21</f>
        <v>0</v>
      </c>
      <c r="BH42" s="70"/>
      <c r="BI42" s="70">
        <f t="shared" si="8"/>
        <v>0</v>
      </c>
      <c r="BJ42" s="81"/>
      <c r="BK42" s="138">
        <v>46112</v>
      </c>
      <c r="BL42" s="72"/>
      <c r="BM42" s="79">
        <f t="shared" si="9"/>
        <v>0.1</v>
      </c>
      <c r="BN42" s="70">
        <f>+$I42*지급비율!BD21</f>
        <v>38138100</v>
      </c>
      <c r="BO42" s="70"/>
      <c r="BP42" s="70">
        <f t="shared" si="10"/>
        <v>38138100</v>
      </c>
      <c r="BQ42" s="81"/>
      <c r="BR42" s="73"/>
      <c r="BS42" s="74" t="b">
        <f>+Q42+X42+AE42+AS42+AZ42+BG42+BN42=I42</f>
        <v>1</v>
      </c>
      <c r="BT42" s="74" t="b">
        <f>+R42+Y42+AF42+AT42+BA42+BH42+BO42=K42</f>
        <v>1</v>
      </c>
      <c r="BU42" s="74" t="b">
        <f>+BG42+BG43+AZ42+AZ43+AS42+AS43+AE42+AE43+X42+X43+Q42+Q43+BN42+BN43=([5]지급비율!$F$21+[5]지급비율!$F$22)*1.1*D41/1000</f>
        <v>1</v>
      </c>
      <c r="BV42" s="54"/>
      <c r="BW42" s="54"/>
      <c r="BX42" s="54"/>
      <c r="BY42" s="54"/>
      <c r="BZ42" s="54"/>
      <c r="CA42" s="54"/>
      <c r="CB42" s="54"/>
      <c r="CC42" s="54"/>
      <c r="CD42" s="58"/>
      <c r="CE42" s="58"/>
    </row>
    <row r="43" spans="1:83" ht="16.5" customHeight="1">
      <c r="A43" s="62"/>
      <c r="B43" s="1322"/>
      <c r="C43" s="1531"/>
      <c r="D43" s="1344"/>
      <c r="E43" s="1324"/>
      <c r="F43" s="75" t="s">
        <v>390</v>
      </c>
      <c r="G43" s="76">
        <f>+지급비율!F22*D41/1000</f>
        <v>231140000</v>
      </c>
      <c r="H43" s="76">
        <f>+G43*10%</f>
        <v>23114000</v>
      </c>
      <c r="I43" s="76">
        <f>SUM(G43:H43)</f>
        <v>254254000</v>
      </c>
      <c r="J43" s="75">
        <f t="shared" si="0"/>
        <v>0.9</v>
      </c>
      <c r="K43" s="80">
        <f>+IFERROR(R43+Y43+AF43+AM43+AT43+BA43+BH43+BO43,"-")</f>
        <v>228828600</v>
      </c>
      <c r="L43" s="80">
        <f>+I43-K43</f>
        <v>25425400</v>
      </c>
      <c r="M43" s="1332"/>
      <c r="N43" s="72">
        <v>45831</v>
      </c>
      <c r="O43" s="72">
        <v>45831</v>
      </c>
      <c r="P43" s="79">
        <f>+IFERROR(Q43/$I43,"-")</f>
        <v>0.2</v>
      </c>
      <c r="Q43" s="70">
        <f>+$I43*지급비율!G22</f>
        <v>50850800</v>
      </c>
      <c r="R43" s="70">
        <v>55321200</v>
      </c>
      <c r="S43" s="70">
        <f t="shared" si="1"/>
        <v>-4470400</v>
      </c>
      <c r="T43" s="161"/>
      <c r="U43" s="78">
        <v>45900</v>
      </c>
      <c r="V43" s="78">
        <v>45883</v>
      </c>
      <c r="W43" s="79">
        <f>+IFERROR(X43/$I43,"-")</f>
        <v>0.2</v>
      </c>
      <c r="X43" s="70">
        <f>+$I43*지급비율!N22</f>
        <v>50850800</v>
      </c>
      <c r="Y43" s="70">
        <v>55321200</v>
      </c>
      <c r="Z43" s="70">
        <f t="shared" si="2"/>
        <v>-4470400</v>
      </c>
      <c r="AA43" s="81"/>
      <c r="AB43" s="402">
        <v>45930</v>
      </c>
      <c r="AC43" s="476">
        <v>45922</v>
      </c>
      <c r="AD43" s="403">
        <f>+IFERROR(AE43/$I43,"-")</f>
        <v>0.5</v>
      </c>
      <c r="AE43" s="404">
        <f>+$I43*지급비율!U22</f>
        <v>127127000</v>
      </c>
      <c r="AF43" s="404">
        <f>+AE43+Z43+S43</f>
        <v>118186200</v>
      </c>
      <c r="AG43" s="404">
        <f t="shared" si="3"/>
        <v>8940800</v>
      </c>
      <c r="AH43" s="405"/>
      <c r="AI43" s="72"/>
      <c r="AJ43" s="72"/>
      <c r="AK43" s="79">
        <f t="shared" si="4"/>
        <v>0</v>
      </c>
      <c r="AL43" s="70">
        <f>+$I43*지급비율!AB22</f>
        <v>0</v>
      </c>
      <c r="AM43" s="70"/>
      <c r="AN43" s="70">
        <f t="shared" si="5"/>
        <v>0</v>
      </c>
      <c r="AO43" s="81"/>
      <c r="AP43" s="72"/>
      <c r="AQ43" s="72"/>
      <c r="AR43" s="79"/>
      <c r="AS43" s="70">
        <f>+$I43*지급비율!AI22</f>
        <v>0</v>
      </c>
      <c r="AT43" s="70"/>
      <c r="AU43" s="70">
        <f t="shared" si="6"/>
        <v>0</v>
      </c>
      <c r="AV43" s="81"/>
      <c r="AW43" s="72"/>
      <c r="AX43" s="72"/>
      <c r="AY43" s="79"/>
      <c r="AZ43" s="70">
        <f>+$I43*지급비율!AP22</f>
        <v>0</v>
      </c>
      <c r="BA43" s="70"/>
      <c r="BB43" s="70">
        <f t="shared" si="7"/>
        <v>0</v>
      </c>
      <c r="BC43" s="81"/>
      <c r="BD43" s="72"/>
      <c r="BE43" s="72"/>
      <c r="BF43" s="79"/>
      <c r="BG43" s="70">
        <f>+$I43*지급비율!AW22</f>
        <v>0</v>
      </c>
      <c r="BH43" s="70"/>
      <c r="BI43" s="70">
        <f t="shared" si="8"/>
        <v>0</v>
      </c>
      <c r="BJ43" s="81"/>
      <c r="BK43" s="72">
        <v>46112</v>
      </c>
      <c r="BL43" s="72"/>
      <c r="BM43" s="79">
        <f t="shared" si="9"/>
        <v>0.1</v>
      </c>
      <c r="BN43" s="70">
        <f>+$I43*지급비율!BD22</f>
        <v>25425400</v>
      </c>
      <c r="BO43" s="70"/>
      <c r="BP43" s="70">
        <f t="shared" si="10"/>
        <v>25425400</v>
      </c>
      <c r="BQ43" s="81"/>
      <c r="BR43" s="73"/>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22"/>
      <c r="C44" s="1531"/>
      <c r="D44" s="1344"/>
      <c r="E44" s="1324"/>
      <c r="F44" s="101" t="s">
        <v>391</v>
      </c>
      <c r="G44" s="102">
        <f>+지급비율!F23*D41/1000</f>
        <v>231140000</v>
      </c>
      <c r="H44" s="102">
        <f>+G44*0.1</f>
        <v>23114000</v>
      </c>
      <c r="I44" s="102">
        <f>SUM(G44:H44)</f>
        <v>254254000</v>
      </c>
      <c r="J44" s="101">
        <f t="shared" si="0"/>
        <v>0</v>
      </c>
      <c r="K44" s="106">
        <f>+IFERROR(R44+Y44+AF44+AM44+AT44+BA44+BH44+BO44,"-")</f>
        <v>0</v>
      </c>
      <c r="L44" s="106">
        <f>+I44-K44</f>
        <v>254254000</v>
      </c>
      <c r="M44" s="1333"/>
      <c r="N44" s="104"/>
      <c r="O44" s="101"/>
      <c r="P44" s="105"/>
      <c r="Q44" s="106">
        <f>+$I44*지급비율!G23</f>
        <v>0</v>
      </c>
      <c r="R44" s="103"/>
      <c r="S44" s="103">
        <f t="shared" si="1"/>
        <v>0</v>
      </c>
      <c r="T44" s="101"/>
      <c r="U44" s="368"/>
      <c r="V44" s="369"/>
      <c r="W44" s="370"/>
      <c r="X44" s="371">
        <f>+$I44*지급비율!N23</f>
        <v>0</v>
      </c>
      <c r="Y44" s="371"/>
      <c r="Z44" s="371">
        <f t="shared" si="2"/>
        <v>0</v>
      </c>
      <c r="AA44" s="369"/>
      <c r="AB44" s="85"/>
      <c r="AC44" s="101"/>
      <c r="AD44" s="105"/>
      <c r="AE44" s="106">
        <f>+$I44*지급비율!U23</f>
        <v>0</v>
      </c>
      <c r="AF44" s="106"/>
      <c r="AG44" s="106">
        <f t="shared" si="3"/>
        <v>0</v>
      </c>
      <c r="AH44" s="101"/>
      <c r="AI44" s="85"/>
      <c r="AJ44" s="101"/>
      <c r="AK44" s="105">
        <f t="shared" si="4"/>
        <v>0</v>
      </c>
      <c r="AL44" s="106">
        <f>+$I44*지급비율!AB23</f>
        <v>0</v>
      </c>
      <c r="AM44" s="106"/>
      <c r="AN44" s="106">
        <f t="shared" si="5"/>
        <v>0</v>
      </c>
      <c r="AO44" s="101"/>
      <c r="AP44" s="85"/>
      <c r="AQ44" s="101"/>
      <c r="AR44" s="105"/>
      <c r="AS44" s="106">
        <f>+$I44*지급비율!AI23</f>
        <v>0</v>
      </c>
      <c r="AT44" s="106"/>
      <c r="AU44" s="106">
        <f t="shared" si="6"/>
        <v>0</v>
      </c>
      <c r="AV44" s="101"/>
      <c r="AW44" s="85"/>
      <c r="AX44" s="101"/>
      <c r="AY44" s="105"/>
      <c r="AZ44" s="106">
        <f>+$I44*지급비율!AP23</f>
        <v>0</v>
      </c>
      <c r="BA44" s="106"/>
      <c r="BB44" s="106">
        <f t="shared" si="7"/>
        <v>0</v>
      </c>
      <c r="BC44" s="101"/>
      <c r="BD44" s="85"/>
      <c r="BE44" s="101"/>
      <c r="BF44" s="105"/>
      <c r="BG44" s="106">
        <f>+$I44*지급비율!AW23</f>
        <v>0</v>
      </c>
      <c r="BH44" s="106"/>
      <c r="BI44" s="106">
        <f t="shared" si="8"/>
        <v>0</v>
      </c>
      <c r="BJ44" s="101"/>
      <c r="BK44" s="104">
        <v>46112</v>
      </c>
      <c r="BL44" s="101"/>
      <c r="BM44" s="105">
        <f t="shared" si="9"/>
        <v>1</v>
      </c>
      <c r="BN44" s="106">
        <f>+$I44*지급비율!BD23</f>
        <v>254254000</v>
      </c>
      <c r="BO44" s="106"/>
      <c r="BP44" s="106">
        <f t="shared" si="10"/>
        <v>254254000</v>
      </c>
      <c r="BQ44" s="101"/>
      <c r="BR44" s="88"/>
      <c r="BS44" s="89" t="b">
        <f>+Q44+X44+AE44+AS44+AZ44+BG44+BN44=I44</f>
        <v>1</v>
      </c>
      <c r="BT44" s="90" t="b">
        <f>+R44+Y44+AF44+AT44+BA44+BH44+BO44=K44</f>
        <v>1</v>
      </c>
      <c r="BU44" s="90"/>
      <c r="BV44" s="54"/>
      <c r="BW44" s="54"/>
      <c r="BX44" s="54"/>
      <c r="BY44" s="54"/>
      <c r="BZ44" s="54"/>
      <c r="CA44" s="54"/>
      <c r="CB44" s="54"/>
      <c r="CC44" s="54"/>
      <c r="CD44" s="58"/>
      <c r="CE44" s="58"/>
    </row>
    <row r="45" spans="1:83" ht="16.5" customHeight="1">
      <c r="A45" s="62"/>
      <c r="B45" s="1322"/>
      <c r="C45" s="1531"/>
      <c r="D45" s="1345"/>
      <c r="E45" s="1324"/>
      <c r="F45" s="91" t="s">
        <v>392</v>
      </c>
      <c r="G45" s="92">
        <f>SUM(G41:G44)</f>
        <v>2080260000</v>
      </c>
      <c r="H45" s="92">
        <f>SUM(H41:H44)</f>
        <v>208026000</v>
      </c>
      <c r="I45" s="92">
        <f>SUM(I41:I44)</f>
        <v>2288286000</v>
      </c>
      <c r="J45" s="91">
        <f t="shared" si="0"/>
        <v>0.25048070914212645</v>
      </c>
      <c r="K45" s="92">
        <f>SUM(K41:K44)</f>
        <v>573171500</v>
      </c>
      <c r="L45" s="92">
        <f>SUM(L41:L44)</f>
        <v>1715114500</v>
      </c>
      <c r="M45" s="419">
        <f>+X42+X43+AE42+AE43</f>
        <v>444944500</v>
      </c>
      <c r="N45" s="93"/>
      <c r="O45" s="91"/>
      <c r="P45" s="94">
        <f>+IFERROR(Q45/$I45,"-")</f>
        <v>5.5555555555555552E-2</v>
      </c>
      <c r="Q45" s="92">
        <f>SUM(Q41:Q44)</f>
        <v>127127000</v>
      </c>
      <c r="R45" s="170">
        <f>SUM(R41:R44)</f>
        <v>138303000</v>
      </c>
      <c r="S45" s="92">
        <f t="shared" si="1"/>
        <v>-11176000</v>
      </c>
      <c r="T45" s="91"/>
      <c r="U45" s="93"/>
      <c r="V45" s="91"/>
      <c r="W45" s="94">
        <f>+IFERROR(X45/$I45,"-")</f>
        <v>5.5555555555555552E-2</v>
      </c>
      <c r="X45" s="92">
        <f>SUM(X41:X44)</f>
        <v>127127000</v>
      </c>
      <c r="Y45" s="170">
        <f>SUM(Y41:Y44)</f>
        <v>139403000</v>
      </c>
      <c r="Z45" s="92">
        <f t="shared" si="2"/>
        <v>-12276000</v>
      </c>
      <c r="AA45" s="91"/>
      <c r="AB45" s="93"/>
      <c r="AC45" s="91"/>
      <c r="AD45" s="94">
        <f>+IFERROR(AE45/$I45,"-")</f>
        <v>0.44444444444444442</v>
      </c>
      <c r="AE45" s="92">
        <f>SUM(AE41:AE44)</f>
        <v>1017016000</v>
      </c>
      <c r="AF45" s="92">
        <f>SUM(AF41:AF44)</f>
        <v>295465500</v>
      </c>
      <c r="AG45" s="92">
        <f t="shared" si="3"/>
        <v>721550500</v>
      </c>
      <c r="AH45" s="91"/>
      <c r="AI45" s="93"/>
      <c r="AJ45" s="91"/>
      <c r="AK45" s="94">
        <f t="shared" si="4"/>
        <v>0</v>
      </c>
      <c r="AL45" s="92">
        <f>SUM(AL41:AL44)</f>
        <v>0</v>
      </c>
      <c r="AM45" s="92">
        <f>SUM(AM41:AM44)</f>
        <v>0</v>
      </c>
      <c r="AN45" s="92">
        <f t="shared" si="5"/>
        <v>0</v>
      </c>
      <c r="AO45" s="91"/>
      <c r="AP45" s="93"/>
      <c r="AQ45" s="91"/>
      <c r="AR45" s="94">
        <f>+IFERROR(AS45/$I45,"-")</f>
        <v>0</v>
      </c>
      <c r="AS45" s="92">
        <f>SUM(AS41:AS44)</f>
        <v>0</v>
      </c>
      <c r="AT45" s="92">
        <f>SUM(AT41:AT44)</f>
        <v>0</v>
      </c>
      <c r="AU45" s="92">
        <f t="shared" si="6"/>
        <v>0</v>
      </c>
      <c r="AV45" s="91"/>
      <c r="AW45" s="93"/>
      <c r="AX45" s="91"/>
      <c r="AY45" s="94">
        <f>+IFERROR(AZ45/$I45,"-")</f>
        <v>0</v>
      </c>
      <c r="AZ45" s="92">
        <f>SUM(AZ41:AZ44)</f>
        <v>0</v>
      </c>
      <c r="BA45" s="92">
        <f>SUM(BA41:BA44)</f>
        <v>0</v>
      </c>
      <c r="BB45" s="92">
        <f t="shared" si="7"/>
        <v>0</v>
      </c>
      <c r="BC45" s="91"/>
      <c r="BD45" s="93"/>
      <c r="BE45" s="91"/>
      <c r="BF45" s="94">
        <f>+IFERROR(BG45/$I45,"-")</f>
        <v>0.24444444444444444</v>
      </c>
      <c r="BG45" s="92">
        <f>SUM(BG41:BG44)</f>
        <v>559358800</v>
      </c>
      <c r="BH45" s="92">
        <f>SUM(BH41:BH44)</f>
        <v>0</v>
      </c>
      <c r="BI45" s="92">
        <f t="shared" si="8"/>
        <v>559358800</v>
      </c>
      <c r="BJ45" s="91"/>
      <c r="BK45" s="93"/>
      <c r="BL45" s="91"/>
      <c r="BM45" s="94">
        <f t="shared" si="9"/>
        <v>0.2</v>
      </c>
      <c r="BN45" s="92">
        <f>SUM(BN41:BN44)</f>
        <v>457657200</v>
      </c>
      <c r="BO45" s="92">
        <f>SUM(BO41:BO44)</f>
        <v>0</v>
      </c>
      <c r="BP45" s="92">
        <f t="shared" si="10"/>
        <v>457657200</v>
      </c>
      <c r="BQ45" s="91"/>
      <c r="BR45" s="88"/>
      <c r="BS45" s="96"/>
      <c r="BT45" s="96"/>
      <c r="BU45" s="139"/>
      <c r="BV45" s="54"/>
      <c r="BW45" s="54"/>
      <c r="BX45" s="54"/>
      <c r="BY45" s="54"/>
      <c r="BZ45" s="54"/>
      <c r="CA45" s="54"/>
      <c r="CB45" s="54"/>
      <c r="CC45" s="54"/>
      <c r="CD45" s="58"/>
      <c r="CE45" s="58"/>
    </row>
    <row r="46" spans="1:83" ht="16.5" customHeight="1">
      <c r="A46" s="62"/>
      <c r="B46" s="1322">
        <f t="shared" ref="B46" si="16">+B41+1</f>
        <v>8</v>
      </c>
      <c r="C46" s="1531" t="s">
        <v>897</v>
      </c>
      <c r="D46" s="1343">
        <v>148.47999999999999</v>
      </c>
      <c r="E46" s="1324" t="s">
        <v>888</v>
      </c>
      <c r="F46" s="63" t="s">
        <v>388</v>
      </c>
      <c r="G46" s="76">
        <f>+지급비율!F20*$D$46/1000</f>
        <v>163328000</v>
      </c>
      <c r="H46" s="64">
        <f>+G46*10%</f>
        <v>16332800</v>
      </c>
      <c r="I46" s="64">
        <f>SUM(G46:H46)</f>
        <v>179660800</v>
      </c>
      <c r="J46" s="63">
        <f t="shared" si="0"/>
        <v>0</v>
      </c>
      <c r="K46" s="134">
        <f>+IFERROR(R46+Y46+AF46+AM46+AT46+BA46+BH46+BO46,"-")</f>
        <v>0</v>
      </c>
      <c r="L46" s="134">
        <f>+I46-K46</f>
        <v>179660800</v>
      </c>
      <c r="M46" s="1331" t="s">
        <v>264</v>
      </c>
      <c r="N46" s="67"/>
      <c r="O46" s="67"/>
      <c r="P46" s="135"/>
      <c r="Q46" s="134">
        <f>+$I46*지급비율!G20</f>
        <v>0</v>
      </c>
      <c r="R46" s="66"/>
      <c r="S46" s="66">
        <f t="shared" si="1"/>
        <v>0</v>
      </c>
      <c r="T46" s="136"/>
      <c r="U46" s="67"/>
      <c r="V46" s="67"/>
      <c r="W46" s="135"/>
      <c r="X46" s="134">
        <f>+$I46*지급비율!N20</f>
        <v>0</v>
      </c>
      <c r="Y46" s="134"/>
      <c r="Z46" s="134">
        <f t="shared" si="2"/>
        <v>0</v>
      </c>
      <c r="AA46" s="145"/>
      <c r="AB46" s="67">
        <f>+EDATE(AI46,0)</f>
        <v>46020</v>
      </c>
      <c r="AC46" s="67"/>
      <c r="AD46" s="135">
        <f>+IFERROR(AE46/$I46,"-")</f>
        <v>0.5</v>
      </c>
      <c r="AE46" s="134">
        <f>+$I46*지급비율!U20</f>
        <v>89830400</v>
      </c>
      <c r="AF46" s="134"/>
      <c r="AG46" s="134">
        <f t="shared" si="3"/>
        <v>89830400</v>
      </c>
      <c r="AH46" s="145"/>
      <c r="AI46" s="67">
        <f>+EDATE(AP46,-1)+1</f>
        <v>46020</v>
      </c>
      <c r="AJ46" s="67"/>
      <c r="AK46" s="135">
        <f t="shared" si="4"/>
        <v>0</v>
      </c>
      <c r="AL46" s="134">
        <f>+$I46*지급비율!AB20</f>
        <v>0</v>
      </c>
      <c r="AM46" s="134"/>
      <c r="AN46" s="134">
        <f t="shared" si="5"/>
        <v>0</v>
      </c>
      <c r="AO46" s="145"/>
      <c r="AP46" s="67">
        <f>+EDATE(AW46,-1)</f>
        <v>46050</v>
      </c>
      <c r="AQ46" s="67"/>
      <c r="AR46" s="135">
        <f>+IFERROR(AS46/$I46,"-")</f>
        <v>0</v>
      </c>
      <c r="AS46" s="134">
        <f>+$I46*지급비율!AI20</f>
        <v>0</v>
      </c>
      <c r="AT46" s="134"/>
      <c r="AU46" s="134">
        <f t="shared" si="6"/>
        <v>0</v>
      </c>
      <c r="AV46" s="145"/>
      <c r="AW46" s="67">
        <f>+EDATE(BD46,-1)</f>
        <v>46081</v>
      </c>
      <c r="AX46" s="67"/>
      <c r="AY46" s="135">
        <f>+IFERROR(AZ46/$I46,"-")</f>
        <v>0</v>
      </c>
      <c r="AZ46" s="134">
        <f>+$I46*지급비율!AP20</f>
        <v>0</v>
      </c>
      <c r="BA46" s="134"/>
      <c r="BB46" s="134">
        <f t="shared" si="7"/>
        <v>0</v>
      </c>
      <c r="BC46" s="145"/>
      <c r="BD46" s="67">
        <f>+EDATE(BK46,-1)</f>
        <v>46111</v>
      </c>
      <c r="BE46" s="67"/>
      <c r="BF46" s="135">
        <f>+IFERROR(BG46/$I46,"-")</f>
        <v>0.4</v>
      </c>
      <c r="BG46" s="134">
        <f>+$I46*지급비율!AW20</f>
        <v>71864320</v>
      </c>
      <c r="BH46" s="134"/>
      <c r="BI46" s="134">
        <f t="shared" si="8"/>
        <v>71864320</v>
      </c>
      <c r="BJ46" s="145"/>
      <c r="BK46" s="67">
        <v>46142</v>
      </c>
      <c r="BL46" s="67"/>
      <c r="BM46" s="135">
        <f t="shared" si="9"/>
        <v>0.1</v>
      </c>
      <c r="BN46" s="134">
        <f>+$I46*지급비율!BD20</f>
        <v>17966080</v>
      </c>
      <c r="BO46" s="134"/>
      <c r="BP46" s="134">
        <f t="shared" si="10"/>
        <v>17966080</v>
      </c>
      <c r="BQ46" s="145"/>
      <c r="BR46" s="73"/>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22"/>
      <c r="C47" s="1531"/>
      <c r="D47" s="1344"/>
      <c r="E47" s="1324"/>
      <c r="F47" s="75" t="s">
        <v>389</v>
      </c>
      <c r="G47" s="76">
        <f>+지급비율!F21*$D$46/1000</f>
        <v>44544000</v>
      </c>
      <c r="H47" s="76">
        <f>+G47*10%</f>
        <v>4454400</v>
      </c>
      <c r="I47" s="76">
        <f>SUM(G47:H47)</f>
        <v>48998400</v>
      </c>
      <c r="J47" s="75">
        <f t="shared" si="0"/>
        <v>0.2</v>
      </c>
      <c r="K47" s="80">
        <f>+IFERROR(R47+Y47+AF47+AM47+AT47+BA47+BH47+BO47,"-")</f>
        <v>9799680</v>
      </c>
      <c r="L47" s="80">
        <f>+I47-K47</f>
        <v>39198720</v>
      </c>
      <c r="M47" s="1332"/>
      <c r="N47" s="72">
        <v>45855</v>
      </c>
      <c r="O47" s="78">
        <v>45867</v>
      </c>
      <c r="P47" s="79">
        <f>+IFERROR(Q47/$I47,"-")</f>
        <v>0.2</v>
      </c>
      <c r="Q47" s="70">
        <f>+$I47*지급비율!G21</f>
        <v>9799680</v>
      </c>
      <c r="R47" s="70">
        <v>9799680</v>
      </c>
      <c r="S47" s="70">
        <f t="shared" si="1"/>
        <v>0</v>
      </c>
      <c r="T47" s="161"/>
      <c r="U47" s="402">
        <v>45991</v>
      </c>
      <c r="V47" s="402"/>
      <c r="W47" s="403">
        <f>+IFERROR(X47/$I47,"-")</f>
        <v>0.2</v>
      </c>
      <c r="X47" s="404">
        <f>+$I47*지급비율!N21</f>
        <v>9799680</v>
      </c>
      <c r="Y47" s="404"/>
      <c r="Z47" s="404">
        <f t="shared" si="2"/>
        <v>9799680</v>
      </c>
      <c r="AA47" s="405"/>
      <c r="AB47" s="152">
        <v>46022</v>
      </c>
      <c r="AC47" s="152"/>
      <c r="AD47" s="117">
        <f>+IFERROR(AE47/$I47,"-")</f>
        <v>0.5</v>
      </c>
      <c r="AE47" s="289">
        <f>+$I47*지급비율!U21</f>
        <v>24499200</v>
      </c>
      <c r="AF47" s="289"/>
      <c r="AG47" s="289">
        <f t="shared" si="3"/>
        <v>24499200</v>
      </c>
      <c r="AH47" s="118"/>
      <c r="AI47" s="78"/>
      <c r="AJ47" s="72"/>
      <c r="AK47" s="79">
        <f t="shared" si="4"/>
        <v>0</v>
      </c>
      <c r="AL47" s="70">
        <f>+$I47*지급비율!AB21</f>
        <v>0</v>
      </c>
      <c r="AM47" s="70"/>
      <c r="AN47" s="70">
        <f t="shared" si="5"/>
        <v>0</v>
      </c>
      <c r="AO47" s="81"/>
      <c r="AP47" s="78"/>
      <c r="AQ47" s="72"/>
      <c r="AR47" s="79"/>
      <c r="AS47" s="70">
        <f>+$I47*지급비율!AI21</f>
        <v>0</v>
      </c>
      <c r="AT47" s="70"/>
      <c r="AU47" s="70">
        <f t="shared" si="6"/>
        <v>0</v>
      </c>
      <c r="AV47" s="81"/>
      <c r="AW47" s="78"/>
      <c r="AX47" s="72"/>
      <c r="AY47" s="79"/>
      <c r="AZ47" s="70">
        <f>+$I47*지급비율!AP21</f>
        <v>0</v>
      </c>
      <c r="BA47" s="70"/>
      <c r="BB47" s="70">
        <f t="shared" si="7"/>
        <v>0</v>
      </c>
      <c r="BC47" s="81"/>
      <c r="BD47" s="78"/>
      <c r="BE47" s="72"/>
      <c r="BF47" s="79"/>
      <c r="BG47" s="70">
        <f>+$I47*지급비율!AW21</f>
        <v>0</v>
      </c>
      <c r="BH47" s="70"/>
      <c r="BI47" s="70">
        <f t="shared" si="8"/>
        <v>0</v>
      </c>
      <c r="BJ47" s="81"/>
      <c r="BK47" s="138">
        <v>46142</v>
      </c>
      <c r="BL47" s="72"/>
      <c r="BM47" s="79">
        <f t="shared" si="9"/>
        <v>0.1</v>
      </c>
      <c r="BN47" s="70">
        <f>+$I47*지급비율!BD21</f>
        <v>4899840</v>
      </c>
      <c r="BO47" s="70"/>
      <c r="BP47" s="70">
        <f t="shared" si="10"/>
        <v>4899840</v>
      </c>
      <c r="BQ47" s="81"/>
      <c r="BR47" s="73"/>
      <c r="BS47" s="74" t="b">
        <f>+Q47+X47+AE47+AS47+AZ47+BG47+BN47=I47</f>
        <v>1</v>
      </c>
      <c r="BT47" s="74" t="b">
        <f>+R47+Y47+AF47+AT47+BA47+BH47+BO47=K47</f>
        <v>1</v>
      </c>
      <c r="BU47" s="74" t="b">
        <f>+BG47+BG48+AZ47+AZ48+AS47+AS48+AE47+AE48+X47+X48+Q47+Q48+BN47+BN48=([5]지급비율!$F$21+[5]지급비율!$F$22)*1.1*D46/1000</f>
        <v>1</v>
      </c>
      <c r="BV47" s="54"/>
      <c r="BW47" s="54"/>
      <c r="BX47" s="54"/>
      <c r="BY47" s="54"/>
      <c r="BZ47" s="54"/>
      <c r="CA47" s="54"/>
      <c r="CB47" s="54"/>
      <c r="CC47" s="54"/>
      <c r="CD47" s="58"/>
      <c r="CE47" s="58"/>
    </row>
    <row r="48" spans="1:83" ht="16.5" customHeight="1">
      <c r="A48" s="62"/>
      <c r="B48" s="1322"/>
      <c r="C48" s="1531"/>
      <c r="D48" s="1344"/>
      <c r="E48" s="1324"/>
      <c r="F48" s="75" t="s">
        <v>390</v>
      </c>
      <c r="G48" s="76">
        <f>+지급비율!F22*D46/1000</f>
        <v>29695999.999999996</v>
      </c>
      <c r="H48" s="76">
        <f>+G48*10%</f>
        <v>2969600</v>
      </c>
      <c r="I48" s="76">
        <f>SUM(G48:H48)</f>
        <v>32665599.999999996</v>
      </c>
      <c r="J48" s="75">
        <f t="shared" si="0"/>
        <v>0.2</v>
      </c>
      <c r="K48" s="80">
        <f>+IFERROR(R48+Y48+AF48+AM48+AT48+BA48+BH48+BO48,"-")</f>
        <v>6533120</v>
      </c>
      <c r="L48" s="80">
        <f>+I48-K48</f>
        <v>26132479.999999996</v>
      </c>
      <c r="M48" s="1332"/>
      <c r="N48" s="72">
        <v>45855</v>
      </c>
      <c r="O48" s="78">
        <v>45867</v>
      </c>
      <c r="P48" s="79">
        <f>+IFERROR(Q48/$I48,"-")</f>
        <v>0.2</v>
      </c>
      <c r="Q48" s="70">
        <f>+$I48*지급비율!G22</f>
        <v>6533120</v>
      </c>
      <c r="R48" s="70">
        <v>6533120</v>
      </c>
      <c r="S48" s="70">
        <f t="shared" si="1"/>
        <v>0</v>
      </c>
      <c r="T48" s="161"/>
      <c r="U48" s="402">
        <v>45991</v>
      </c>
      <c r="V48" s="402"/>
      <c r="W48" s="403">
        <f>+IFERROR(X48/$I48,"-")</f>
        <v>0.2</v>
      </c>
      <c r="X48" s="404">
        <f>+$I48*지급비율!N22</f>
        <v>6533120</v>
      </c>
      <c r="Y48" s="404"/>
      <c r="Z48" s="404">
        <f t="shared" si="2"/>
        <v>6533120</v>
      </c>
      <c r="AA48" s="405"/>
      <c r="AB48" s="152">
        <v>46022</v>
      </c>
      <c r="AC48" s="152"/>
      <c r="AD48" s="117">
        <f>+IFERROR(AE48/$I48,"-")</f>
        <v>0.5</v>
      </c>
      <c r="AE48" s="289">
        <f>+$I48*지급비율!U22</f>
        <v>16332799.999999998</v>
      </c>
      <c r="AF48" s="289"/>
      <c r="AG48" s="289">
        <f t="shared" si="3"/>
        <v>16332799.999999998</v>
      </c>
      <c r="AH48" s="118"/>
      <c r="AI48" s="72"/>
      <c r="AJ48" s="72"/>
      <c r="AK48" s="79">
        <f t="shared" si="4"/>
        <v>0</v>
      </c>
      <c r="AL48" s="70">
        <f>+$I48*지급비율!AB22</f>
        <v>0</v>
      </c>
      <c r="AM48" s="70"/>
      <c r="AN48" s="70">
        <f t="shared" si="5"/>
        <v>0</v>
      </c>
      <c r="AO48" s="81"/>
      <c r="AP48" s="72"/>
      <c r="AQ48" s="72"/>
      <c r="AR48" s="79"/>
      <c r="AS48" s="70">
        <f>+$I48*지급비율!AI22</f>
        <v>0</v>
      </c>
      <c r="AT48" s="70"/>
      <c r="AU48" s="70">
        <f t="shared" si="6"/>
        <v>0</v>
      </c>
      <c r="AV48" s="81"/>
      <c r="AW48" s="72"/>
      <c r="AX48" s="72"/>
      <c r="AY48" s="79"/>
      <c r="AZ48" s="70">
        <f>+$I48*지급비율!AP22</f>
        <v>0</v>
      </c>
      <c r="BA48" s="70"/>
      <c r="BB48" s="70">
        <f t="shared" si="7"/>
        <v>0</v>
      </c>
      <c r="BC48" s="81"/>
      <c r="BD48" s="72"/>
      <c r="BE48" s="72"/>
      <c r="BF48" s="79"/>
      <c r="BG48" s="70">
        <f>+$I48*지급비율!AW22</f>
        <v>0</v>
      </c>
      <c r="BH48" s="70"/>
      <c r="BI48" s="70">
        <f t="shared" si="8"/>
        <v>0</v>
      </c>
      <c r="BJ48" s="81"/>
      <c r="BK48" s="72">
        <v>46142</v>
      </c>
      <c r="BL48" s="72"/>
      <c r="BM48" s="79">
        <f t="shared" si="9"/>
        <v>0.1</v>
      </c>
      <c r="BN48" s="70">
        <f>+$I48*지급비율!BD22</f>
        <v>3266560</v>
      </c>
      <c r="BO48" s="70"/>
      <c r="BP48" s="70">
        <f t="shared" si="10"/>
        <v>3266560</v>
      </c>
      <c r="BQ48" s="81"/>
      <c r="BR48" s="73"/>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22"/>
      <c r="C49" s="1531"/>
      <c r="D49" s="1344"/>
      <c r="E49" s="1324"/>
      <c r="F49" s="101" t="s">
        <v>391</v>
      </c>
      <c r="G49" s="102">
        <f>+지급비율!F23*D46/1000</f>
        <v>29695999.999999996</v>
      </c>
      <c r="H49" s="102">
        <f>+G49*0.1</f>
        <v>2969600</v>
      </c>
      <c r="I49" s="102">
        <f>SUM(G49:H49)</f>
        <v>32665599.999999996</v>
      </c>
      <c r="J49" s="101">
        <f t="shared" si="0"/>
        <v>0</v>
      </c>
      <c r="K49" s="106">
        <f>+IFERROR(R49+Y49+AF49+AM49+AT49+BA49+BH49+BO49,"-")</f>
        <v>0</v>
      </c>
      <c r="L49" s="106">
        <f>+I49-K49</f>
        <v>32665599.999999996</v>
      </c>
      <c r="M49" s="1333"/>
      <c r="N49" s="104"/>
      <c r="O49" s="101"/>
      <c r="P49" s="105"/>
      <c r="Q49" s="106">
        <f>+$I49*지급비율!G23</f>
        <v>0</v>
      </c>
      <c r="R49" s="103"/>
      <c r="S49" s="103">
        <f t="shared" si="1"/>
        <v>0</v>
      </c>
      <c r="T49" s="101"/>
      <c r="U49" s="85"/>
      <c r="V49" s="101"/>
      <c r="W49" s="105"/>
      <c r="X49" s="106">
        <f>+$I49*지급비율!N23</f>
        <v>0</v>
      </c>
      <c r="Y49" s="106"/>
      <c r="Z49" s="106">
        <f t="shared" si="2"/>
        <v>0</v>
      </c>
      <c r="AA49" s="101"/>
      <c r="AB49" s="85"/>
      <c r="AC49" s="101"/>
      <c r="AD49" s="105"/>
      <c r="AE49" s="106">
        <f>+$I49*지급비율!U23</f>
        <v>0</v>
      </c>
      <c r="AF49" s="106"/>
      <c r="AG49" s="106">
        <f t="shared" si="3"/>
        <v>0</v>
      </c>
      <c r="AH49" s="101"/>
      <c r="AI49" s="85"/>
      <c r="AJ49" s="101"/>
      <c r="AK49" s="105">
        <f t="shared" si="4"/>
        <v>0</v>
      </c>
      <c r="AL49" s="106">
        <f>+$I49*지급비율!AB23</f>
        <v>0</v>
      </c>
      <c r="AM49" s="106"/>
      <c r="AN49" s="106">
        <f t="shared" si="5"/>
        <v>0</v>
      </c>
      <c r="AO49" s="101"/>
      <c r="AP49" s="85"/>
      <c r="AQ49" s="101"/>
      <c r="AR49" s="105"/>
      <c r="AS49" s="106">
        <f>+$I49*지급비율!AI23</f>
        <v>0</v>
      </c>
      <c r="AT49" s="106"/>
      <c r="AU49" s="106">
        <f t="shared" si="6"/>
        <v>0</v>
      </c>
      <c r="AV49" s="101"/>
      <c r="AW49" s="85"/>
      <c r="AX49" s="101"/>
      <c r="AY49" s="105"/>
      <c r="AZ49" s="106">
        <f>+$I49*지급비율!AP23</f>
        <v>0</v>
      </c>
      <c r="BA49" s="106"/>
      <c r="BB49" s="106">
        <f t="shared" si="7"/>
        <v>0</v>
      </c>
      <c r="BC49" s="101"/>
      <c r="BD49" s="85"/>
      <c r="BE49" s="101"/>
      <c r="BF49" s="105"/>
      <c r="BG49" s="106">
        <f>+$I49*지급비율!AW23</f>
        <v>0</v>
      </c>
      <c r="BH49" s="106"/>
      <c r="BI49" s="106">
        <f t="shared" si="8"/>
        <v>0</v>
      </c>
      <c r="BJ49" s="101"/>
      <c r="BK49" s="104">
        <v>46142</v>
      </c>
      <c r="BL49" s="101"/>
      <c r="BM49" s="105">
        <f t="shared" si="9"/>
        <v>1</v>
      </c>
      <c r="BN49" s="106">
        <f>+$I49*지급비율!BD23</f>
        <v>32665599.999999996</v>
      </c>
      <c r="BO49" s="106"/>
      <c r="BP49" s="106">
        <f t="shared" si="10"/>
        <v>32665599.999999996</v>
      </c>
      <c r="BQ49" s="101"/>
      <c r="BR49" s="88"/>
      <c r="BS49" s="89" t="b">
        <f>+Q49+X49+AE49+AS49+AZ49+BG49+BN49=I49</f>
        <v>1</v>
      </c>
      <c r="BT49" s="90" t="b">
        <f>+R49+Y49+AF49+AT49+BA49+BH49+BO49=K49</f>
        <v>1</v>
      </c>
      <c r="BU49" s="90"/>
      <c r="BV49" s="54"/>
      <c r="BW49" s="54"/>
      <c r="BX49" s="54"/>
      <c r="BY49" s="54"/>
      <c r="BZ49" s="54"/>
      <c r="CA49" s="54"/>
      <c r="CB49" s="54"/>
      <c r="CC49" s="54"/>
      <c r="CD49" s="58"/>
      <c r="CE49" s="58"/>
    </row>
    <row r="50" spans="1:83" ht="16.5" customHeight="1">
      <c r="A50" s="62"/>
      <c r="B50" s="1322"/>
      <c r="C50" s="1531"/>
      <c r="D50" s="1345"/>
      <c r="E50" s="1324"/>
      <c r="F50" s="91" t="s">
        <v>392</v>
      </c>
      <c r="G50" s="92">
        <f>SUM(G46:G49)</f>
        <v>267264000</v>
      </c>
      <c r="H50" s="92">
        <f>SUM(H46:H49)</f>
        <v>26726400</v>
      </c>
      <c r="I50" s="92">
        <f>SUM(I46:I49)</f>
        <v>293990400</v>
      </c>
      <c r="J50" s="91">
        <f t="shared" si="0"/>
        <v>5.5555555555555552E-2</v>
      </c>
      <c r="K50" s="92">
        <f>SUM(K46:K49)</f>
        <v>16332800</v>
      </c>
      <c r="L50" s="92">
        <f>SUM(L46:L49)</f>
        <v>277657600</v>
      </c>
      <c r="M50" s="419">
        <f>+X47+X48</f>
        <v>16332800</v>
      </c>
      <c r="N50" s="93"/>
      <c r="O50" s="91"/>
      <c r="P50" s="94">
        <f>+IFERROR(Q50/$I50,"-")</f>
        <v>5.5555555555555552E-2</v>
      </c>
      <c r="Q50" s="92">
        <f>SUM(Q46:Q49)</f>
        <v>16332800</v>
      </c>
      <c r="R50" s="170">
        <f>SUM(R46:R49)</f>
        <v>16332800</v>
      </c>
      <c r="S50" s="92">
        <f t="shared" si="1"/>
        <v>0</v>
      </c>
      <c r="T50" s="91"/>
      <c r="U50" s="93"/>
      <c r="V50" s="91"/>
      <c r="W50" s="94">
        <f>+IFERROR(X50/$I50,"-")</f>
        <v>5.5555555555555552E-2</v>
      </c>
      <c r="X50" s="92">
        <f>SUM(X46:X49)</f>
        <v>16332800</v>
      </c>
      <c r="Y50" s="92">
        <f>SUM(Y46:Y49)</f>
        <v>0</v>
      </c>
      <c r="Z50" s="92">
        <f t="shared" si="2"/>
        <v>16332800</v>
      </c>
      <c r="AA50" s="91"/>
      <c r="AB50" s="93"/>
      <c r="AC50" s="91"/>
      <c r="AD50" s="94">
        <f>+IFERROR(AE50/$I50,"-")</f>
        <v>0.44444444444444442</v>
      </c>
      <c r="AE50" s="92">
        <f>SUM(AE46:AE49)</f>
        <v>130662400</v>
      </c>
      <c r="AF50" s="92">
        <f>SUM(AF46:AF49)</f>
        <v>0</v>
      </c>
      <c r="AG50" s="92">
        <f t="shared" si="3"/>
        <v>130662400</v>
      </c>
      <c r="AH50" s="91"/>
      <c r="AI50" s="93"/>
      <c r="AJ50" s="91"/>
      <c r="AK50" s="94">
        <f t="shared" si="4"/>
        <v>0</v>
      </c>
      <c r="AL50" s="92">
        <f>SUM(AL46:AL49)</f>
        <v>0</v>
      </c>
      <c r="AM50" s="92">
        <f>SUM(AM46:AM49)</f>
        <v>0</v>
      </c>
      <c r="AN50" s="92">
        <f t="shared" si="5"/>
        <v>0</v>
      </c>
      <c r="AO50" s="91"/>
      <c r="AP50" s="93"/>
      <c r="AQ50" s="91"/>
      <c r="AR50" s="94">
        <f>+IFERROR(AS50/$I50,"-")</f>
        <v>0</v>
      </c>
      <c r="AS50" s="92">
        <f>SUM(AS46:AS49)</f>
        <v>0</v>
      </c>
      <c r="AT50" s="92">
        <f>SUM(AT46:AT49)</f>
        <v>0</v>
      </c>
      <c r="AU50" s="92">
        <f t="shared" si="6"/>
        <v>0</v>
      </c>
      <c r="AV50" s="91"/>
      <c r="AW50" s="93"/>
      <c r="AX50" s="91"/>
      <c r="AY50" s="94">
        <f>+IFERROR(AZ50/$I50,"-")</f>
        <v>0</v>
      </c>
      <c r="AZ50" s="92">
        <f>SUM(AZ46:AZ49)</f>
        <v>0</v>
      </c>
      <c r="BA50" s="92">
        <f>SUM(BA46:BA49)</f>
        <v>0</v>
      </c>
      <c r="BB50" s="92">
        <f t="shared" si="7"/>
        <v>0</v>
      </c>
      <c r="BC50" s="91"/>
      <c r="BD50" s="93"/>
      <c r="BE50" s="91"/>
      <c r="BF50" s="94">
        <f>+IFERROR(BG50/$I50,"-")</f>
        <v>0.24444444444444444</v>
      </c>
      <c r="BG50" s="92">
        <f>SUM(BG46:BG49)</f>
        <v>71864320</v>
      </c>
      <c r="BH50" s="92">
        <f>SUM(BH46:BH49)</f>
        <v>0</v>
      </c>
      <c r="BI50" s="92">
        <f t="shared" si="8"/>
        <v>71864320</v>
      </c>
      <c r="BJ50" s="91"/>
      <c r="BK50" s="93"/>
      <c r="BL50" s="91"/>
      <c r="BM50" s="94">
        <f t="shared" si="9"/>
        <v>0.2</v>
      </c>
      <c r="BN50" s="92">
        <f>SUM(BN46:BN49)</f>
        <v>58798080</v>
      </c>
      <c r="BO50" s="92">
        <f>SUM(BO46:BO49)</f>
        <v>0</v>
      </c>
      <c r="BP50" s="92">
        <f t="shared" si="10"/>
        <v>58798080</v>
      </c>
      <c r="BQ50" s="91"/>
      <c r="BR50" s="88"/>
      <c r="BS50" s="96"/>
      <c r="BT50" s="96"/>
      <c r="BU50" s="139"/>
      <c r="BV50" s="54"/>
      <c r="BW50" s="54"/>
      <c r="BX50" s="54"/>
      <c r="BY50" s="54"/>
      <c r="BZ50" s="54"/>
      <c r="CA50" s="54"/>
      <c r="CB50" s="54"/>
      <c r="CC50" s="54"/>
      <c r="CD50" s="58"/>
      <c r="CE50" s="58"/>
    </row>
    <row r="51" spans="1:83" ht="16.5" customHeight="1">
      <c r="A51" s="62"/>
      <c r="B51" s="1322">
        <f t="shared" ref="B51" si="17">+B46+1</f>
        <v>9</v>
      </c>
      <c r="C51" s="1532" t="s">
        <v>898</v>
      </c>
      <c r="D51" s="1343">
        <v>495.81</v>
      </c>
      <c r="E51" s="1324" t="s">
        <v>888</v>
      </c>
      <c r="F51" s="63" t="s">
        <v>388</v>
      </c>
      <c r="G51" s="64">
        <f>+지급비율!F20*$D$51/1000</f>
        <v>545391000</v>
      </c>
      <c r="H51" s="64">
        <f>+G51*10%</f>
        <v>54539100</v>
      </c>
      <c r="I51" s="64">
        <f>SUM(G51:H51)</f>
        <v>599930100</v>
      </c>
      <c r="J51" s="63">
        <f>+IFERROR(K51/'BT 3HO'!I51,"-")</f>
        <v>0</v>
      </c>
      <c r="K51" s="134">
        <f>+IFERROR(R51+Y51+AF51+AM51+AT51+BA51+BH51+BO51,"-")</f>
        <v>0</v>
      </c>
      <c r="L51" s="134">
        <f>+'BT 3HO'!I51-K51</f>
        <v>599930100</v>
      </c>
      <c r="M51" s="416"/>
      <c r="N51" s="67"/>
      <c r="O51" s="67"/>
      <c r="P51" s="135"/>
      <c r="Q51" s="134">
        <f>+$I51*지급비율!G20</f>
        <v>0</v>
      </c>
      <c r="R51" s="66"/>
      <c r="S51" s="66">
        <f t="shared" si="1"/>
        <v>0</v>
      </c>
      <c r="T51" s="136"/>
      <c r="U51" s="67"/>
      <c r="V51" s="67"/>
      <c r="W51" s="135"/>
      <c r="X51" s="134">
        <f>+$I51*지급비율!N20</f>
        <v>0</v>
      </c>
      <c r="Y51" s="66"/>
      <c r="Z51" s="66">
        <f t="shared" si="2"/>
        <v>0</v>
      </c>
      <c r="AA51" s="136"/>
      <c r="AB51" s="67"/>
      <c r="AC51" s="67"/>
      <c r="AD51" s="79"/>
      <c r="AE51" s="134"/>
      <c r="AF51" s="134"/>
      <c r="AG51" s="134"/>
      <c r="AH51" s="145"/>
      <c r="AI51" s="67"/>
      <c r="AJ51" s="67"/>
      <c r="AK51" s="79"/>
      <c r="AL51" s="134"/>
      <c r="AM51" s="134"/>
      <c r="AN51" s="134"/>
      <c r="AO51" s="145"/>
      <c r="AP51" s="67"/>
      <c r="AQ51" s="67"/>
      <c r="AR51" s="79"/>
      <c r="AS51" s="134"/>
      <c r="AT51" s="134"/>
      <c r="AU51" s="134"/>
      <c r="AV51" s="145"/>
      <c r="AW51" s="67"/>
      <c r="AX51" s="67"/>
      <c r="AY51" s="79"/>
      <c r="AZ51" s="134"/>
      <c r="BA51" s="134"/>
      <c r="BB51" s="134"/>
      <c r="BC51" s="145"/>
      <c r="BD51" s="67"/>
      <c r="BE51" s="67"/>
      <c r="BF51" s="79"/>
      <c r="BG51" s="134"/>
      <c r="BH51" s="134"/>
      <c r="BI51" s="134"/>
      <c r="BJ51" s="145"/>
      <c r="BK51" s="67"/>
      <c r="BL51" s="67"/>
      <c r="BM51" s="79"/>
      <c r="BN51" s="134"/>
      <c r="BO51" s="134"/>
      <c r="BP51" s="134"/>
      <c r="BQ51" s="145"/>
      <c r="BR51" s="73"/>
      <c r="BS51" s="74" t="b">
        <f>+Q51+X51+AE51+AS51+AZ51+BG51+BN51='BT 3HO'!I51</f>
        <v>0</v>
      </c>
      <c r="BT51" s="74" t="b">
        <f>+R51+Y51+AF51+AT51+BA51+BH51+BO51=K51</f>
        <v>1</v>
      </c>
      <c r="BU51" s="74"/>
      <c r="BV51" s="54"/>
      <c r="BW51" s="54"/>
      <c r="BX51" s="54"/>
      <c r="BY51" s="54"/>
      <c r="BZ51" s="54"/>
      <c r="CA51" s="54"/>
      <c r="CB51" s="54"/>
      <c r="CC51" s="54"/>
      <c r="CD51" s="58"/>
      <c r="CE51" s="58"/>
    </row>
    <row r="52" spans="1:83" ht="16.5" customHeight="1">
      <c r="A52" s="62"/>
      <c r="B52" s="1322"/>
      <c r="C52" s="1532"/>
      <c r="D52" s="1344"/>
      <c r="E52" s="1324"/>
      <c r="F52" s="75" t="s">
        <v>389</v>
      </c>
      <c r="G52" s="76">
        <f>+지급비율!F21*$D$51/1000</f>
        <v>148743000</v>
      </c>
      <c r="H52" s="76">
        <f>+G52*10%</f>
        <v>14874300</v>
      </c>
      <c r="I52" s="76">
        <f>SUM(G52:H52)</f>
        <v>163617300</v>
      </c>
      <c r="J52" s="75">
        <f>+IFERROR(K52/'BT 3HO'!I52,"-")</f>
        <v>0</v>
      </c>
      <c r="K52" s="80">
        <f>+IFERROR(R52+Y52+AF52+AM52+AT52+BA52+BH52+BO52,"-")</f>
        <v>0</v>
      </c>
      <c r="L52" s="80">
        <f>+'BT 3HO'!I52-K52</f>
        <v>163617300</v>
      </c>
      <c r="M52" s="417"/>
      <c r="N52" s="72">
        <v>45820</v>
      </c>
      <c r="O52" s="72">
        <v>45820</v>
      </c>
      <c r="P52" s="79">
        <f>+IFERROR(Q52/'BT 3HO'!$I52,"-")</f>
        <v>0.2</v>
      </c>
      <c r="Q52" s="99">
        <f>+$I52*지급비율!G21</f>
        <v>32723460</v>
      </c>
      <c r="R52" s="99"/>
      <c r="S52" s="99">
        <f t="shared" si="1"/>
        <v>32723460</v>
      </c>
      <c r="T52" s="140"/>
      <c r="U52" s="78">
        <v>45855</v>
      </c>
      <c r="V52" s="78">
        <v>45867</v>
      </c>
      <c r="W52" s="79">
        <f>+IFERROR(X52/'BT 3HO'!$I52,"-")</f>
        <v>0.2</v>
      </c>
      <c r="X52" s="99">
        <f>+$I52*지급비율!N21</f>
        <v>32723460</v>
      </c>
      <c r="Y52" s="99"/>
      <c r="Z52" s="70">
        <f t="shared" si="2"/>
        <v>32723460</v>
      </c>
      <c r="AA52" s="81"/>
      <c r="AB52" s="78"/>
      <c r="AC52" s="78"/>
      <c r="AD52" s="79"/>
      <c r="AE52" s="70"/>
      <c r="AF52" s="70"/>
      <c r="AG52" s="70"/>
      <c r="AH52" s="81"/>
      <c r="AI52" s="78"/>
      <c r="AJ52" s="72"/>
      <c r="AK52" s="79"/>
      <c r="AL52" s="70"/>
      <c r="AM52" s="70"/>
      <c r="AN52" s="70"/>
      <c r="AO52" s="81"/>
      <c r="AP52" s="78"/>
      <c r="AQ52" s="72"/>
      <c r="AR52" s="79"/>
      <c r="AS52" s="70"/>
      <c r="AT52" s="70"/>
      <c r="AU52" s="70"/>
      <c r="AV52" s="81"/>
      <c r="AW52" s="78"/>
      <c r="AX52" s="72"/>
      <c r="AY52" s="79"/>
      <c r="AZ52" s="70"/>
      <c r="BA52" s="70"/>
      <c r="BB52" s="70"/>
      <c r="BC52" s="81"/>
      <c r="BD52" s="78"/>
      <c r="BE52" s="72"/>
      <c r="BF52" s="79"/>
      <c r="BG52" s="70"/>
      <c r="BH52" s="70"/>
      <c r="BI52" s="70"/>
      <c r="BJ52" s="81"/>
      <c r="BK52" s="138"/>
      <c r="BL52" s="72"/>
      <c r="BM52" s="79"/>
      <c r="BN52" s="70"/>
      <c r="BO52" s="70"/>
      <c r="BP52" s="70"/>
      <c r="BQ52" s="81"/>
      <c r="BR52" s="73"/>
      <c r="BS52" s="74" t="b">
        <f>+Q52+X52+AE52+AS52+AZ52+BG52+BN52='BT 3HO'!I52</f>
        <v>0</v>
      </c>
      <c r="BT52" s="74" t="b">
        <f>+R52+Y52+AF52+AT52+BA52+BH52+BO52=K52</f>
        <v>1</v>
      </c>
      <c r="BU52" s="74" t="b">
        <f>+BG52+BG53+AZ52+AZ53+AS52+AS53+AE52+AE53+X52+X53+Q52+Q53+BN52+BN53=([5]지급비율!$F$21+[5]지급비율!$F$22)*1.1*'BT 3HO'!D51/1000</f>
        <v>0</v>
      </c>
      <c r="BV52" s="54"/>
      <c r="BW52" s="54"/>
      <c r="BX52" s="54"/>
      <c r="BY52" s="54"/>
      <c r="BZ52" s="54"/>
      <c r="CA52" s="54"/>
      <c r="CB52" s="54"/>
      <c r="CC52" s="54"/>
      <c r="CD52" s="58"/>
      <c r="CE52" s="58"/>
    </row>
    <row r="53" spans="1:83" ht="16.5" customHeight="1">
      <c r="A53" s="62"/>
      <c r="B53" s="1322"/>
      <c r="C53" s="1532"/>
      <c r="D53" s="1344"/>
      <c r="E53" s="1324"/>
      <c r="F53" s="75" t="s">
        <v>390</v>
      </c>
      <c r="G53" s="76">
        <f>+지급비율!F22*$D$51/1000</f>
        <v>99162000</v>
      </c>
      <c r="H53" s="76">
        <f>+G53*10%</f>
        <v>9916200</v>
      </c>
      <c r="I53" s="76">
        <f>SUM(G53:H53)</f>
        <v>109078200</v>
      </c>
      <c r="J53" s="75">
        <f>+IFERROR(K53/'BT 3HO'!I53,"-")</f>
        <v>0</v>
      </c>
      <c r="K53" s="80">
        <f>+IFERROR(R53+Y53+AF53+AM53+AT53+BA53+BH53+BO53,"-")</f>
        <v>0</v>
      </c>
      <c r="L53" s="80">
        <f>+'BT 3HO'!I53-K53</f>
        <v>109078200</v>
      </c>
      <c r="M53" s="417"/>
      <c r="N53" s="72">
        <v>45820</v>
      </c>
      <c r="O53" s="72">
        <v>45820</v>
      </c>
      <c r="P53" s="79">
        <f>+IFERROR(Q53/'BT 3HO'!$I53,"-")</f>
        <v>0.2</v>
      </c>
      <c r="Q53" s="99">
        <f>+$I53*지급비율!G22</f>
        <v>21815640</v>
      </c>
      <c r="R53" s="99"/>
      <c r="S53" s="99">
        <f t="shared" si="1"/>
        <v>21815640</v>
      </c>
      <c r="T53" s="140"/>
      <c r="U53" s="78">
        <v>45855</v>
      </c>
      <c r="V53" s="78">
        <v>45867</v>
      </c>
      <c r="W53" s="79">
        <f>+IFERROR(X53/'BT 3HO'!$I53,"-")</f>
        <v>0.2</v>
      </c>
      <c r="X53" s="99">
        <f>+$I53*지급비율!N22</f>
        <v>21815640</v>
      </c>
      <c r="Y53" s="99"/>
      <c r="Z53" s="70">
        <f t="shared" si="2"/>
        <v>21815640</v>
      </c>
      <c r="AA53" s="81"/>
      <c r="AB53" s="78"/>
      <c r="AC53" s="78"/>
      <c r="AD53" s="79"/>
      <c r="AE53" s="70"/>
      <c r="AF53" s="70"/>
      <c r="AG53" s="70"/>
      <c r="AH53" s="81"/>
      <c r="AI53" s="72"/>
      <c r="AJ53" s="72"/>
      <c r="AK53" s="79"/>
      <c r="AL53" s="70"/>
      <c r="AM53" s="70"/>
      <c r="AN53" s="70"/>
      <c r="AO53" s="81"/>
      <c r="AP53" s="72"/>
      <c r="AQ53" s="72"/>
      <c r="AR53" s="79"/>
      <c r="AS53" s="70"/>
      <c r="AT53" s="70"/>
      <c r="AU53" s="70"/>
      <c r="AV53" s="81"/>
      <c r="AW53" s="72"/>
      <c r="AX53" s="72"/>
      <c r="AY53" s="79"/>
      <c r="AZ53" s="70"/>
      <c r="BA53" s="70"/>
      <c r="BB53" s="70"/>
      <c r="BC53" s="81"/>
      <c r="BD53" s="72"/>
      <c r="BE53" s="72"/>
      <c r="BF53" s="79"/>
      <c r="BG53" s="70"/>
      <c r="BH53" s="70"/>
      <c r="BI53" s="70"/>
      <c r="BJ53" s="81"/>
      <c r="BK53" s="72"/>
      <c r="BL53" s="72"/>
      <c r="BM53" s="79"/>
      <c r="BN53" s="70"/>
      <c r="BO53" s="70"/>
      <c r="BP53" s="70"/>
      <c r="BQ53" s="81"/>
      <c r="BR53" s="73"/>
      <c r="BS53" s="74" t="b">
        <f>+Q53+X53+AE53+AS53+AZ53+BG53+BN53='BT 3HO'!I53</f>
        <v>0</v>
      </c>
      <c r="BT53" s="74" t="b">
        <f>+R53+Y53+AF53+AT53+BA53+BH53+BO53=K53</f>
        <v>1</v>
      </c>
      <c r="BU53" s="74"/>
      <c r="BV53" s="54"/>
      <c r="BW53" s="54"/>
      <c r="BX53" s="54"/>
      <c r="BY53" s="54"/>
      <c r="BZ53" s="54"/>
      <c r="CA53" s="54"/>
      <c r="CB53" s="54"/>
      <c r="CC53" s="54"/>
      <c r="CD53" s="58"/>
      <c r="CE53" s="58"/>
    </row>
    <row r="54" spans="1:83" ht="16.5" customHeight="1">
      <c r="A54" s="62"/>
      <c r="B54" s="1322"/>
      <c r="C54" s="1532"/>
      <c r="D54" s="1344"/>
      <c r="E54" s="1324"/>
      <c r="F54" s="101" t="s">
        <v>391</v>
      </c>
      <c r="G54" s="102">
        <f>+지급비율!F23*$D$51/1000</f>
        <v>99162000</v>
      </c>
      <c r="H54" s="102">
        <f>+G54*0.1</f>
        <v>9916200</v>
      </c>
      <c r="I54" s="102">
        <f>SUM(G54:H54)</f>
        <v>109078200</v>
      </c>
      <c r="J54" s="101">
        <f>+IFERROR(K54/'BT 3HO'!I54,"-")</f>
        <v>0</v>
      </c>
      <c r="K54" s="106">
        <f>+IFERROR(R54+Y54+AF54+AM54+AT54+BA54+BH54+BO54,"-")</f>
        <v>0</v>
      </c>
      <c r="L54" s="106">
        <f>+'BT 3HO'!I54-K54</f>
        <v>109078200</v>
      </c>
      <c r="M54" s="420"/>
      <c r="N54" s="104"/>
      <c r="O54" s="101"/>
      <c r="P54" s="105"/>
      <c r="Q54" s="103">
        <f>+$I54*지급비율!G23</f>
        <v>0</v>
      </c>
      <c r="R54" s="103"/>
      <c r="S54" s="103">
        <f t="shared" si="1"/>
        <v>0</v>
      </c>
      <c r="T54" s="101"/>
      <c r="U54" s="85"/>
      <c r="V54" s="101"/>
      <c r="W54" s="105"/>
      <c r="X54" s="103">
        <f>+$I54*지급비율!N23</f>
        <v>0</v>
      </c>
      <c r="Y54" s="103"/>
      <c r="Z54" s="103">
        <f t="shared" si="2"/>
        <v>0</v>
      </c>
      <c r="AA54" s="101"/>
      <c r="AB54" s="85"/>
      <c r="AC54" s="101"/>
      <c r="AD54" s="105"/>
      <c r="AE54" s="106"/>
      <c r="AF54" s="106"/>
      <c r="AG54" s="106"/>
      <c r="AH54" s="101"/>
      <c r="AI54" s="85"/>
      <c r="AJ54" s="101"/>
      <c r="AK54" s="105"/>
      <c r="AL54" s="106"/>
      <c r="AM54" s="106"/>
      <c r="AN54" s="106"/>
      <c r="AO54" s="101"/>
      <c r="AP54" s="85"/>
      <c r="AQ54" s="101"/>
      <c r="AR54" s="105"/>
      <c r="AS54" s="106"/>
      <c r="AT54" s="106"/>
      <c r="AU54" s="106"/>
      <c r="AV54" s="101"/>
      <c r="AW54" s="85"/>
      <c r="AX54" s="101"/>
      <c r="AY54" s="105"/>
      <c r="AZ54" s="106"/>
      <c r="BA54" s="106"/>
      <c r="BB54" s="106"/>
      <c r="BC54" s="101"/>
      <c r="BD54" s="85"/>
      <c r="BE54" s="101"/>
      <c r="BF54" s="105"/>
      <c r="BG54" s="106"/>
      <c r="BH54" s="106"/>
      <c r="BI54" s="106"/>
      <c r="BJ54" s="101"/>
      <c r="BK54" s="104"/>
      <c r="BL54" s="101"/>
      <c r="BM54" s="105"/>
      <c r="BN54" s="106"/>
      <c r="BO54" s="106"/>
      <c r="BP54" s="106"/>
      <c r="BQ54" s="101"/>
      <c r="BR54" s="88"/>
      <c r="BS54" s="89" t="b">
        <f>+Q54+X54+AE54+AS54+AZ54+BG54+BN54='BT 3HO'!I54</f>
        <v>0</v>
      </c>
      <c r="BT54" s="90" t="b">
        <f>+R54+Y54+AF54+AT54+BA54+BH54+BO54=K54</f>
        <v>1</v>
      </c>
      <c r="BU54" s="90"/>
      <c r="BV54" s="54"/>
      <c r="BW54" s="54"/>
      <c r="BX54" s="54"/>
      <c r="BY54" s="54"/>
      <c r="BZ54" s="54"/>
      <c r="CA54" s="54"/>
      <c r="CB54" s="54"/>
      <c r="CC54" s="54"/>
      <c r="CD54" s="58"/>
      <c r="CE54" s="58"/>
    </row>
    <row r="55" spans="1:83" ht="16.5" customHeight="1">
      <c r="A55" s="62"/>
      <c r="B55" s="1322"/>
      <c r="C55" s="1532"/>
      <c r="D55" s="1345"/>
      <c r="E55" s="1324"/>
      <c r="F55" s="91" t="s">
        <v>392</v>
      </c>
      <c r="G55" s="92">
        <f>SUM(G51:G54)</f>
        <v>892458000</v>
      </c>
      <c r="H55" s="92">
        <f>SUM(H51:H54)</f>
        <v>89245800</v>
      </c>
      <c r="I55" s="92">
        <f>SUM(I51:I54)</f>
        <v>981703800</v>
      </c>
      <c r="J55" s="91">
        <f>+IFERROR(K55/'BT 3HO'!I55,"-")</f>
        <v>0</v>
      </c>
      <c r="K55" s="92">
        <f>SUM(K51:K54)</f>
        <v>0</v>
      </c>
      <c r="L55" s="92">
        <f>SUM(L51:L54)</f>
        <v>981703800</v>
      </c>
      <c r="M55" s="419"/>
      <c r="N55" s="93"/>
      <c r="O55" s="91"/>
      <c r="P55" s="94">
        <f>+IFERROR(Q55/'BT 3HO'!$I55,"-")</f>
        <v>5.5555555555555552E-2</v>
      </c>
      <c r="Q55" s="92">
        <f>SUM(Q51:Q54)</f>
        <v>54539100</v>
      </c>
      <c r="R55" s="170">
        <f>SUM(R51:R54)</f>
        <v>0</v>
      </c>
      <c r="S55" s="92">
        <f t="shared" si="1"/>
        <v>54539100</v>
      </c>
      <c r="T55" s="91"/>
      <c r="U55" s="93"/>
      <c r="V55" s="91"/>
      <c r="W55" s="94">
        <f>+IFERROR(X55/'BT 3HO'!$I55,"-")</f>
        <v>5.5555555555555552E-2</v>
      </c>
      <c r="X55" s="92">
        <f>SUM(X51:X54)</f>
        <v>54539100</v>
      </c>
      <c r="Y55" s="170">
        <f>SUM(Y51:Y54)</f>
        <v>0</v>
      </c>
      <c r="Z55" s="92">
        <f t="shared" si="2"/>
        <v>54539100</v>
      </c>
      <c r="AA55" s="91"/>
      <c r="AB55" s="93"/>
      <c r="AC55" s="91"/>
      <c r="AD55" s="94">
        <f>+IFERROR(AE55/'BT 3HO'!$I55,"-")</f>
        <v>0</v>
      </c>
      <c r="AE55" s="92">
        <f>SUM(AE51:AE54)</f>
        <v>0</v>
      </c>
      <c r="AF55" s="92">
        <f>SUM(AF51:AF54)</f>
        <v>0</v>
      </c>
      <c r="AG55" s="92">
        <f>+AE55-AF55</f>
        <v>0</v>
      </c>
      <c r="AH55" s="91"/>
      <c r="AI55" s="93"/>
      <c r="AJ55" s="91"/>
      <c r="AK55" s="94">
        <f>+IFERROR(AL55/'BT 3HO'!$I55,"-")</f>
        <v>0</v>
      </c>
      <c r="AL55" s="92">
        <f>SUM(AL51:AL54)</f>
        <v>0</v>
      </c>
      <c r="AM55" s="92">
        <f>SUM(AM51:AM54)</f>
        <v>0</v>
      </c>
      <c r="AN55" s="92">
        <f>+AL55-AM55</f>
        <v>0</v>
      </c>
      <c r="AO55" s="91"/>
      <c r="AP55" s="93"/>
      <c r="AQ55" s="91"/>
      <c r="AR55" s="94">
        <f>+IFERROR(AS55/'BT 3HO'!$I55,"-")</f>
        <v>0</v>
      </c>
      <c r="AS55" s="92">
        <f>SUM(AS51:AS54)</f>
        <v>0</v>
      </c>
      <c r="AT55" s="92">
        <f>SUM(AT51:AT54)</f>
        <v>0</v>
      </c>
      <c r="AU55" s="92">
        <f>+AS55-AT55</f>
        <v>0</v>
      </c>
      <c r="AV55" s="91"/>
      <c r="AW55" s="93"/>
      <c r="AX55" s="91"/>
      <c r="AY55" s="94">
        <f>+IFERROR(AZ55/'BT 3HO'!$I55,"-")</f>
        <v>0</v>
      </c>
      <c r="AZ55" s="92">
        <f>SUM(AZ51:AZ54)</f>
        <v>0</v>
      </c>
      <c r="BA55" s="92">
        <f>SUM(BA51:BA54)</f>
        <v>0</v>
      </c>
      <c r="BB55" s="92">
        <f>+AZ55-BA55</f>
        <v>0</v>
      </c>
      <c r="BC55" s="91"/>
      <c r="BD55" s="93"/>
      <c r="BE55" s="91"/>
      <c r="BF55" s="94">
        <f>+IFERROR(BG55/'BT 3HO'!$I55,"-")</f>
        <v>0</v>
      </c>
      <c r="BG55" s="92">
        <f>SUM(BG51:BG54)</f>
        <v>0</v>
      </c>
      <c r="BH55" s="92">
        <f>SUM(BH51:BH54)</f>
        <v>0</v>
      </c>
      <c r="BI55" s="92">
        <f>+BG55-BH55</f>
        <v>0</v>
      </c>
      <c r="BJ55" s="91"/>
      <c r="BK55" s="93"/>
      <c r="BL55" s="91"/>
      <c r="BM55" s="94">
        <f>+IFERROR(BN55/'BT 3HO'!$I55,"-")</f>
        <v>0</v>
      </c>
      <c r="BN55" s="92">
        <f>SUM(BN51:BN54)</f>
        <v>0</v>
      </c>
      <c r="BO55" s="92">
        <f>SUM(BO51:BO54)</f>
        <v>0</v>
      </c>
      <c r="BP55" s="92">
        <f>+BN55-BO55</f>
        <v>0</v>
      </c>
      <c r="BQ55" s="91"/>
      <c r="BR55" s="88"/>
      <c r="BS55" s="96"/>
      <c r="BT55" s="96"/>
      <c r="BU55" s="139"/>
      <c r="BV55" s="54"/>
      <c r="BW55" s="54"/>
      <c r="BX55" s="54"/>
      <c r="BY55" s="54"/>
      <c r="BZ55" s="54"/>
      <c r="CA55" s="54"/>
      <c r="CB55" s="54"/>
      <c r="CC55" s="54"/>
      <c r="CD55" s="58"/>
      <c r="CE55" s="58"/>
    </row>
    <row r="56" spans="1:83" ht="16.5" customHeight="1">
      <c r="A56" s="62"/>
      <c r="B56" s="1529" t="s">
        <v>392</v>
      </c>
      <c r="C56" s="1529"/>
      <c r="D56" s="1530">
        <f>+SUM(D11:D55)-D51</f>
        <v>4242.3249999999998</v>
      </c>
      <c r="E56" s="1529"/>
      <c r="F56" s="108" t="s">
        <v>388</v>
      </c>
      <c r="G56" s="109">
        <f>+G11+G16+G21+G26+G31+G36+G41+G46+G51</f>
        <v>5211948500</v>
      </c>
      <c r="H56" s="109">
        <f>+G56*10%</f>
        <v>521194850</v>
      </c>
      <c r="I56" s="109">
        <f t="shared" ref="I56:I58" si="18">SUM(G56:H56)</f>
        <v>5733143350</v>
      </c>
      <c r="J56" s="108">
        <f>+IFERROR(K56/I56,"-")</f>
        <v>2.1677560181710787E-2</v>
      </c>
      <c r="K56" s="109">
        <f>+K11+K16+K21+K26+K31+K36+K41+K46+K51</f>
        <v>124280560</v>
      </c>
      <c r="L56" s="109">
        <f>+L11+L16+L21+L26+L31+L36+L41+L46+L51</f>
        <v>5608862790</v>
      </c>
      <c r="M56" s="426"/>
      <c r="N56" s="110"/>
      <c r="O56" s="110"/>
      <c r="P56" s="111">
        <f>+IFERROR(Q56/$I56,"-")</f>
        <v>0</v>
      </c>
      <c r="Q56" s="109">
        <f>+Q11+Q16+Q21+Q26+Q31+Q36+Q41+Q46+Q51</f>
        <v>0</v>
      </c>
      <c r="R56" s="109">
        <f>+R11+R16+R21+R26+R31+R36+R41+R46+R51</f>
        <v>0</v>
      </c>
      <c r="S56" s="109">
        <f t="shared" si="1"/>
        <v>0</v>
      </c>
      <c r="T56" s="112"/>
      <c r="U56" s="110"/>
      <c r="V56" s="110"/>
      <c r="W56" s="111">
        <f>+IFERROR(X56/$I56,"-")</f>
        <v>0</v>
      </c>
      <c r="X56" s="109">
        <f>+X11+X16+X21+X26+X31+X36+X41+X46+X51</f>
        <v>0</v>
      </c>
      <c r="Y56" s="109">
        <f>+Y11+Y16+Y21+Y26+Y31+Y36+Y41+Y46+Y51</f>
        <v>124280560</v>
      </c>
      <c r="Z56" s="109">
        <f t="shared" si="2"/>
        <v>-124280560</v>
      </c>
      <c r="AA56" s="112"/>
      <c r="AB56" s="110"/>
      <c r="AC56" s="110"/>
      <c r="AD56" s="111">
        <f>+IFERROR(AE56/$I56,"-")</f>
        <v>0.44767878078611101</v>
      </c>
      <c r="AE56" s="109">
        <f>+AE11+AE16+AE21+AE26+AE31+AE36+AE41+AE46+AE51</f>
        <v>2566606625</v>
      </c>
      <c r="AF56" s="109">
        <f>+AF11+AF16+AF21+AF26+AF31+AF36+AF41+AF46+AF51</f>
        <v>0</v>
      </c>
      <c r="AG56" s="109">
        <f>+AE56-AF56</f>
        <v>2566606625</v>
      </c>
      <c r="AH56" s="112"/>
      <c r="AI56" s="110"/>
      <c r="AJ56" s="110"/>
      <c r="AK56" s="111">
        <f>+IFERROR(AL56/$I56,"-")</f>
        <v>0</v>
      </c>
      <c r="AL56" s="109">
        <f>+AL11+AL16+AL21+AL26+AL31+AL36+AL41+AL46+AL51</f>
        <v>0</v>
      </c>
      <c r="AM56" s="109">
        <f>+AM11+AM16+AM21+AM26+AM31+AM36+AM41+AM46+AM51</f>
        <v>0</v>
      </c>
      <c r="AN56" s="109">
        <f>+AL56-AM56</f>
        <v>0</v>
      </c>
      <c r="AO56" s="112"/>
      <c r="AP56" s="110"/>
      <c r="AQ56" s="110"/>
      <c r="AR56" s="111">
        <f>+IFERROR(AS56/$I56,"-")</f>
        <v>0</v>
      </c>
      <c r="AS56" s="109">
        <f>+AS11+AS16+AS21+AS26+AS31+AS36+AS41+AS46+AS51</f>
        <v>0</v>
      </c>
      <c r="AT56" s="109">
        <f>+AT11+AT16+AT21+AT26+AT31+AT36+AT41+AT46+AT51</f>
        <v>0</v>
      </c>
      <c r="AU56" s="109">
        <f>+AS56-AT56</f>
        <v>0</v>
      </c>
      <c r="AV56" s="112"/>
      <c r="AW56" s="110"/>
      <c r="AX56" s="110"/>
      <c r="AY56" s="111">
        <f>+IFERROR(AZ56/$I56,"-")</f>
        <v>0</v>
      </c>
      <c r="AZ56" s="109">
        <f>+AZ11+AZ16+AZ21+AZ26+AZ31+AZ36+AZ41+AZ46+AZ51</f>
        <v>0</v>
      </c>
      <c r="BA56" s="109">
        <f>+BA11+BA16+BA21+BA26+BA31+BA36+BA41+BA46+BA51</f>
        <v>0</v>
      </c>
      <c r="BB56" s="109">
        <f>+AZ56-BA56</f>
        <v>0</v>
      </c>
      <c r="BC56" s="112"/>
      <c r="BD56" s="110"/>
      <c r="BE56" s="110"/>
      <c r="BF56" s="111">
        <f>+IFERROR(BG56/$I56,"-")</f>
        <v>0.35814302462888881</v>
      </c>
      <c r="BG56" s="109">
        <f>+BG11+BG16+BG21+BG26+BG31+BG36+BG41+BG46+BG51</f>
        <v>2053285300</v>
      </c>
      <c r="BH56" s="109">
        <f>+BH11+BH16+BH21+BH26+BH31+BH36+BH41+BH46+BH51</f>
        <v>0</v>
      </c>
      <c r="BI56" s="109">
        <f>+BG56-BH56</f>
        <v>2053285300</v>
      </c>
      <c r="BJ56" s="112"/>
      <c r="BK56" s="110"/>
      <c r="BL56" s="110"/>
      <c r="BM56" s="111">
        <f>+IFERROR(BN56/$I56,"-")</f>
        <v>8.9535756157222202E-2</v>
      </c>
      <c r="BN56" s="109">
        <f>+BN11+BN16+BN21+BN26+BN31+BN36+BN41+BN46+BN51</f>
        <v>513321325</v>
      </c>
      <c r="BO56" s="109">
        <f>+BO11+BO16+BO21+BO26+BO31+BO36+BO41+BO46+BO51</f>
        <v>0</v>
      </c>
      <c r="BP56" s="109">
        <f>+BN56-BO56</f>
        <v>513321325</v>
      </c>
      <c r="BQ56" s="112"/>
      <c r="BR56" s="73"/>
      <c r="BS56" s="129" t="b">
        <f>+Q56+X56+AE56+AS56+AZ56+BG56+BN56=I56</f>
        <v>0</v>
      </c>
      <c r="BT56" s="129" t="b">
        <f>+R56+Y56+AF56+AT56+BA56+BH56+BO56=K56</f>
        <v>1</v>
      </c>
      <c r="BU56" s="142"/>
      <c r="BV56" s="54"/>
      <c r="BW56" s="54"/>
      <c r="BX56" s="54"/>
      <c r="BY56" s="54"/>
      <c r="BZ56" s="54"/>
      <c r="CA56" s="54"/>
      <c r="CB56" s="54"/>
      <c r="CC56" s="54"/>
      <c r="CD56" s="58"/>
      <c r="CE56" s="58"/>
    </row>
    <row r="57" spans="1:83" ht="16.5" customHeight="1">
      <c r="A57" s="62"/>
      <c r="B57" s="1529"/>
      <c r="C57" s="1529"/>
      <c r="D57" s="1530"/>
      <c r="E57" s="1529"/>
      <c r="F57" s="114" t="s">
        <v>389</v>
      </c>
      <c r="G57" s="109">
        <f t="shared" ref="G57:G59" si="19">+G12+G17+G22+G27+G32+G37+G42+G47+G52</f>
        <v>1421440500</v>
      </c>
      <c r="H57" s="115">
        <f>+G57*10%</f>
        <v>142144050</v>
      </c>
      <c r="I57" s="115">
        <f t="shared" si="18"/>
        <v>1563584550</v>
      </c>
      <c r="J57" s="114">
        <f>+IFERROR(K57/I57,"-")</f>
        <v>0.70903615029964318</v>
      </c>
      <c r="K57" s="109">
        <f t="shared" ref="K57:L59" si="20">+K12+K17+K22+K27+K32+K37+K42+K47+K52</f>
        <v>1108637970</v>
      </c>
      <c r="L57" s="109">
        <f t="shared" si="20"/>
        <v>454946580</v>
      </c>
      <c r="M57" s="426"/>
      <c r="N57" s="116"/>
      <c r="O57" s="116"/>
      <c r="P57" s="117">
        <f>+IFERROR(Q57/$I57,"-")</f>
        <v>0.2</v>
      </c>
      <c r="Q57" s="109">
        <f t="shared" ref="Q57:R57" si="21">+Q12+Q17+Q22+Q27+Q32+Q37+Q42+Q47+Q52</f>
        <v>312716910</v>
      </c>
      <c r="R57" s="109">
        <f t="shared" si="21"/>
        <v>286699050</v>
      </c>
      <c r="S57" s="115">
        <f t="shared" ref="S57:S60" si="22">+Q57-R57</f>
        <v>26017860</v>
      </c>
      <c r="T57" s="118"/>
      <c r="U57" s="116"/>
      <c r="V57" s="116"/>
      <c r="W57" s="117">
        <f>+IFERROR(X57/$I57,"-")</f>
        <v>0.2</v>
      </c>
      <c r="X57" s="109">
        <f t="shared" ref="X57:Y57" si="23">+X12+X17+X22+X27+X32+X37+X42+X47+X52</f>
        <v>312716910</v>
      </c>
      <c r="Y57" s="109">
        <f t="shared" si="23"/>
        <v>276899370</v>
      </c>
      <c r="Z57" s="115">
        <f t="shared" ref="Z57:Z60" si="24">+X57-Y57</f>
        <v>35817540</v>
      </c>
      <c r="AA57" s="118"/>
      <c r="AB57" s="116"/>
      <c r="AC57" s="116"/>
      <c r="AD57" s="117">
        <f>+IFERROR(AE57/$I57,"-")</f>
        <v>0.44767878078611101</v>
      </c>
      <c r="AE57" s="109">
        <f t="shared" ref="AE57:AF57" si="25">+AE12+AE17+AE22+AE27+AE32+AE37+AE42+AE47+AE52</f>
        <v>699983625</v>
      </c>
      <c r="AF57" s="109">
        <f t="shared" si="25"/>
        <v>545039550</v>
      </c>
      <c r="AG57" s="115">
        <f t="shared" ref="AG57:AG60" si="26">+AE57-AF57</f>
        <v>154944075</v>
      </c>
      <c r="AH57" s="118"/>
      <c r="AI57" s="116"/>
      <c r="AJ57" s="116"/>
      <c r="AK57" s="117">
        <f>+IFERROR(AL57/$I57,"-")</f>
        <v>0</v>
      </c>
      <c r="AL57" s="109">
        <f t="shared" ref="AL57:AM57" si="27">+AL12+AL17+AL22+AL27+AL32+AL37+AL42+AL47+AL52</f>
        <v>0</v>
      </c>
      <c r="AM57" s="109">
        <f t="shared" si="27"/>
        <v>0</v>
      </c>
      <c r="AN57" s="115">
        <f t="shared" ref="AN57:AN60" si="28">+AL57-AM57</f>
        <v>0</v>
      </c>
      <c r="AO57" s="118"/>
      <c r="AP57" s="116"/>
      <c r="AQ57" s="116"/>
      <c r="AR57" s="117">
        <f>+IFERROR(AS57/$I57,"-")</f>
        <v>0</v>
      </c>
      <c r="AS57" s="109">
        <f t="shared" ref="AS57:AT57" si="29">+AS12+AS17+AS22+AS27+AS32+AS37+AS42+AS47+AS52</f>
        <v>0</v>
      </c>
      <c r="AT57" s="109">
        <f t="shared" si="29"/>
        <v>0</v>
      </c>
      <c r="AU57" s="115">
        <f t="shared" ref="AU57:AU60" si="30">+AS57-AT57</f>
        <v>0</v>
      </c>
      <c r="AV57" s="118"/>
      <c r="AW57" s="116"/>
      <c r="AX57" s="116"/>
      <c r="AY57" s="117">
        <f>+IFERROR(AZ57/$I57,"-")</f>
        <v>0</v>
      </c>
      <c r="AZ57" s="109">
        <f t="shared" ref="AZ57:BA57" si="31">+AZ12+AZ17+AZ22+AZ27+AZ32+AZ37+AZ42+AZ47+AZ52</f>
        <v>0</v>
      </c>
      <c r="BA57" s="109">
        <f t="shared" si="31"/>
        <v>0</v>
      </c>
      <c r="BB57" s="115">
        <f t="shared" ref="BB57:BB60" si="32">+AZ57-BA57</f>
        <v>0</v>
      </c>
      <c r="BC57" s="118"/>
      <c r="BD57" s="116"/>
      <c r="BE57" s="116"/>
      <c r="BF57" s="117">
        <f>+IFERROR(BG57/$I57,"-")</f>
        <v>0</v>
      </c>
      <c r="BG57" s="109">
        <f t="shared" ref="BG57:BH57" si="33">+BG12+BG17+BG22+BG27+BG32+BG37+BG42+BG47+BG52</f>
        <v>0</v>
      </c>
      <c r="BH57" s="109">
        <f t="shared" si="33"/>
        <v>0</v>
      </c>
      <c r="BI57" s="115">
        <f t="shared" ref="BI57:BI60" si="34">+BG57-BH57</f>
        <v>0</v>
      </c>
      <c r="BJ57" s="118"/>
      <c r="BK57" s="116"/>
      <c r="BL57" s="116"/>
      <c r="BM57" s="117">
        <f>+IFERROR(BN57/$I57,"-")</f>
        <v>8.9535756157222202E-2</v>
      </c>
      <c r="BN57" s="109">
        <f t="shared" ref="BN57:BO57" si="35">+BN12+BN17+BN22+BN27+BN32+BN37+BN42+BN47+BN52</f>
        <v>139996725</v>
      </c>
      <c r="BO57" s="109">
        <f t="shared" si="35"/>
        <v>0</v>
      </c>
      <c r="BP57" s="115">
        <f t="shared" ref="BP57:BP60" si="36">+BN57-BO57</f>
        <v>139996725</v>
      </c>
      <c r="BQ57" s="118"/>
      <c r="BR57" s="73"/>
      <c r="BS57" s="129" t="b">
        <f>+Q57+X57+AE57+AS57+AZ57+BG57+BN57=I57</f>
        <v>0</v>
      </c>
      <c r="BT57" s="129" t="b">
        <f>+R57+Y57+AF57+AT57+BA57+BH57+BO57=K57</f>
        <v>1</v>
      </c>
      <c r="BU57" s="142"/>
      <c r="BV57" s="54"/>
      <c r="BW57" s="54"/>
      <c r="BX57" s="54"/>
      <c r="BY57" s="54"/>
      <c r="BZ57" s="54"/>
      <c r="CA57" s="54"/>
      <c r="CB57" s="54"/>
      <c r="CC57" s="54"/>
      <c r="CD57" s="58"/>
      <c r="CE57" s="58"/>
    </row>
    <row r="58" spans="1:83" ht="16.5" customHeight="1">
      <c r="A58" s="62"/>
      <c r="B58" s="1529"/>
      <c r="C58" s="1529"/>
      <c r="D58" s="1530"/>
      <c r="E58" s="1529"/>
      <c r="F58" s="114" t="s">
        <v>390</v>
      </c>
      <c r="G58" s="109">
        <f t="shared" si="19"/>
        <v>947627000</v>
      </c>
      <c r="H58" s="115">
        <f t="shared" ref="H58" si="37">+G58*10%</f>
        <v>94762700</v>
      </c>
      <c r="I58" s="115">
        <f t="shared" si="18"/>
        <v>1042389700</v>
      </c>
      <c r="J58" s="114">
        <f>+IFERROR(K58/I58,"-")</f>
        <v>0.70903615029964318</v>
      </c>
      <c r="K58" s="109">
        <f t="shared" si="20"/>
        <v>739091980</v>
      </c>
      <c r="L58" s="109">
        <f t="shared" si="20"/>
        <v>303297720</v>
      </c>
      <c r="M58" s="426"/>
      <c r="N58" s="116"/>
      <c r="O58" s="116"/>
      <c r="P58" s="117">
        <f>+IFERROR(Q58/$I58,"-")</f>
        <v>0.2</v>
      </c>
      <c r="Q58" s="109">
        <f t="shared" ref="Q58:R58" si="38">+Q13+Q18+Q23+Q28+Q33+Q38+Q43+Q48+Q53</f>
        <v>208477940</v>
      </c>
      <c r="R58" s="109">
        <f t="shared" si="38"/>
        <v>191150700</v>
      </c>
      <c r="S58" s="115">
        <f t="shared" si="22"/>
        <v>17327240</v>
      </c>
      <c r="T58" s="118"/>
      <c r="U58" s="116"/>
      <c r="V58" s="116"/>
      <c r="W58" s="117">
        <f>+IFERROR(X58/$I58,"-")</f>
        <v>0.2</v>
      </c>
      <c r="X58" s="109">
        <f t="shared" ref="X58:Y58" si="39">+X13+X18+X23+X28+X33+X38+X43+X48+X53</f>
        <v>208477940</v>
      </c>
      <c r="Y58" s="109">
        <f t="shared" si="39"/>
        <v>184599580</v>
      </c>
      <c r="Z58" s="115">
        <f t="shared" si="24"/>
        <v>23878360</v>
      </c>
      <c r="AA58" s="118"/>
      <c r="AB58" s="116"/>
      <c r="AC58" s="116"/>
      <c r="AD58" s="117">
        <f>+IFERROR(AE58/$I58,"-")</f>
        <v>0.44767878078611101</v>
      </c>
      <c r="AE58" s="109">
        <f t="shared" ref="AE58:AF58" si="40">+AE13+AE18+AE23+AE28+AE33+AE38+AE43+AE48+AE53</f>
        <v>466655750</v>
      </c>
      <c r="AF58" s="109">
        <f t="shared" si="40"/>
        <v>363341700</v>
      </c>
      <c r="AG58" s="115">
        <f t="shared" si="26"/>
        <v>103314050</v>
      </c>
      <c r="AH58" s="118"/>
      <c r="AI58" s="116"/>
      <c r="AJ58" s="116"/>
      <c r="AK58" s="117">
        <f>+IFERROR(AL58/$I58,"-")</f>
        <v>0</v>
      </c>
      <c r="AL58" s="109">
        <f t="shared" ref="AL58:AM58" si="41">+AL13+AL18+AL23+AL28+AL33+AL38+AL43+AL48+AL53</f>
        <v>0</v>
      </c>
      <c r="AM58" s="109">
        <f t="shared" si="41"/>
        <v>0</v>
      </c>
      <c r="AN58" s="115">
        <f t="shared" si="28"/>
        <v>0</v>
      </c>
      <c r="AO58" s="118"/>
      <c r="AP58" s="116"/>
      <c r="AQ58" s="116"/>
      <c r="AR58" s="117">
        <f>+IFERROR(AS58/$I58,"-")</f>
        <v>0</v>
      </c>
      <c r="AS58" s="109">
        <f t="shared" ref="AS58:AT58" si="42">+AS13+AS18+AS23+AS28+AS33+AS38+AS43+AS48+AS53</f>
        <v>0</v>
      </c>
      <c r="AT58" s="109">
        <f t="shared" si="42"/>
        <v>0</v>
      </c>
      <c r="AU58" s="115">
        <f t="shared" si="30"/>
        <v>0</v>
      </c>
      <c r="AV58" s="118"/>
      <c r="AW58" s="116"/>
      <c r="AX58" s="116"/>
      <c r="AY58" s="117">
        <f>+IFERROR(AZ58/$I58,"-")</f>
        <v>0</v>
      </c>
      <c r="AZ58" s="109">
        <f t="shared" ref="AZ58:BA58" si="43">+AZ13+AZ18+AZ23+AZ28+AZ33+AZ38+AZ43+AZ48+AZ53</f>
        <v>0</v>
      </c>
      <c r="BA58" s="109">
        <f t="shared" si="43"/>
        <v>0</v>
      </c>
      <c r="BB58" s="115">
        <f t="shared" si="32"/>
        <v>0</v>
      </c>
      <c r="BC58" s="118"/>
      <c r="BD58" s="116"/>
      <c r="BE58" s="116"/>
      <c r="BF58" s="117">
        <f>+IFERROR(BG58/$I58,"-")</f>
        <v>0</v>
      </c>
      <c r="BG58" s="109">
        <f t="shared" ref="BG58:BH58" si="44">+BG13+BG18+BG23+BG28+BG33+BG38+BG43+BG48+BG53</f>
        <v>0</v>
      </c>
      <c r="BH58" s="109">
        <f t="shared" si="44"/>
        <v>0</v>
      </c>
      <c r="BI58" s="115">
        <f t="shared" si="34"/>
        <v>0</v>
      </c>
      <c r="BJ58" s="118"/>
      <c r="BK58" s="116"/>
      <c r="BL58" s="116"/>
      <c r="BM58" s="117">
        <f>+IFERROR(BN58/$I58,"-")</f>
        <v>8.9535756157222202E-2</v>
      </c>
      <c r="BN58" s="109">
        <f t="shared" ref="BN58:BO58" si="45">+BN13+BN18+BN23+BN28+BN33+BN38+BN43+BN48+BN53</f>
        <v>93331150</v>
      </c>
      <c r="BO58" s="109">
        <f t="shared" si="45"/>
        <v>0</v>
      </c>
      <c r="BP58" s="115">
        <f t="shared" si="36"/>
        <v>93331150</v>
      </c>
      <c r="BQ58" s="118"/>
      <c r="BR58" s="73"/>
      <c r="BS58" s="129" t="b">
        <f>+Q58+X58+AE58+AS58+AZ58+BG58+BN58=I58</f>
        <v>0</v>
      </c>
      <c r="BT58" s="129" t="b">
        <f>+R58+Y58+AF58+AT58+BA58+BH58+BO58=K58</f>
        <v>1</v>
      </c>
      <c r="BU58" s="142"/>
      <c r="BV58" s="54"/>
      <c r="BW58" s="54"/>
      <c r="BX58" s="54"/>
      <c r="BY58" s="54"/>
      <c r="BZ58" s="54"/>
      <c r="CA58" s="54"/>
      <c r="CB58" s="54"/>
      <c r="CC58" s="54"/>
      <c r="CD58" s="58"/>
      <c r="CE58" s="58"/>
    </row>
    <row r="59" spans="1:83" ht="16.5" customHeight="1">
      <c r="A59" s="62"/>
      <c r="B59" s="1529"/>
      <c r="C59" s="1529"/>
      <c r="D59" s="1530"/>
      <c r="E59" s="1529"/>
      <c r="F59" s="119" t="s">
        <v>391</v>
      </c>
      <c r="G59" s="109">
        <f t="shared" si="19"/>
        <v>947627000</v>
      </c>
      <c r="H59" s="120">
        <f>+G59*0.1</f>
        <v>94762700</v>
      </c>
      <c r="I59" s="120">
        <f>SUM(G59:H59)</f>
        <v>1042389700</v>
      </c>
      <c r="J59" s="119"/>
      <c r="K59" s="109">
        <f t="shared" si="20"/>
        <v>0</v>
      </c>
      <c r="L59" s="109">
        <f t="shared" si="20"/>
        <v>1042389700</v>
      </c>
      <c r="M59" s="427"/>
      <c r="N59" s="119"/>
      <c r="O59" s="119"/>
      <c r="P59" s="121">
        <f>+IFERROR(Q59/$I59,"-")</f>
        <v>0</v>
      </c>
      <c r="Q59" s="109">
        <f t="shared" ref="Q59:R59" si="46">+Q14+Q19+Q24+Q29+Q34+Q39+Q44+Q49+Q54</f>
        <v>0</v>
      </c>
      <c r="R59" s="109">
        <f t="shared" si="46"/>
        <v>0</v>
      </c>
      <c r="S59" s="120">
        <f t="shared" si="22"/>
        <v>0</v>
      </c>
      <c r="T59" s="119"/>
      <c r="U59" s="119"/>
      <c r="V59" s="119"/>
      <c r="W59" s="121">
        <f>+IFERROR(X59/$I59,"-")</f>
        <v>0</v>
      </c>
      <c r="X59" s="109">
        <f t="shared" ref="X59:Y59" si="47">+X14+X19+X24+X29+X34+X39+X44+X49+X54</f>
        <v>0</v>
      </c>
      <c r="Y59" s="109">
        <f t="shared" si="47"/>
        <v>0</v>
      </c>
      <c r="Z59" s="120">
        <f t="shared" si="24"/>
        <v>0</v>
      </c>
      <c r="AA59" s="119"/>
      <c r="AB59" s="119"/>
      <c r="AC59" s="119"/>
      <c r="AD59" s="121">
        <f>+IFERROR(AE59/$I59,"-")</f>
        <v>0</v>
      </c>
      <c r="AE59" s="109">
        <f t="shared" ref="AE59:AF59" si="48">+AE14+AE19+AE24+AE29+AE34+AE39+AE44+AE49+AE54</f>
        <v>0</v>
      </c>
      <c r="AF59" s="109">
        <f t="shared" si="48"/>
        <v>0</v>
      </c>
      <c r="AG59" s="120">
        <f t="shared" si="26"/>
        <v>0</v>
      </c>
      <c r="AH59" s="119"/>
      <c r="AI59" s="119"/>
      <c r="AJ59" s="119"/>
      <c r="AK59" s="121">
        <f>+IFERROR(AL59/$I59,"-")</f>
        <v>0</v>
      </c>
      <c r="AL59" s="109">
        <f t="shared" ref="AL59:AM59" si="49">+AL14+AL19+AL24+AL29+AL34+AL39+AL44+AL49+AL54</f>
        <v>0</v>
      </c>
      <c r="AM59" s="109">
        <f t="shared" si="49"/>
        <v>0</v>
      </c>
      <c r="AN59" s="120">
        <f t="shared" si="28"/>
        <v>0</v>
      </c>
      <c r="AO59" s="119"/>
      <c r="AP59" s="119"/>
      <c r="AQ59" s="119"/>
      <c r="AR59" s="121">
        <f>+IFERROR(AS59/$I59,"-")</f>
        <v>0</v>
      </c>
      <c r="AS59" s="109">
        <f t="shared" ref="AS59:AT59" si="50">+AS14+AS19+AS24+AS29+AS34+AS39+AS44+AS49+AS54</f>
        <v>0</v>
      </c>
      <c r="AT59" s="109">
        <f t="shared" si="50"/>
        <v>0</v>
      </c>
      <c r="AU59" s="120">
        <f t="shared" si="30"/>
        <v>0</v>
      </c>
      <c r="AV59" s="119"/>
      <c r="AW59" s="119"/>
      <c r="AX59" s="119"/>
      <c r="AY59" s="121">
        <f>+IFERROR(AZ59/$I59,"-")</f>
        <v>0</v>
      </c>
      <c r="AZ59" s="109">
        <f t="shared" ref="AZ59:BA59" si="51">+AZ14+AZ19+AZ24+AZ29+AZ34+AZ39+AZ44+AZ49+AZ54</f>
        <v>0</v>
      </c>
      <c r="BA59" s="109">
        <f t="shared" si="51"/>
        <v>0</v>
      </c>
      <c r="BB59" s="120">
        <f t="shared" si="32"/>
        <v>0</v>
      </c>
      <c r="BC59" s="119"/>
      <c r="BD59" s="119"/>
      <c r="BE59" s="119"/>
      <c r="BF59" s="121">
        <f>+IFERROR(BG59/$I59,"-")</f>
        <v>0</v>
      </c>
      <c r="BG59" s="109">
        <f t="shared" ref="BG59:BH59" si="52">+BG14+BG19+BG24+BG29+BG34+BG39+BG44+BG49+BG54</f>
        <v>0</v>
      </c>
      <c r="BH59" s="109">
        <f t="shared" si="52"/>
        <v>0</v>
      </c>
      <c r="BI59" s="120">
        <f t="shared" si="34"/>
        <v>0</v>
      </c>
      <c r="BJ59" s="119"/>
      <c r="BK59" s="119"/>
      <c r="BL59" s="119"/>
      <c r="BM59" s="121">
        <f>+IFERROR(BN59/$I59,"-")</f>
        <v>0.89535756157222202</v>
      </c>
      <c r="BN59" s="109">
        <f t="shared" ref="BN59:BO59" si="53">+BN14+BN19+BN24+BN29+BN34+BN39+BN44+BN49+BN54</f>
        <v>933311500</v>
      </c>
      <c r="BO59" s="109">
        <f t="shared" si="53"/>
        <v>0</v>
      </c>
      <c r="BP59" s="120">
        <f t="shared" si="36"/>
        <v>933311500</v>
      </c>
      <c r="BQ59" s="119"/>
      <c r="BR59" s="88"/>
      <c r="BS59" s="129" t="b">
        <f>+Q59+X59+AE59+AS59+AZ59+BG59+BN59=I59</f>
        <v>0</v>
      </c>
      <c r="BT59" s="129" t="b">
        <f>+R59+Y59+AF59+AT59+BA59+BH59+BO59=K59</f>
        <v>1</v>
      </c>
      <c r="BU59" s="142"/>
      <c r="BV59" s="54"/>
      <c r="BW59" s="54"/>
      <c r="BX59" s="54"/>
      <c r="BY59" s="54"/>
      <c r="BZ59" s="54"/>
      <c r="CA59" s="54"/>
      <c r="CB59" s="54"/>
      <c r="CC59" s="54"/>
      <c r="CD59" s="58"/>
      <c r="CE59" s="58"/>
    </row>
    <row r="60" spans="1:83" ht="16.5" customHeight="1">
      <c r="A60" s="62"/>
      <c r="B60" s="1529"/>
      <c r="C60" s="1529"/>
      <c r="D60" s="1530"/>
      <c r="E60" s="1529"/>
      <c r="F60" s="124" t="s">
        <v>392</v>
      </c>
      <c r="G60" s="125">
        <f>SUM(G56:G59)</f>
        <v>8528643000</v>
      </c>
      <c r="H60" s="125">
        <f>SUM(H56:H59)</f>
        <v>852864300</v>
      </c>
      <c r="I60" s="125">
        <f>SUM(I56:I59)</f>
        <v>9381507300</v>
      </c>
      <c r="J60" s="124">
        <f t="shared" ref="J60" si="54">+IFERROR(K60/I60,"-")</f>
        <v>0.21020188408316859</v>
      </c>
      <c r="K60" s="125">
        <f>SUM(K56:K59)</f>
        <v>1972010510</v>
      </c>
      <c r="L60" s="125">
        <f>SUM(L56:L59)</f>
        <v>7409496790</v>
      </c>
      <c r="M60" s="424"/>
      <c r="N60" s="126"/>
      <c r="O60" s="124"/>
      <c r="P60" s="127">
        <f>+IFERROR(Q60/$I60,"-")</f>
        <v>5.5555555555555552E-2</v>
      </c>
      <c r="Q60" s="125">
        <f>SUM(Q56:Q59)</f>
        <v>521194850</v>
      </c>
      <c r="R60" s="125">
        <f>SUM(R56:R59)</f>
        <v>477849750</v>
      </c>
      <c r="S60" s="128">
        <f t="shared" si="22"/>
        <v>43345100</v>
      </c>
      <c r="T60" s="124"/>
      <c r="U60" s="126"/>
      <c r="V60" s="124"/>
      <c r="W60" s="127">
        <f>+IFERROR(X60/$I60,"-")</f>
        <v>5.5555555555555552E-2</v>
      </c>
      <c r="X60" s="125">
        <f>SUM(X56:X59)</f>
        <v>521194850</v>
      </c>
      <c r="Y60" s="125">
        <f>SUM(Y56:Y59)</f>
        <v>585779510</v>
      </c>
      <c r="Z60" s="128">
        <f t="shared" si="24"/>
        <v>-64584660</v>
      </c>
      <c r="AA60" s="124"/>
      <c r="AB60" s="126"/>
      <c r="AC60" s="124"/>
      <c r="AD60" s="127">
        <f>+IFERROR(AE60/$I60,"-")</f>
        <v>0.39793669403209864</v>
      </c>
      <c r="AE60" s="125">
        <f>SUM(AE56:AE59)</f>
        <v>3733246000</v>
      </c>
      <c r="AF60" s="125">
        <f>SUM(AF56:AF59)</f>
        <v>908381250</v>
      </c>
      <c r="AG60" s="128">
        <f t="shared" si="26"/>
        <v>2824864750</v>
      </c>
      <c r="AH60" s="124"/>
      <c r="AI60" s="126"/>
      <c r="AJ60" s="124"/>
      <c r="AK60" s="127">
        <f>+IFERROR(AL60/$I60,"-")</f>
        <v>0</v>
      </c>
      <c r="AL60" s="125">
        <f>SUM(AL56:AL59)</f>
        <v>0</v>
      </c>
      <c r="AM60" s="125">
        <f>SUM(AM56:AM59)</f>
        <v>0</v>
      </c>
      <c r="AN60" s="128">
        <f t="shared" si="28"/>
        <v>0</v>
      </c>
      <c r="AO60" s="124"/>
      <c r="AP60" s="126"/>
      <c r="AQ60" s="124"/>
      <c r="AR60" s="127">
        <f>+IFERROR(AS60/$I60,"-")</f>
        <v>0</v>
      </c>
      <c r="AS60" s="125">
        <f>SUM(AS56:AS59)</f>
        <v>0</v>
      </c>
      <c r="AT60" s="125">
        <f>SUM(AT56:AT59)</f>
        <v>0</v>
      </c>
      <c r="AU60" s="128">
        <f t="shared" si="30"/>
        <v>0</v>
      </c>
      <c r="AV60" s="124"/>
      <c r="AW60" s="126"/>
      <c r="AX60" s="124"/>
      <c r="AY60" s="127">
        <f>+IFERROR(AZ60/$I60,"-")</f>
        <v>0</v>
      </c>
      <c r="AZ60" s="125">
        <f>SUM(AZ56:AZ59)</f>
        <v>0</v>
      </c>
      <c r="BA60" s="125">
        <f>SUM(BA56:BA59)</f>
        <v>0</v>
      </c>
      <c r="BB60" s="128">
        <f t="shared" si="32"/>
        <v>0</v>
      </c>
      <c r="BC60" s="124"/>
      <c r="BD60" s="126"/>
      <c r="BE60" s="124"/>
      <c r="BF60" s="127">
        <f>+IFERROR(BG60/$I60,"-")</f>
        <v>0.21886518171765426</v>
      </c>
      <c r="BG60" s="125">
        <f>SUM(BG56:BG59)</f>
        <v>2053285300</v>
      </c>
      <c r="BH60" s="125">
        <f>SUM(BH56:BH59)</f>
        <v>0</v>
      </c>
      <c r="BI60" s="128">
        <f t="shared" si="34"/>
        <v>2053285300</v>
      </c>
      <c r="BJ60" s="124"/>
      <c r="BK60" s="126"/>
      <c r="BL60" s="124"/>
      <c r="BM60" s="127">
        <f>+IFERROR(BN60/$I60,"-")</f>
        <v>0.1790715123144444</v>
      </c>
      <c r="BN60" s="125">
        <f>SUM(BN56:BN59)</f>
        <v>1679960700</v>
      </c>
      <c r="BO60" s="125">
        <f>SUM(BO56:BO59)</f>
        <v>0</v>
      </c>
      <c r="BP60" s="128">
        <f t="shared" si="36"/>
        <v>1679960700</v>
      </c>
      <c r="BQ60" s="124"/>
      <c r="BR60" s="88"/>
      <c r="BS60" s="129"/>
      <c r="BT60" s="129"/>
      <c r="BU60" s="129"/>
      <c r="BV60" s="54"/>
      <c r="BW60" s="54"/>
      <c r="BX60" s="54"/>
      <c r="BY60" s="54"/>
      <c r="BZ60" s="54"/>
      <c r="CA60" s="54"/>
      <c r="CB60" s="54"/>
      <c r="CC60" s="54"/>
      <c r="CD60" s="58"/>
      <c r="CE60" s="58"/>
    </row>
    <row r="61" spans="1:83">
      <c r="R61" s="143"/>
      <c r="T61" s="143"/>
      <c r="Y61" s="143"/>
      <c r="AA61" s="143"/>
      <c r="AF61" s="143"/>
      <c r="AH61" s="143"/>
      <c r="AM61" s="143"/>
      <c r="AO61" s="143"/>
      <c r="AT61" s="143"/>
      <c r="AV61" s="143"/>
      <c r="BA61" s="143"/>
      <c r="BC61" s="143"/>
      <c r="BH61" s="143"/>
      <c r="BJ61" s="143"/>
      <c r="BO61" s="143"/>
      <c r="BQ61" s="143"/>
      <c r="BR61" s="143"/>
    </row>
    <row r="62" spans="1:83">
      <c r="E62" s="76">
        <v>1050000000</v>
      </c>
      <c r="G62" s="449"/>
      <c r="H62" s="449"/>
      <c r="R62" s="132"/>
      <c r="T62" s="132"/>
      <c r="Y62" s="132"/>
      <c r="AA62" s="132"/>
      <c r="AF62" s="132"/>
      <c r="AH62" s="132"/>
      <c r="AM62" s="132"/>
      <c r="AO62" s="132"/>
      <c r="AT62" s="132"/>
      <c r="AV62" s="132"/>
      <c r="BA62" s="132"/>
      <c r="BC62" s="132"/>
      <c r="BH62" s="132"/>
      <c r="BJ62" s="132"/>
      <c r="BO62" s="132"/>
      <c r="BQ62" s="132"/>
      <c r="BR62" s="133"/>
    </row>
    <row r="63" spans="1:83">
      <c r="E63" s="76">
        <f>+E62*D56/1000</f>
        <v>4454441250</v>
      </c>
      <c r="G63" s="449"/>
      <c r="H63" s="449"/>
      <c r="N63" s="143"/>
      <c r="O63" s="143"/>
      <c r="R63" s="132"/>
      <c r="T63" s="132"/>
      <c r="U63" s="143"/>
      <c r="V63" s="143"/>
      <c r="Y63" s="132"/>
      <c r="AA63" s="132"/>
      <c r="AB63" s="143"/>
      <c r="AC63" s="143"/>
      <c r="AF63" s="132"/>
      <c r="AH63" s="132"/>
      <c r="AI63" s="143"/>
      <c r="AJ63" s="143"/>
      <c r="AM63" s="132"/>
      <c r="AO63" s="132"/>
      <c r="AP63" s="143"/>
      <c r="AQ63" s="143"/>
      <c r="AT63" s="132"/>
      <c r="AV63" s="132"/>
      <c r="AW63" s="143"/>
      <c r="AX63" s="143"/>
      <c r="BA63" s="132"/>
      <c r="BC63" s="132"/>
      <c r="BD63" s="143"/>
      <c r="BE63" s="143"/>
      <c r="BH63" s="132"/>
      <c r="BJ63" s="132"/>
      <c r="BK63" s="143"/>
      <c r="BL63" s="143"/>
      <c r="BO63" s="132"/>
      <c r="BQ63" s="132"/>
      <c r="BR63" s="133"/>
    </row>
    <row r="64" spans="1:83">
      <c r="E64" s="76">
        <v>46559479</v>
      </c>
      <c r="I64" s="131">
        <f>I11+I16+I21+I26+I31+I36+I41+I46</f>
        <v>5133213250</v>
      </c>
    </row>
    <row r="65" spans="5:70">
      <c r="E65" s="76">
        <f>+E63+E64</f>
        <v>4501000729</v>
      </c>
      <c r="I65" s="1054">
        <f>+I64/1470</f>
        <v>3491981.8027210883</v>
      </c>
      <c r="R65" s="132"/>
      <c r="T65" s="132"/>
      <c r="Y65" s="132"/>
      <c r="AA65" s="132"/>
      <c r="AF65" s="132"/>
      <c r="AH65" s="132"/>
      <c r="AM65" s="132"/>
      <c r="AO65" s="132"/>
      <c r="AT65" s="132"/>
      <c r="AV65" s="132"/>
      <c r="BA65" s="132"/>
      <c r="BC65" s="132"/>
      <c r="BH65" s="132"/>
      <c r="BJ65" s="132"/>
      <c r="BO65" s="132"/>
      <c r="BQ65" s="132"/>
      <c r="BR65" s="133"/>
    </row>
    <row r="66" spans="5:70">
      <c r="E66" s="1056">
        <f>+E65/D56*1000</f>
        <v>1060974991.0721127</v>
      </c>
      <c r="R66" s="144"/>
      <c r="T66" s="144"/>
      <c r="Y66" s="144"/>
      <c r="AA66" s="144"/>
      <c r="AF66" s="144"/>
      <c r="AH66" s="144"/>
      <c r="AM66" s="144"/>
      <c r="AO66" s="144"/>
      <c r="AT66" s="144"/>
      <c r="AV66" s="144"/>
      <c r="BA66" s="144"/>
      <c r="BC66" s="144"/>
      <c r="BH66" s="144"/>
      <c r="BJ66" s="144"/>
      <c r="BO66" s="144"/>
      <c r="BQ66" s="144"/>
      <c r="BR66" s="144"/>
    </row>
    <row r="67" spans="5:70">
      <c r="R67" s="132"/>
      <c r="T67" s="132"/>
      <c r="Y67" s="132"/>
      <c r="AA67" s="132"/>
      <c r="AF67" s="132"/>
      <c r="AH67" s="132"/>
      <c r="AM67" s="132"/>
      <c r="AO67" s="132"/>
      <c r="AT67" s="132"/>
      <c r="AV67" s="132"/>
      <c r="BA67" s="132"/>
      <c r="BC67" s="132"/>
      <c r="BH67" s="132"/>
      <c r="BJ67" s="132"/>
      <c r="BO67" s="132"/>
      <c r="BQ67" s="132"/>
      <c r="BR67" s="133"/>
    </row>
    <row r="68" spans="5:70">
      <c r="R68" s="132"/>
      <c r="T68" s="132"/>
      <c r="Y68" s="132"/>
      <c r="AA68" s="132"/>
      <c r="AF68" s="132"/>
      <c r="AH68" s="132"/>
      <c r="AM68" s="132"/>
      <c r="AO68" s="132"/>
      <c r="AT68" s="132"/>
      <c r="AV68" s="132"/>
      <c r="BA68" s="132"/>
      <c r="BC68" s="132"/>
      <c r="BH68" s="132"/>
      <c r="BJ68" s="132"/>
      <c r="BO68" s="132"/>
      <c r="BQ68" s="132"/>
      <c r="BR68" s="133"/>
    </row>
    <row r="77" spans="5:70">
      <c r="R77" s="132"/>
      <c r="T77" s="132"/>
      <c r="Y77" s="132"/>
      <c r="AA77" s="132"/>
      <c r="AF77" s="132"/>
      <c r="AH77" s="132"/>
      <c r="AM77" s="132"/>
      <c r="AO77" s="132"/>
      <c r="AT77" s="132"/>
      <c r="AV77" s="132"/>
      <c r="BA77" s="132"/>
      <c r="BC77" s="132"/>
      <c r="BH77" s="132"/>
      <c r="BJ77" s="132"/>
      <c r="BO77" s="132"/>
      <c r="BQ77" s="132"/>
      <c r="BR77" s="133"/>
    </row>
  </sheetData>
  <mergeCells count="64">
    <mergeCell ref="B11:B15"/>
    <mergeCell ref="C11:C15"/>
    <mergeCell ref="D11:D15"/>
    <mergeCell ref="E11:E15"/>
    <mergeCell ref="B16:B20"/>
    <mergeCell ref="C16:C20"/>
    <mergeCell ref="D16:D20"/>
    <mergeCell ref="E16:E20"/>
    <mergeCell ref="G9:G10"/>
    <mergeCell ref="B9:B10"/>
    <mergeCell ref="C9:C10"/>
    <mergeCell ref="D9:D10"/>
    <mergeCell ref="E9:E10"/>
    <mergeCell ref="F9:F10"/>
    <mergeCell ref="BS9:BU10"/>
    <mergeCell ref="H9:H10"/>
    <mergeCell ref="I9:I10"/>
    <mergeCell ref="J9:L9"/>
    <mergeCell ref="N9:T9"/>
    <mergeCell ref="U9:AA9"/>
    <mergeCell ref="AB9:AH9"/>
    <mergeCell ref="AI9:AO9"/>
    <mergeCell ref="AP9:AV9"/>
    <mergeCell ref="AW9:BC9"/>
    <mergeCell ref="BD9:BJ9"/>
    <mergeCell ref="BK9:BQ9"/>
    <mergeCell ref="M9:M10"/>
    <mergeCell ref="C36:C40"/>
    <mergeCell ref="D36:D40"/>
    <mergeCell ref="E36:E40"/>
    <mergeCell ref="B21:B25"/>
    <mergeCell ref="C21:C25"/>
    <mergeCell ref="D21:D25"/>
    <mergeCell ref="E21:E25"/>
    <mergeCell ref="B26:B30"/>
    <mergeCell ref="C26:C30"/>
    <mergeCell ref="D26:D30"/>
    <mergeCell ref="E26:E30"/>
    <mergeCell ref="B31:B35"/>
    <mergeCell ref="C31:C35"/>
    <mergeCell ref="D31:D35"/>
    <mergeCell ref="E31:E35"/>
    <mergeCell ref="B36:B40"/>
    <mergeCell ref="B56:C60"/>
    <mergeCell ref="D56:D60"/>
    <mergeCell ref="E56:E60"/>
    <mergeCell ref="B41:B45"/>
    <mergeCell ref="B46:B50"/>
    <mergeCell ref="C41:C45"/>
    <mergeCell ref="D41:D45"/>
    <mergeCell ref="E41:E45"/>
    <mergeCell ref="C46:C50"/>
    <mergeCell ref="D46:D50"/>
    <mergeCell ref="E46:E50"/>
    <mergeCell ref="C51:C55"/>
    <mergeCell ref="D51:D55"/>
    <mergeCell ref="E51:E55"/>
    <mergeCell ref="B51:B55"/>
    <mergeCell ref="M16:M19"/>
    <mergeCell ref="M11:M14"/>
    <mergeCell ref="M36:M39"/>
    <mergeCell ref="M31:M34"/>
    <mergeCell ref="M46:M49"/>
    <mergeCell ref="M41:M44"/>
  </mergeCells>
  <phoneticPr fontId="9" type="noConversion"/>
  <printOptions horizontalCentered="1"/>
  <pageMargins left="0" right="0" top="0.39370078740157483" bottom="0" header="0" footer="0"/>
  <pageSetup paperSize="8" scale="24"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D76C3-7051-4C22-B7B0-9D33DD313609}">
  <sheetPr>
    <pageSetUpPr fitToPage="1"/>
  </sheetPr>
  <dimension ref="A1:CE104"/>
  <sheetViews>
    <sheetView showGridLines="0" zoomScaleNormal="100" zoomScaleSheetLayoutView="55" workbookViewId="0">
      <pane xSplit="12" ySplit="10" topLeftCell="M41" activePane="bottomRight" state="frozen"/>
      <selection pane="topRight" activeCell="I35" sqref="I35"/>
      <selection pane="bottomLeft" activeCell="I35" sqref="I35"/>
      <selection pane="bottomRight" activeCell="O22" sqref="O22"/>
    </sheetView>
  </sheetViews>
  <sheetFormatPr defaultColWidth="10.28515625" defaultRowHeight="12.75" outlineLevelCol="1"/>
  <cols>
    <col min="1" max="1" width="1.85546875" style="53" customWidth="1"/>
    <col min="2" max="2" width="5.5703125" style="53" customWidth="1"/>
    <col min="3" max="3" width="19.85546875" style="53" customWidth="1"/>
    <col min="4" max="4" width="10.140625" style="53" customWidth="1"/>
    <col min="5" max="5" width="14.140625" style="53" customWidth="1"/>
    <col min="6" max="6" width="18.85546875" style="53" customWidth="1"/>
    <col min="7" max="7" width="15.140625" style="53" bestFit="1" customWidth="1"/>
    <col min="8" max="8" width="13.28515625" style="53" customWidth="1"/>
    <col min="9" max="9" width="15.140625" style="53" bestFit="1" customWidth="1"/>
    <col min="10" max="10" width="7.5703125" style="53" customWidth="1"/>
    <col min="11" max="11" width="13.28515625" style="53" customWidth="1"/>
    <col min="12" max="12" width="15.140625" style="53" bestFit="1" customWidth="1"/>
    <col min="13" max="13" width="13.28515625" style="425" customWidth="1"/>
    <col min="14" max="15" width="11.5703125" style="53" customWidth="1"/>
    <col min="16" max="16" width="7.5703125" style="53" customWidth="1"/>
    <col min="17" max="19" width="13.28515625" style="53" customWidth="1"/>
    <col min="20" max="20" width="13.85546875" style="53" customWidth="1"/>
    <col min="21" max="22" width="11.5703125" style="53" customWidth="1"/>
    <col min="23" max="23" width="7.5703125" style="53" customWidth="1"/>
    <col min="24"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customWidth="1" outlineLevel="1"/>
    <col min="37" max="37" width="7.5703125" style="53" customWidth="1" outlineLevel="1"/>
    <col min="38" max="40" width="13.28515625" style="53" customWidth="1" outlineLevel="1"/>
    <col min="41" max="41" width="13.85546875" style="53" customWidth="1" outlineLevel="1"/>
    <col min="42" max="43" width="11.5703125" style="53" customWidth="1"/>
    <col min="44" max="44" width="7.5703125" style="53" customWidth="1"/>
    <col min="45" max="47" width="13.28515625" style="53" customWidth="1"/>
    <col min="48" max="48" width="13.85546875" style="53" customWidth="1"/>
    <col min="49" max="50" width="11.5703125" style="53" customWidth="1"/>
    <col min="51" max="51" width="7.5703125" style="53" customWidth="1"/>
    <col min="52" max="54" width="13.28515625" style="53" customWidth="1"/>
    <col min="55" max="55" width="13.85546875" style="53" customWidth="1"/>
    <col min="56" max="57" width="11.5703125" style="53" customWidth="1"/>
    <col min="58" max="58" width="7.5703125" style="53" customWidth="1"/>
    <col min="59" max="61" width="13.28515625" style="53" customWidth="1"/>
    <col min="62" max="62" width="13.85546875" style="53"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7" style="53" customWidth="1"/>
    <col min="74" max="16384" width="10.28515625" style="53"/>
  </cols>
  <sheetData>
    <row r="1" spans="1:83" s="52" customFormat="1">
      <c r="M1" s="415"/>
      <c r="BR1" s="53"/>
    </row>
    <row r="2" spans="1:83" s="52" customFormat="1">
      <c r="B2" s="52" t="s">
        <v>346</v>
      </c>
      <c r="D2" s="52" t="s">
        <v>227</v>
      </c>
      <c r="G2" s="401">
        <v>1100000000</v>
      </c>
      <c r="K2" s="835">
        <v>1998723.8</v>
      </c>
      <c r="M2" s="415"/>
      <c r="BR2" s="53"/>
    </row>
    <row r="3" spans="1:83" s="52" customFormat="1">
      <c r="B3" s="52" t="s">
        <v>348</v>
      </c>
      <c r="D3" s="52" t="s">
        <v>899</v>
      </c>
      <c r="K3" s="835">
        <f>+K2-K4</f>
        <v>1698723.8</v>
      </c>
      <c r="M3" s="415"/>
      <c r="BR3" s="53"/>
    </row>
    <row r="4" spans="1:83" s="52" customFormat="1">
      <c r="B4" s="52" t="s">
        <v>350</v>
      </c>
      <c r="D4" s="52" t="s">
        <v>900</v>
      </c>
      <c r="K4" s="836">
        <v>300000</v>
      </c>
      <c r="M4" s="415"/>
      <c r="BR4" s="53"/>
    </row>
    <row r="5" spans="1:83">
      <c r="B5" s="52" t="s">
        <v>352</v>
      </c>
      <c r="C5" s="52"/>
      <c r="D5" s="53" t="s">
        <v>901</v>
      </c>
      <c r="I5" s="456"/>
      <c r="K5" s="457"/>
    </row>
    <row r="6" spans="1:83" s="52" customFormat="1">
      <c r="B6" s="52" t="s">
        <v>354</v>
      </c>
      <c r="D6" s="52" t="s">
        <v>355</v>
      </c>
      <c r="I6" s="199"/>
      <c r="M6" s="415"/>
      <c r="BR6" s="53"/>
    </row>
    <row r="7" spans="1:83" s="52" customFormat="1">
      <c r="B7" s="52" t="s">
        <v>356</v>
      </c>
      <c r="D7" s="52" t="s">
        <v>902</v>
      </c>
      <c r="M7" s="415"/>
      <c r="BR7" s="53"/>
    </row>
    <row r="8" spans="1:83">
      <c r="A8" s="54"/>
      <c r="B8" s="55"/>
      <c r="C8" s="5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885</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886</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28.15" customHeight="1">
      <c r="A10" s="54"/>
      <c r="B10" s="1318"/>
      <c r="C10" s="1318"/>
      <c r="D10" s="1320"/>
      <c r="E10" s="1315"/>
      <c r="F10" s="1320"/>
      <c r="G10" s="1320"/>
      <c r="H10" s="1320"/>
      <c r="I10" s="1320"/>
      <c r="J10" s="59" t="s">
        <v>377</v>
      </c>
      <c r="K10" s="59" t="s">
        <v>378</v>
      </c>
      <c r="L10" s="59" t="s">
        <v>379</v>
      </c>
      <c r="M10" s="1315"/>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62"/>
      <c r="B11" s="1334">
        <v>1</v>
      </c>
      <c r="C11" s="1537" t="s">
        <v>903</v>
      </c>
      <c r="D11" s="1340">
        <v>2521.92</v>
      </c>
      <c r="E11" s="1343" t="s">
        <v>387</v>
      </c>
      <c r="F11" s="63" t="s">
        <v>388</v>
      </c>
      <c r="G11" s="64">
        <f>+지급비율!F59*$D$11/1000</f>
        <v>2774112000</v>
      </c>
      <c r="H11" s="64">
        <f>+G11*10%</f>
        <v>277411200</v>
      </c>
      <c r="I11" s="64">
        <f>SUM(G11:H11)</f>
        <v>3051523200</v>
      </c>
      <c r="J11" s="65">
        <f t="shared" ref="J11:J50" si="0">+IFERROR(K11/I11,"-")</f>
        <v>0</v>
      </c>
      <c r="K11" s="70">
        <f>+IFERROR(R11+Y11+AF11+AT11+BA11+BH11+BO11,"-")</f>
        <v>0</v>
      </c>
      <c r="L11" s="70">
        <f>+I11-K11</f>
        <v>3051523200</v>
      </c>
      <c r="M11" s="1331" t="s">
        <v>407</v>
      </c>
      <c r="N11" s="67"/>
      <c r="O11" s="72"/>
      <c r="P11" s="69"/>
      <c r="Q11" s="70">
        <f>+지급비율!G59*$I11</f>
        <v>0</v>
      </c>
      <c r="R11" s="70"/>
      <c r="S11" s="70">
        <f t="shared" ref="S11:S13" si="1">+Q11-R11</f>
        <v>0</v>
      </c>
      <c r="T11" s="81"/>
      <c r="U11" s="67"/>
      <c r="V11" s="68"/>
      <c r="W11" s="69"/>
      <c r="X11" s="70">
        <f>+지급비율!N59*$I11</f>
        <v>0</v>
      </c>
      <c r="Y11" s="70"/>
      <c r="Z11" s="70">
        <f>+X11-Y11</f>
        <v>0</v>
      </c>
      <c r="AA11" s="81"/>
      <c r="AB11" s="67">
        <f>+EDATE(AI11,1)</f>
        <v>46081</v>
      </c>
      <c r="AC11" s="68"/>
      <c r="AD11" s="79">
        <f>+IFERROR(AE11/$I11,"-")</f>
        <v>0.5</v>
      </c>
      <c r="AE11" s="70">
        <f>+지급비율!U59*$I11</f>
        <v>1525761600</v>
      </c>
      <c r="AF11" s="70"/>
      <c r="AG11" s="70">
        <f>+AE11-AF11</f>
        <v>1525761600</v>
      </c>
      <c r="AH11" s="81"/>
      <c r="AI11" s="67">
        <f>+EDATE(AP11,-1)</f>
        <v>46050</v>
      </c>
      <c r="AJ11" s="68"/>
      <c r="AK11" s="79">
        <f>+IFERROR(AL11/$I11,"-")</f>
        <v>0</v>
      </c>
      <c r="AL11" s="70">
        <f>+지급비율!AB59*$I11</f>
        <v>0</v>
      </c>
      <c r="AM11" s="70"/>
      <c r="AN11" s="70">
        <f>+AL11-AM11</f>
        <v>0</v>
      </c>
      <c r="AO11" s="81"/>
      <c r="AP11" s="67">
        <f>+EDATE(AW11,-1)</f>
        <v>46081</v>
      </c>
      <c r="AQ11" s="68"/>
      <c r="AR11" s="79">
        <f>+IFERROR(AS11/$I11,"-")</f>
        <v>0</v>
      </c>
      <c r="AS11" s="70">
        <f>+지급비율!AI59*$I11</f>
        <v>0</v>
      </c>
      <c r="AT11" s="70"/>
      <c r="AU11" s="70">
        <f>+AS11-AT11</f>
        <v>0</v>
      </c>
      <c r="AV11" s="81"/>
      <c r="AW11" s="67">
        <f>+EDATE(BD11,-1)</f>
        <v>46111</v>
      </c>
      <c r="AX11" s="68"/>
      <c r="AY11" s="79">
        <f>+IFERROR(AZ11/$I11,"-")</f>
        <v>0</v>
      </c>
      <c r="AZ11" s="70">
        <f>+지급비율!AP59*$I11</f>
        <v>0</v>
      </c>
      <c r="BA11" s="70"/>
      <c r="BB11" s="70">
        <f>+AZ11-BA11</f>
        <v>0</v>
      </c>
      <c r="BC11" s="81"/>
      <c r="BD11" s="67">
        <f>+EDATE(BK11,-1)</f>
        <v>46142</v>
      </c>
      <c r="BE11" s="68"/>
      <c r="BF11" s="79">
        <f>+IFERROR(BG11/$I11,"-")</f>
        <v>0.4</v>
      </c>
      <c r="BG11" s="70">
        <f>+지급비율!AW59*$I11</f>
        <v>1220609280</v>
      </c>
      <c r="BH11" s="70"/>
      <c r="BI11" s="70">
        <f>+BG11-BH11</f>
        <v>1220609280</v>
      </c>
      <c r="BJ11" s="81"/>
      <c r="BK11" s="78">
        <v>46173</v>
      </c>
      <c r="BL11" s="68"/>
      <c r="BM11" s="79">
        <f t="shared" ref="BM11:BM25" si="2">+IFERROR(BN11/$I11,"-")</f>
        <v>0.1</v>
      </c>
      <c r="BN11" s="70">
        <f>+지급비율!BD59*$I11</f>
        <v>305152320</v>
      </c>
      <c r="BO11" s="70"/>
      <c r="BP11" s="70">
        <f t="shared" ref="BP11:BP49" si="3">+BN11-BO11</f>
        <v>305152320</v>
      </c>
      <c r="BQ11" s="81"/>
      <c r="BR11" s="73"/>
      <c r="BS11" s="74" t="b">
        <f>+Q11+X11+AE11+AS11+AZ11+BG11+BN11=I11</f>
        <v>1</v>
      </c>
      <c r="BT11" s="74" t="b">
        <f>+R11+Y11+AF11+AT11+BA11+BH11+BO11=K11</f>
        <v>1</v>
      </c>
      <c r="BU11" s="74"/>
      <c r="BV11" s="54"/>
      <c r="BW11" s="54"/>
      <c r="BX11" s="54"/>
      <c r="BY11" s="54"/>
      <c r="BZ11" s="54"/>
      <c r="CA11" s="54"/>
      <c r="CB11" s="54"/>
      <c r="CC11" s="54"/>
      <c r="CD11" s="58"/>
      <c r="CE11" s="58"/>
    </row>
    <row r="12" spans="1:83" ht="16.5" customHeight="1">
      <c r="A12" s="62"/>
      <c r="B12" s="1335"/>
      <c r="C12" s="1538"/>
      <c r="D12" s="1341"/>
      <c r="E12" s="1344"/>
      <c r="F12" s="75" t="s">
        <v>389</v>
      </c>
      <c r="G12" s="76">
        <f>+지급비율!F60*$D$11/1000</f>
        <v>756576000</v>
      </c>
      <c r="H12" s="76">
        <f>+G12*10%</f>
        <v>75657600</v>
      </c>
      <c r="I12" s="76">
        <f>SUM(G12:H12)</f>
        <v>832233600</v>
      </c>
      <c r="J12" s="75">
        <f t="shared" si="0"/>
        <v>0</v>
      </c>
      <c r="K12" s="80">
        <f>+IFERROR(R12+Y12+AF12+AT12+BA12+BH12+BO12,"-")</f>
        <v>0</v>
      </c>
      <c r="L12" s="80">
        <f>+I12-K12</f>
        <v>832233600</v>
      </c>
      <c r="M12" s="1332"/>
      <c r="N12" s="78">
        <v>46022</v>
      </c>
      <c r="O12" s="78"/>
      <c r="P12" s="79">
        <f>+IFERROR(Q12/$I12,"-")</f>
        <v>0.3</v>
      </c>
      <c r="Q12" s="80">
        <f>+지급비율!G60*$I12</f>
        <v>249670080</v>
      </c>
      <c r="R12" s="80"/>
      <c r="S12" s="80">
        <f t="shared" si="1"/>
        <v>249670080</v>
      </c>
      <c r="T12" s="81"/>
      <c r="U12" s="78">
        <v>46053</v>
      </c>
      <c r="V12" s="78"/>
      <c r="W12" s="79">
        <f>+IFERROR(X12/$I12,"-")</f>
        <v>0.1</v>
      </c>
      <c r="X12" s="70">
        <f>+지급비율!N60*$I12</f>
        <v>83223360</v>
      </c>
      <c r="Y12" s="70"/>
      <c r="Z12" s="70">
        <f>+X12-Y12</f>
        <v>83223360</v>
      </c>
      <c r="AA12" s="161"/>
      <c r="AB12" s="78">
        <v>46081</v>
      </c>
      <c r="AC12" s="78"/>
      <c r="AD12" s="79">
        <f>+IFERROR(AE12/$I12,"-")</f>
        <v>0.5</v>
      </c>
      <c r="AE12" s="70">
        <f>+지급비율!U60*$I12</f>
        <v>416116800</v>
      </c>
      <c r="AF12" s="70"/>
      <c r="AG12" s="70">
        <f>+AE12-AF12</f>
        <v>416116800</v>
      </c>
      <c r="AH12" s="161"/>
      <c r="AI12" s="78"/>
      <c r="AJ12" s="78"/>
      <c r="AK12" s="79">
        <f>+IFERROR(AL12/$I12,"-")</f>
        <v>0</v>
      </c>
      <c r="AL12" s="70">
        <f>+지급비율!AB60*$I12</f>
        <v>0</v>
      </c>
      <c r="AM12" s="70"/>
      <c r="AN12" s="70">
        <f>+AL12-AM12</f>
        <v>0</v>
      </c>
      <c r="AO12" s="161"/>
      <c r="AP12" s="78"/>
      <c r="AQ12" s="78"/>
      <c r="AR12" s="79">
        <f>+IFERROR(AS12/$I12,"-")</f>
        <v>0</v>
      </c>
      <c r="AS12" s="70">
        <f>+지급비율!AI60*$I12</f>
        <v>0</v>
      </c>
      <c r="AT12" s="70"/>
      <c r="AU12" s="70">
        <f>+AS12-AT12</f>
        <v>0</v>
      </c>
      <c r="AV12" s="161"/>
      <c r="AW12" s="78"/>
      <c r="AX12" s="78"/>
      <c r="AY12" s="79">
        <f>+IFERROR(AZ12/$I12,"-")</f>
        <v>0</v>
      </c>
      <c r="AZ12" s="70">
        <f>+지급비율!AP60*$I12</f>
        <v>0</v>
      </c>
      <c r="BA12" s="70"/>
      <c r="BB12" s="70">
        <f>+AZ12-BA12</f>
        <v>0</v>
      </c>
      <c r="BC12" s="161"/>
      <c r="BD12" s="78"/>
      <c r="BE12" s="78"/>
      <c r="BF12" s="79">
        <f>+IFERROR(BG12/$I12,"-")</f>
        <v>0</v>
      </c>
      <c r="BG12" s="70">
        <f>+지급비율!AW60*$I12</f>
        <v>0</v>
      </c>
      <c r="BH12" s="70"/>
      <c r="BI12" s="70">
        <f>+BG12-BH12</f>
        <v>0</v>
      </c>
      <c r="BJ12" s="161"/>
      <c r="BK12" s="78">
        <v>46173</v>
      </c>
      <c r="BL12" s="78"/>
      <c r="BM12" s="79">
        <f t="shared" si="2"/>
        <v>0.1</v>
      </c>
      <c r="BN12" s="70">
        <f>+지급비율!BD60*$I12</f>
        <v>83223360</v>
      </c>
      <c r="BO12" s="70"/>
      <c r="BP12" s="70">
        <f t="shared" si="3"/>
        <v>83223360</v>
      </c>
      <c r="BQ12" s="161"/>
      <c r="BR12" s="73"/>
      <c r="BS12" s="74" t="b">
        <f>+Q12+X12+AE12+AS12+AZ12+BG12+BN12=I12</f>
        <v>1</v>
      </c>
      <c r="BT12" s="74" t="b">
        <f>+R12+Y12+AF12+AT12+BA12+BH12+BO12=K12</f>
        <v>1</v>
      </c>
      <c r="BU12" s="74"/>
      <c r="BV12" s="54"/>
      <c r="BW12" s="54"/>
      <c r="BX12" s="54"/>
      <c r="BY12" s="54"/>
      <c r="BZ12" s="54"/>
      <c r="CA12" s="54"/>
      <c r="CB12" s="54"/>
      <c r="CC12" s="54"/>
      <c r="CD12" s="58"/>
      <c r="CE12" s="58"/>
    </row>
    <row r="13" spans="1:83" ht="16.5" customHeight="1">
      <c r="A13" s="62"/>
      <c r="B13" s="1335"/>
      <c r="C13" s="1538"/>
      <c r="D13" s="1341"/>
      <c r="E13" s="1344"/>
      <c r="F13" s="75" t="s">
        <v>390</v>
      </c>
      <c r="G13" s="76">
        <f>+지급비율!F61*$D$11/1000</f>
        <v>504384000</v>
      </c>
      <c r="H13" s="76">
        <f>+G13*10%</f>
        <v>50438400</v>
      </c>
      <c r="I13" s="76">
        <f>SUM(G13:H13)</f>
        <v>554822400</v>
      </c>
      <c r="J13" s="75">
        <f t="shared" si="0"/>
        <v>0</v>
      </c>
      <c r="K13" s="80">
        <f>+IFERROR(R13+Y13+AF13+AT13+BA13+BH13+BO13,"-")</f>
        <v>0</v>
      </c>
      <c r="L13" s="80">
        <f>+I13-K13</f>
        <v>554822400</v>
      </c>
      <c r="M13" s="1332"/>
      <c r="N13" s="78">
        <v>46022</v>
      </c>
      <c r="O13" s="72"/>
      <c r="P13" s="79">
        <f>+IFERROR(Q13/$I13,"-")</f>
        <v>0.3</v>
      </c>
      <c r="Q13" s="80">
        <f>+지급비율!G61*$I13</f>
        <v>166446720</v>
      </c>
      <c r="R13" s="80"/>
      <c r="S13" s="80">
        <f t="shared" si="1"/>
        <v>166446720</v>
      </c>
      <c r="T13" s="81"/>
      <c r="U13" s="78">
        <v>46053</v>
      </c>
      <c r="V13" s="72"/>
      <c r="W13" s="79">
        <f>+IFERROR(X13/$I13,"-")</f>
        <v>0.1</v>
      </c>
      <c r="X13" s="70">
        <f>+지급비율!N61*$I13</f>
        <v>55482240</v>
      </c>
      <c r="Y13" s="70"/>
      <c r="Z13" s="70">
        <f>+X13-Y13</f>
        <v>55482240</v>
      </c>
      <c r="AA13" s="161"/>
      <c r="AB13" s="78">
        <v>46081</v>
      </c>
      <c r="AC13" s="72"/>
      <c r="AD13" s="79">
        <f>+IFERROR(AE13/$I13,"-")</f>
        <v>0.5</v>
      </c>
      <c r="AE13" s="70">
        <f>+지급비율!U61*$I13</f>
        <v>277411200</v>
      </c>
      <c r="AF13" s="70"/>
      <c r="AG13" s="70">
        <f>+AE13-AF13</f>
        <v>277411200</v>
      </c>
      <c r="AH13" s="161"/>
      <c r="AI13" s="72"/>
      <c r="AJ13" s="72"/>
      <c r="AK13" s="79">
        <f>+IFERROR(AL13/$I13,"-")</f>
        <v>0</v>
      </c>
      <c r="AL13" s="70">
        <f>+지급비율!AB61*$I13</f>
        <v>0</v>
      </c>
      <c r="AM13" s="70"/>
      <c r="AN13" s="70">
        <f>+AL13-AM13</f>
        <v>0</v>
      </c>
      <c r="AO13" s="161"/>
      <c r="AP13" s="72"/>
      <c r="AQ13" s="72"/>
      <c r="AR13" s="79">
        <f>+IFERROR(AS13/$I13,"-")</f>
        <v>0</v>
      </c>
      <c r="AS13" s="70">
        <f>+지급비율!AI61*$I13</f>
        <v>0</v>
      </c>
      <c r="AT13" s="70"/>
      <c r="AU13" s="70">
        <f>+AS13-AT13</f>
        <v>0</v>
      </c>
      <c r="AV13" s="161"/>
      <c r="AW13" s="72"/>
      <c r="AX13" s="72"/>
      <c r="AY13" s="79">
        <f>+IFERROR(AZ13/$I13,"-")</f>
        <v>0</v>
      </c>
      <c r="AZ13" s="70">
        <f>+지급비율!AP61*$I13</f>
        <v>0</v>
      </c>
      <c r="BA13" s="70"/>
      <c r="BB13" s="70">
        <f>+AZ13-BA13</f>
        <v>0</v>
      </c>
      <c r="BC13" s="161"/>
      <c r="BD13" s="72"/>
      <c r="BE13" s="72"/>
      <c r="BF13" s="79">
        <f>+IFERROR(BG13/$I13,"-")</f>
        <v>0</v>
      </c>
      <c r="BG13" s="70">
        <f>+지급비율!AW61*$I13</f>
        <v>0</v>
      </c>
      <c r="BH13" s="70"/>
      <c r="BI13" s="70">
        <f>+BG13-BH13</f>
        <v>0</v>
      </c>
      <c r="BJ13" s="161"/>
      <c r="BK13" s="78">
        <v>46173</v>
      </c>
      <c r="BL13" s="72"/>
      <c r="BM13" s="79">
        <f t="shared" si="2"/>
        <v>0.1</v>
      </c>
      <c r="BN13" s="70">
        <f>+지급비율!BD61*$I13</f>
        <v>55482240</v>
      </c>
      <c r="BO13" s="70"/>
      <c r="BP13" s="70">
        <f t="shared" si="3"/>
        <v>55482240</v>
      </c>
      <c r="BQ13" s="161"/>
      <c r="BR13" s="73"/>
      <c r="BS13" s="74" t="b">
        <f>+Q13+X13+AE13+AS13+AZ13+BG13+BN13=I13</f>
        <v>1</v>
      </c>
      <c r="BT13" s="74" t="b">
        <f>+R13+Y13+AF13+AT13+BA13+BH13+BO13=K13</f>
        <v>1</v>
      </c>
      <c r="BU13" s="74"/>
      <c r="BV13" s="54"/>
      <c r="BW13" s="54"/>
      <c r="BX13" s="54"/>
      <c r="BY13" s="54"/>
      <c r="BZ13" s="54"/>
      <c r="CA13" s="54"/>
      <c r="CB13" s="54"/>
      <c r="CC13" s="54"/>
      <c r="CD13" s="58"/>
      <c r="CE13" s="58"/>
    </row>
    <row r="14" spans="1:83" ht="16.5" customHeight="1">
      <c r="A14" s="62"/>
      <c r="B14" s="1335"/>
      <c r="C14" s="1538"/>
      <c r="D14" s="1341"/>
      <c r="E14" s="1344"/>
      <c r="F14" s="101" t="s">
        <v>391</v>
      </c>
      <c r="G14" s="102">
        <f>+지급비율!F62*$D$11/1000</f>
        <v>504384000</v>
      </c>
      <c r="H14" s="102">
        <f>+G14*0.1</f>
        <v>50438400</v>
      </c>
      <c r="I14" s="102">
        <f>SUM(G14:H14)</f>
        <v>554822400</v>
      </c>
      <c r="J14" s="101">
        <f t="shared" si="0"/>
        <v>0</v>
      </c>
      <c r="K14" s="106">
        <f>+IFERROR(R14+Y14+AF14+AT14+BA14+BH14+BO14,"-")</f>
        <v>0</v>
      </c>
      <c r="L14" s="106">
        <f>+I14-K14</f>
        <v>554822400</v>
      </c>
      <c r="M14" s="1333"/>
      <c r="N14" s="85"/>
      <c r="O14" s="83"/>
      <c r="P14" s="86"/>
      <c r="Q14" s="70">
        <f>+지급비율!G62*$I14</f>
        <v>0</v>
      </c>
      <c r="R14" s="87"/>
      <c r="S14" s="87"/>
      <c r="T14" s="83"/>
      <c r="U14" s="85"/>
      <c r="V14" s="83"/>
      <c r="W14" s="86"/>
      <c r="X14" s="70">
        <f>+지급비율!N62*$I14</f>
        <v>0</v>
      </c>
      <c r="Y14" s="87"/>
      <c r="Z14" s="87"/>
      <c r="AA14" s="83"/>
      <c r="AB14" s="85"/>
      <c r="AC14" s="83"/>
      <c r="AD14" s="86"/>
      <c r="AE14" s="70">
        <f>+지급비율!U62*$I14</f>
        <v>0</v>
      </c>
      <c r="AF14" s="87"/>
      <c r="AG14" s="87"/>
      <c r="AH14" s="83"/>
      <c r="AI14" s="85"/>
      <c r="AJ14" s="83"/>
      <c r="AK14" s="86"/>
      <c r="AL14" s="70">
        <f>+지급비율!AB62*$I14</f>
        <v>0</v>
      </c>
      <c r="AM14" s="87"/>
      <c r="AN14" s="87"/>
      <c r="AO14" s="83"/>
      <c r="AP14" s="85"/>
      <c r="AQ14" s="83"/>
      <c r="AR14" s="86"/>
      <c r="AS14" s="70">
        <f>+지급비율!AI62*$I14</f>
        <v>0</v>
      </c>
      <c r="AT14" s="87"/>
      <c r="AU14" s="87"/>
      <c r="AV14" s="83"/>
      <c r="AW14" s="85"/>
      <c r="AX14" s="83"/>
      <c r="AY14" s="86"/>
      <c r="AZ14" s="70">
        <f>+지급비율!AP62*$I14</f>
        <v>0</v>
      </c>
      <c r="BA14" s="87"/>
      <c r="BB14" s="87"/>
      <c r="BC14" s="83"/>
      <c r="BD14" s="85"/>
      <c r="BE14" s="83"/>
      <c r="BF14" s="86"/>
      <c r="BG14" s="70">
        <f>+지급비율!AW62*$I14</f>
        <v>0</v>
      </c>
      <c r="BH14" s="87"/>
      <c r="BI14" s="87"/>
      <c r="BJ14" s="83"/>
      <c r="BK14" s="78">
        <v>46173</v>
      </c>
      <c r="BL14" s="101"/>
      <c r="BM14" s="79">
        <f t="shared" si="2"/>
        <v>1</v>
      </c>
      <c r="BN14" s="70">
        <f>+지급비율!BD62*$I14</f>
        <v>554822400</v>
      </c>
      <c r="BO14" s="87"/>
      <c r="BP14" s="70">
        <f t="shared" si="3"/>
        <v>554822400</v>
      </c>
      <c r="BQ14" s="83"/>
      <c r="BR14" s="88"/>
      <c r="BS14" s="89" t="b">
        <f>+Q14+X14+AE14+AS14+AZ14+BG14+BN14=I14</f>
        <v>1</v>
      </c>
      <c r="BT14" s="90" t="b">
        <f>+R14+Y14+AF14+AT14+BA14+BH14+BO14=K14</f>
        <v>1</v>
      </c>
      <c r="BU14" s="90"/>
      <c r="BV14" s="54"/>
      <c r="BW14" s="54"/>
      <c r="BX14" s="54"/>
      <c r="BY14" s="54"/>
      <c r="BZ14" s="54"/>
      <c r="CA14" s="54"/>
      <c r="CB14" s="54"/>
      <c r="CC14" s="54"/>
      <c r="CD14" s="58"/>
      <c r="CE14" s="58"/>
    </row>
    <row r="15" spans="1:83" ht="16.5" customHeight="1">
      <c r="A15" s="62"/>
      <c r="B15" s="1336"/>
      <c r="C15" s="1539"/>
      <c r="D15" s="1342"/>
      <c r="E15" s="1345"/>
      <c r="F15" s="91" t="s">
        <v>392</v>
      </c>
      <c r="G15" s="92">
        <f>SUM(G11:G14)</f>
        <v>4539456000</v>
      </c>
      <c r="H15" s="92">
        <f>SUM(H11:H14)</f>
        <v>453945600</v>
      </c>
      <c r="I15" s="92">
        <f>SUM(I11:I14)</f>
        <v>4993401600</v>
      </c>
      <c r="J15" s="91">
        <f t="shared" si="0"/>
        <v>0</v>
      </c>
      <c r="K15" s="92">
        <f>SUM(K11:K14)</f>
        <v>0</v>
      </c>
      <c r="L15" s="92">
        <f>SUM(L11:L14)</f>
        <v>4993401600</v>
      </c>
      <c r="M15" s="419">
        <f>+Q12+Q13</f>
        <v>416116800</v>
      </c>
      <c r="N15" s="93"/>
      <c r="O15" s="91"/>
      <c r="P15" s="94">
        <f>+IFERROR(Q15/$I15,"-")</f>
        <v>8.3333333333333329E-2</v>
      </c>
      <c r="Q15" s="92">
        <f>SUM(Q11:Q14)</f>
        <v>416116800</v>
      </c>
      <c r="R15" s="92">
        <f>SUM(R11:R14)</f>
        <v>0</v>
      </c>
      <c r="S15" s="95">
        <f>+Q15-R15</f>
        <v>416116800</v>
      </c>
      <c r="T15" s="91"/>
      <c r="U15" s="93"/>
      <c r="V15" s="91"/>
      <c r="W15" s="94">
        <f t="shared" ref="W15:W25" si="4">+IFERROR(X15/$I15,"-")</f>
        <v>2.7777777777777776E-2</v>
      </c>
      <c r="X15" s="92">
        <f>SUM(X11:X14)</f>
        <v>138705600</v>
      </c>
      <c r="Y15" s="92">
        <f>SUM(Y11:Y14)</f>
        <v>0</v>
      </c>
      <c r="Z15" s="95">
        <f>+X15-Y15</f>
        <v>138705600</v>
      </c>
      <c r="AA15" s="91"/>
      <c r="AB15" s="93"/>
      <c r="AC15" s="91"/>
      <c r="AD15" s="94">
        <f t="shared" ref="AD15:AD25" si="5">+IFERROR(AE15/$I15,"-")</f>
        <v>0.44444444444444442</v>
      </c>
      <c r="AE15" s="92">
        <f>SUM(AE11:AE14)</f>
        <v>2219289600</v>
      </c>
      <c r="AF15" s="92">
        <f>SUM(AF11:AF14)</f>
        <v>0</v>
      </c>
      <c r="AG15" s="95">
        <f>+AE15-AF15</f>
        <v>2219289600</v>
      </c>
      <c r="AH15" s="91"/>
      <c r="AI15" s="93"/>
      <c r="AJ15" s="91"/>
      <c r="AK15" s="94">
        <f t="shared" ref="AK15:AK25" si="6">+IFERROR(AL15/$I15,"-")</f>
        <v>0</v>
      </c>
      <c r="AL15" s="92">
        <f>SUM(AL11:AL14)</f>
        <v>0</v>
      </c>
      <c r="AM15" s="92">
        <f>SUM(AM11:AM14)</f>
        <v>0</v>
      </c>
      <c r="AN15" s="95">
        <f>+AL15-AM15</f>
        <v>0</v>
      </c>
      <c r="AO15" s="91"/>
      <c r="AP15" s="93"/>
      <c r="AQ15" s="91"/>
      <c r="AR15" s="94">
        <f t="shared" ref="AR15:AR25" si="7">+IFERROR(AS15/$I15,"-")</f>
        <v>0</v>
      </c>
      <c r="AS15" s="92">
        <f>SUM(AS11:AS14)</f>
        <v>0</v>
      </c>
      <c r="AT15" s="92">
        <f>SUM(AT11:AT14)</f>
        <v>0</v>
      </c>
      <c r="AU15" s="95">
        <f>+AS15-AT15</f>
        <v>0</v>
      </c>
      <c r="AV15" s="91"/>
      <c r="AW15" s="93"/>
      <c r="AX15" s="91"/>
      <c r="AY15" s="94">
        <f t="shared" ref="AY15:AY25" si="8">+IFERROR(AZ15/$I15,"-")</f>
        <v>0</v>
      </c>
      <c r="AZ15" s="92">
        <f>SUM(AZ11:AZ14)</f>
        <v>0</v>
      </c>
      <c r="BA15" s="92">
        <f>SUM(BA11:BA14)</f>
        <v>0</v>
      </c>
      <c r="BB15" s="95">
        <f>+AZ15-BA15</f>
        <v>0</v>
      </c>
      <c r="BC15" s="91"/>
      <c r="BD15" s="93"/>
      <c r="BE15" s="91"/>
      <c r="BF15" s="94">
        <f t="shared" ref="BF15:BF25" si="9">+IFERROR(BG15/$I15,"-")</f>
        <v>0.24444444444444444</v>
      </c>
      <c r="BG15" s="92">
        <f>SUM(BG11:BG14)</f>
        <v>1220609280</v>
      </c>
      <c r="BH15" s="92">
        <f>SUM(BH11:BH14)</f>
        <v>0</v>
      </c>
      <c r="BI15" s="95">
        <f>+BG15-BH15</f>
        <v>1220609280</v>
      </c>
      <c r="BJ15" s="91"/>
      <c r="BK15" s="93"/>
      <c r="BL15" s="91"/>
      <c r="BM15" s="94">
        <f t="shared" si="2"/>
        <v>0.2</v>
      </c>
      <c r="BN15" s="92">
        <f>SUM(BN11:BN14)</f>
        <v>998680320</v>
      </c>
      <c r="BO15" s="92">
        <f>SUM(BO11:BO14)</f>
        <v>0</v>
      </c>
      <c r="BP15" s="95">
        <f t="shared" si="3"/>
        <v>998680320</v>
      </c>
      <c r="BQ15" s="91"/>
      <c r="BR15" s="88"/>
      <c r="BS15" s="96"/>
      <c r="BT15" s="97"/>
      <c r="BU15" s="97"/>
      <c r="BV15" s="54"/>
      <c r="BW15" s="54"/>
      <c r="BX15" s="54"/>
      <c r="BY15" s="54"/>
      <c r="BZ15" s="54"/>
      <c r="CA15" s="54"/>
      <c r="CB15" s="54"/>
      <c r="CC15" s="54"/>
      <c r="CD15" s="58"/>
      <c r="CE15" s="58"/>
    </row>
    <row r="16" spans="1:83" ht="16.5" customHeight="1">
      <c r="A16" s="62"/>
      <c r="B16" s="1334">
        <f>+B11+1</f>
        <v>2</v>
      </c>
      <c r="C16" s="1537" t="s">
        <v>904</v>
      </c>
      <c r="D16" s="1340">
        <v>435.23</v>
      </c>
      <c r="E16" s="1343" t="s">
        <v>387</v>
      </c>
      <c r="F16" s="63" t="s">
        <v>388</v>
      </c>
      <c r="G16" s="64">
        <f>+지급비율!F59*$D$16/1000</f>
        <v>478753000</v>
      </c>
      <c r="H16" s="64">
        <f>+G16*10%</f>
        <v>47875300</v>
      </c>
      <c r="I16" s="64">
        <f>SUM(G16:H16)</f>
        <v>526628300</v>
      </c>
      <c r="J16" s="65">
        <f t="shared" si="0"/>
        <v>0</v>
      </c>
      <c r="K16" s="70">
        <f>+IFERROR(R16+Y16+AF16+AT16+BA16+BH16+BO16,"-")</f>
        <v>0</v>
      </c>
      <c r="L16" s="70">
        <f>+I16-K16</f>
        <v>526628300</v>
      </c>
      <c r="M16" s="1331" t="s">
        <v>407</v>
      </c>
      <c r="N16" s="67"/>
      <c r="O16" s="72"/>
      <c r="P16" s="69"/>
      <c r="Q16" s="70">
        <f>+지급비율!G59*$I16</f>
        <v>0</v>
      </c>
      <c r="R16" s="70"/>
      <c r="S16" s="70">
        <f>+Q16-R16</f>
        <v>0</v>
      </c>
      <c r="T16" s="81"/>
      <c r="U16" s="67"/>
      <c r="V16" s="68"/>
      <c r="W16" s="79">
        <f t="shared" si="4"/>
        <v>0</v>
      </c>
      <c r="X16" s="70">
        <f>+지급비율!N59*$I16</f>
        <v>0</v>
      </c>
      <c r="Y16" s="70"/>
      <c r="Z16" s="70">
        <f>+X16-Y16</f>
        <v>0</v>
      </c>
      <c r="AA16" s="81"/>
      <c r="AB16" s="67">
        <f>+EDATE(AI16,1)</f>
        <v>46081</v>
      </c>
      <c r="AC16" s="68"/>
      <c r="AD16" s="79">
        <f t="shared" si="5"/>
        <v>0.5</v>
      </c>
      <c r="AE16" s="70">
        <f>+지급비율!U59*$I16</f>
        <v>263314150</v>
      </c>
      <c r="AF16" s="70"/>
      <c r="AG16" s="70">
        <f>+AE16-AF16</f>
        <v>263314150</v>
      </c>
      <c r="AH16" s="81"/>
      <c r="AI16" s="67">
        <f>+EDATE(AP16,-1)</f>
        <v>46050</v>
      </c>
      <c r="AJ16" s="68"/>
      <c r="AK16" s="79">
        <f t="shared" si="6"/>
        <v>0</v>
      </c>
      <c r="AL16" s="70">
        <f>+지급비율!AB59*$I16</f>
        <v>0</v>
      </c>
      <c r="AM16" s="70"/>
      <c r="AN16" s="70">
        <f>+AL16-AM16</f>
        <v>0</v>
      </c>
      <c r="AO16" s="81"/>
      <c r="AP16" s="67">
        <f>+EDATE(AW16,-1)</f>
        <v>46081</v>
      </c>
      <c r="AQ16" s="68"/>
      <c r="AR16" s="79">
        <f t="shared" si="7"/>
        <v>0</v>
      </c>
      <c r="AS16" s="70">
        <f>+지급비율!AI59*$I16</f>
        <v>0</v>
      </c>
      <c r="AT16" s="70"/>
      <c r="AU16" s="70">
        <f>+AS16-AT16</f>
        <v>0</v>
      </c>
      <c r="AV16" s="81"/>
      <c r="AW16" s="67">
        <f>+EDATE(BD16,-1)</f>
        <v>46111</v>
      </c>
      <c r="AX16" s="68"/>
      <c r="AY16" s="79">
        <f t="shared" si="8"/>
        <v>0</v>
      </c>
      <c r="AZ16" s="70">
        <f>+지급비율!AP59*$I16</f>
        <v>0</v>
      </c>
      <c r="BA16" s="70"/>
      <c r="BB16" s="70">
        <f>+AZ16-BA16</f>
        <v>0</v>
      </c>
      <c r="BC16" s="81"/>
      <c r="BD16" s="67">
        <f>+EDATE(BK16,-1)</f>
        <v>46142</v>
      </c>
      <c r="BE16" s="68"/>
      <c r="BF16" s="79">
        <f t="shared" si="9"/>
        <v>0.4</v>
      </c>
      <c r="BG16" s="70">
        <f>+지급비율!AW59*$I16</f>
        <v>210651320</v>
      </c>
      <c r="BH16" s="70"/>
      <c r="BI16" s="70">
        <f>+BG16-BH16</f>
        <v>210651320</v>
      </c>
      <c r="BJ16" s="81"/>
      <c r="BK16" s="78">
        <v>46173</v>
      </c>
      <c r="BL16" s="68"/>
      <c r="BM16" s="79">
        <f t="shared" si="2"/>
        <v>0.1</v>
      </c>
      <c r="BN16" s="70">
        <f>+지급비율!BD59*$I16</f>
        <v>52662830</v>
      </c>
      <c r="BO16" s="70"/>
      <c r="BP16" s="70">
        <f t="shared" si="3"/>
        <v>52662830</v>
      </c>
      <c r="BQ16" s="81"/>
      <c r="BR16" s="73"/>
      <c r="BS16" s="74" t="b">
        <f>+Q16+X16+AE16+AS16+AZ16+BG16+BN16=I16</f>
        <v>1</v>
      </c>
      <c r="BT16" s="74" t="b">
        <f>+R16+Y16+AF16+AT16+BA16+BH16+BO16=K16</f>
        <v>1</v>
      </c>
      <c r="BU16" s="74"/>
      <c r="BV16" s="54"/>
      <c r="BW16" s="54"/>
      <c r="BX16" s="54"/>
      <c r="BY16" s="54"/>
      <c r="BZ16" s="54"/>
      <c r="CA16" s="54"/>
      <c r="CB16" s="54"/>
      <c r="CC16" s="54"/>
      <c r="CD16" s="58"/>
      <c r="CE16" s="58"/>
    </row>
    <row r="17" spans="1:83" ht="16.5" customHeight="1">
      <c r="A17" s="62"/>
      <c r="B17" s="1335"/>
      <c r="C17" s="1538"/>
      <c r="D17" s="1341"/>
      <c r="E17" s="1344"/>
      <c r="F17" s="75" t="s">
        <v>389</v>
      </c>
      <c r="G17" s="76">
        <f>+지급비율!F60*$D$16/1000</f>
        <v>130569000</v>
      </c>
      <c r="H17" s="76">
        <f>+G17*10%</f>
        <v>13056900</v>
      </c>
      <c r="I17" s="76">
        <f>SUM(G17:H17)</f>
        <v>143625900</v>
      </c>
      <c r="J17" s="75">
        <f t="shared" si="0"/>
        <v>0</v>
      </c>
      <c r="K17" s="80">
        <f>+IFERROR(R17+Y17+AF17+AT17+BA17+BH17+BO17,"-")</f>
        <v>0</v>
      </c>
      <c r="L17" s="80">
        <f>+I17-K17</f>
        <v>143625900</v>
      </c>
      <c r="M17" s="1332"/>
      <c r="N17" s="78">
        <v>46022</v>
      </c>
      <c r="O17" s="78"/>
      <c r="P17" s="79">
        <f>+IFERROR(Q17/$I17,"-")</f>
        <v>0.3</v>
      </c>
      <c r="Q17" s="80">
        <f>+지급비율!G60*$I17</f>
        <v>43087770</v>
      </c>
      <c r="R17" s="80"/>
      <c r="S17" s="80">
        <f>+Q17-R17</f>
        <v>43087770</v>
      </c>
      <c r="T17" s="81"/>
      <c r="U17" s="78">
        <v>46053</v>
      </c>
      <c r="V17" s="78"/>
      <c r="W17" s="79">
        <f t="shared" si="4"/>
        <v>0.1</v>
      </c>
      <c r="X17" s="70">
        <f>+지급비율!N60*$I17</f>
        <v>14362590</v>
      </c>
      <c r="Y17" s="70"/>
      <c r="Z17" s="70">
        <f>+X17-Y17</f>
        <v>14362590</v>
      </c>
      <c r="AA17" s="161"/>
      <c r="AB17" s="78">
        <v>46081</v>
      </c>
      <c r="AC17" s="78"/>
      <c r="AD17" s="79">
        <f t="shared" si="5"/>
        <v>0.5</v>
      </c>
      <c r="AE17" s="70">
        <f>+지급비율!U60*$I17</f>
        <v>71812950</v>
      </c>
      <c r="AF17" s="70"/>
      <c r="AG17" s="70">
        <f>+AE17-AF17</f>
        <v>71812950</v>
      </c>
      <c r="AH17" s="161"/>
      <c r="AI17" s="78"/>
      <c r="AJ17" s="78"/>
      <c r="AK17" s="79">
        <f t="shared" si="6"/>
        <v>0</v>
      </c>
      <c r="AL17" s="70">
        <f>+지급비율!AB60*$I17</f>
        <v>0</v>
      </c>
      <c r="AM17" s="70"/>
      <c r="AN17" s="70">
        <f>+AL17-AM17</f>
        <v>0</v>
      </c>
      <c r="AO17" s="161"/>
      <c r="AP17" s="78"/>
      <c r="AQ17" s="78"/>
      <c r="AR17" s="79">
        <f t="shared" si="7"/>
        <v>0</v>
      </c>
      <c r="AS17" s="70">
        <f>+지급비율!AI60*$I17</f>
        <v>0</v>
      </c>
      <c r="AT17" s="70"/>
      <c r="AU17" s="70">
        <f>+AS17-AT17</f>
        <v>0</v>
      </c>
      <c r="AV17" s="161"/>
      <c r="AW17" s="78"/>
      <c r="AX17" s="78"/>
      <c r="AY17" s="79">
        <f t="shared" si="8"/>
        <v>0</v>
      </c>
      <c r="AZ17" s="70">
        <f>+지급비율!AP60*$I17</f>
        <v>0</v>
      </c>
      <c r="BA17" s="70"/>
      <c r="BB17" s="70">
        <f>+AZ17-BA17</f>
        <v>0</v>
      </c>
      <c r="BC17" s="161"/>
      <c r="BD17" s="78"/>
      <c r="BE17" s="78"/>
      <c r="BF17" s="79">
        <f t="shared" si="9"/>
        <v>0</v>
      </c>
      <c r="BG17" s="70">
        <f>+지급비율!AW60*$I17</f>
        <v>0</v>
      </c>
      <c r="BH17" s="70"/>
      <c r="BI17" s="70">
        <f>+BG17-BH17</f>
        <v>0</v>
      </c>
      <c r="BJ17" s="161"/>
      <c r="BK17" s="78">
        <v>46173</v>
      </c>
      <c r="BL17" s="78"/>
      <c r="BM17" s="79">
        <f t="shared" si="2"/>
        <v>0.1</v>
      </c>
      <c r="BN17" s="70">
        <f>+지급비율!BD60*$I17</f>
        <v>14362590</v>
      </c>
      <c r="BO17" s="70"/>
      <c r="BP17" s="70">
        <f t="shared" si="3"/>
        <v>14362590</v>
      </c>
      <c r="BQ17" s="161"/>
      <c r="BR17" s="73"/>
      <c r="BS17" s="74" t="b">
        <f>+Q17+X17+AE17+AS17+AZ17+BG17+BN17=I17</f>
        <v>1</v>
      </c>
      <c r="BT17" s="74" t="b">
        <f>+R17+Y17+AF17+AT17+BA17+BH17+BO17=K17</f>
        <v>1</v>
      </c>
      <c r="BU17" s="74" t="b">
        <f>+BG17+BG18+AZ17+AZ18+AS17+AS18+AE17+AE18+X17+X18+Q17+Q18+BN17+BN18=([5]지급비율!$F$39+[5]지급비율!$F$40)*1.1*D16/1000</f>
        <v>0</v>
      </c>
      <c r="BV17" s="54"/>
      <c r="BW17" s="54"/>
      <c r="BX17" s="54"/>
      <c r="BY17" s="54"/>
      <c r="BZ17" s="54"/>
      <c r="CA17" s="54"/>
      <c r="CB17" s="54"/>
      <c r="CC17" s="54"/>
      <c r="CD17" s="58"/>
      <c r="CE17" s="58"/>
    </row>
    <row r="18" spans="1:83" ht="16.5" customHeight="1">
      <c r="A18" s="62"/>
      <c r="B18" s="1335"/>
      <c r="C18" s="1538"/>
      <c r="D18" s="1341"/>
      <c r="E18" s="1344"/>
      <c r="F18" s="75" t="s">
        <v>390</v>
      </c>
      <c r="G18" s="76">
        <f>+지급비율!F61*$D$16/1000</f>
        <v>87046000</v>
      </c>
      <c r="H18" s="76">
        <f>+G18*10%</f>
        <v>8704600</v>
      </c>
      <c r="I18" s="76">
        <f>SUM(G18:H18)</f>
        <v>95750600</v>
      </c>
      <c r="J18" s="75">
        <f t="shared" si="0"/>
        <v>0</v>
      </c>
      <c r="K18" s="80">
        <f>+IFERROR(R18+Y18+AF18+AT18+BA18+BH18+BO18,"-")</f>
        <v>0</v>
      </c>
      <c r="L18" s="80">
        <f>+I18-K18</f>
        <v>95750600</v>
      </c>
      <c r="M18" s="1332"/>
      <c r="N18" s="78">
        <v>46022</v>
      </c>
      <c r="O18" s="72"/>
      <c r="P18" s="79">
        <f>+IFERROR(Q18/$I18,"-")</f>
        <v>0.3</v>
      </c>
      <c r="Q18" s="80">
        <f>+지급비율!G61*$I18</f>
        <v>28725180</v>
      </c>
      <c r="R18" s="80"/>
      <c r="S18" s="80">
        <f>+Q18-R18</f>
        <v>28725180</v>
      </c>
      <c r="T18" s="81"/>
      <c r="U18" s="78">
        <v>46053</v>
      </c>
      <c r="V18" s="72"/>
      <c r="W18" s="79">
        <f t="shared" si="4"/>
        <v>0.1</v>
      </c>
      <c r="X18" s="70">
        <f>+지급비율!N61*$I18</f>
        <v>9575060</v>
      </c>
      <c r="Y18" s="70"/>
      <c r="Z18" s="70">
        <f>+X18-Y18</f>
        <v>9575060</v>
      </c>
      <c r="AA18" s="161"/>
      <c r="AB18" s="78">
        <v>46081</v>
      </c>
      <c r="AC18" s="72"/>
      <c r="AD18" s="79">
        <f t="shared" si="5"/>
        <v>0.5</v>
      </c>
      <c r="AE18" s="70">
        <f>+지급비율!U61*$I18</f>
        <v>47875300</v>
      </c>
      <c r="AF18" s="70"/>
      <c r="AG18" s="70">
        <f>+AE18-AF18</f>
        <v>47875300</v>
      </c>
      <c r="AH18" s="161"/>
      <c r="AI18" s="72"/>
      <c r="AJ18" s="72"/>
      <c r="AK18" s="79">
        <f t="shared" si="6"/>
        <v>0</v>
      </c>
      <c r="AL18" s="70">
        <f>+지급비율!AB61*$I18</f>
        <v>0</v>
      </c>
      <c r="AM18" s="70"/>
      <c r="AN18" s="70">
        <f>+AL18-AM18</f>
        <v>0</v>
      </c>
      <c r="AO18" s="161"/>
      <c r="AP18" s="72"/>
      <c r="AQ18" s="72"/>
      <c r="AR18" s="79">
        <f t="shared" si="7"/>
        <v>0</v>
      </c>
      <c r="AS18" s="70">
        <f>+지급비율!AI61*$I18</f>
        <v>0</v>
      </c>
      <c r="AT18" s="70"/>
      <c r="AU18" s="70">
        <f>+AS18-AT18</f>
        <v>0</v>
      </c>
      <c r="AV18" s="161"/>
      <c r="AW18" s="72"/>
      <c r="AX18" s="72"/>
      <c r="AY18" s="79">
        <f t="shared" si="8"/>
        <v>0</v>
      </c>
      <c r="AZ18" s="70">
        <f>+지급비율!AP61*$I18</f>
        <v>0</v>
      </c>
      <c r="BA18" s="70"/>
      <c r="BB18" s="70">
        <f>+AZ18-BA18</f>
        <v>0</v>
      </c>
      <c r="BC18" s="161"/>
      <c r="BD18" s="72"/>
      <c r="BE18" s="72"/>
      <c r="BF18" s="79">
        <f t="shared" si="9"/>
        <v>0</v>
      </c>
      <c r="BG18" s="70">
        <f>+지급비율!AW61*$I18</f>
        <v>0</v>
      </c>
      <c r="BH18" s="70"/>
      <c r="BI18" s="70">
        <f>+BG18-BH18</f>
        <v>0</v>
      </c>
      <c r="BJ18" s="161"/>
      <c r="BK18" s="78">
        <v>46173</v>
      </c>
      <c r="BL18" s="72"/>
      <c r="BM18" s="79">
        <f t="shared" si="2"/>
        <v>0.1</v>
      </c>
      <c r="BN18" s="70">
        <f>+지급비율!BD61*$I18</f>
        <v>9575060</v>
      </c>
      <c r="BO18" s="70"/>
      <c r="BP18" s="70">
        <f t="shared" si="3"/>
        <v>9575060</v>
      </c>
      <c r="BQ18" s="161"/>
      <c r="BR18" s="73"/>
      <c r="BS18" s="74" t="b">
        <f>+Q18+X18+AE18+AS18+AZ18+BG18+BN18=I18</f>
        <v>1</v>
      </c>
      <c r="BT18" s="74" t="b">
        <f>+R18+Y18+AF18+AT18+BA18+BH18+BO18=K18</f>
        <v>1</v>
      </c>
      <c r="BU18" s="74"/>
      <c r="BV18" s="54"/>
      <c r="BW18" s="54"/>
      <c r="BX18" s="54"/>
      <c r="BY18" s="54"/>
      <c r="BZ18" s="54"/>
      <c r="CA18" s="54"/>
      <c r="CB18" s="54"/>
      <c r="CC18" s="54"/>
      <c r="CD18" s="58"/>
      <c r="CE18" s="58"/>
    </row>
    <row r="19" spans="1:83" ht="16.5" customHeight="1">
      <c r="A19" s="62"/>
      <c r="B19" s="1335"/>
      <c r="C19" s="1538"/>
      <c r="D19" s="1341"/>
      <c r="E19" s="1344"/>
      <c r="F19" s="101" t="s">
        <v>391</v>
      </c>
      <c r="G19" s="102">
        <f>+지급비율!F62*$D$16/1000</f>
        <v>87046000</v>
      </c>
      <c r="H19" s="102">
        <f>+G19*0.1</f>
        <v>8704600</v>
      </c>
      <c r="I19" s="102">
        <f>SUM(G19:H19)</f>
        <v>95750600</v>
      </c>
      <c r="J19" s="101">
        <f t="shared" si="0"/>
        <v>0</v>
      </c>
      <c r="K19" s="106">
        <f>+IFERROR(R19+Y19+AF19+AT19+BA19+BH19+BO19,"-")</f>
        <v>0</v>
      </c>
      <c r="L19" s="106">
        <f>+I19-K19</f>
        <v>95750600</v>
      </c>
      <c r="M19" s="1333"/>
      <c r="N19" s="85"/>
      <c r="O19" s="83"/>
      <c r="P19" s="86"/>
      <c r="Q19" s="70">
        <f>+지급비율!G62*$I19</f>
        <v>0</v>
      </c>
      <c r="R19" s="87"/>
      <c r="S19" s="87"/>
      <c r="T19" s="83"/>
      <c r="U19" s="85"/>
      <c r="V19" s="83"/>
      <c r="W19" s="79">
        <f t="shared" si="4"/>
        <v>0</v>
      </c>
      <c r="X19" s="70">
        <f>+지급비율!N62*$I19</f>
        <v>0</v>
      </c>
      <c r="Y19" s="87"/>
      <c r="Z19" s="87"/>
      <c r="AA19" s="83"/>
      <c r="AB19" s="85"/>
      <c r="AC19" s="83"/>
      <c r="AD19" s="79">
        <f t="shared" si="5"/>
        <v>0</v>
      </c>
      <c r="AE19" s="70">
        <f>+지급비율!U62*$I19</f>
        <v>0</v>
      </c>
      <c r="AF19" s="87"/>
      <c r="AG19" s="87"/>
      <c r="AH19" s="83"/>
      <c r="AI19" s="85"/>
      <c r="AJ19" s="83"/>
      <c r="AK19" s="79">
        <f t="shared" si="6"/>
        <v>0</v>
      </c>
      <c r="AL19" s="70">
        <f>+지급비율!AB62*$I19</f>
        <v>0</v>
      </c>
      <c r="AM19" s="87"/>
      <c r="AN19" s="87"/>
      <c r="AO19" s="83"/>
      <c r="AP19" s="85"/>
      <c r="AQ19" s="83"/>
      <c r="AR19" s="79">
        <f t="shared" si="7"/>
        <v>0</v>
      </c>
      <c r="AS19" s="70">
        <f>+지급비율!AI62*$I19</f>
        <v>0</v>
      </c>
      <c r="AT19" s="87"/>
      <c r="AU19" s="87"/>
      <c r="AV19" s="83"/>
      <c r="AW19" s="85"/>
      <c r="AX19" s="83"/>
      <c r="AY19" s="79">
        <f t="shared" si="8"/>
        <v>0</v>
      </c>
      <c r="AZ19" s="70">
        <f>+지급비율!AP62*$I19</f>
        <v>0</v>
      </c>
      <c r="BA19" s="87"/>
      <c r="BB19" s="87"/>
      <c r="BC19" s="83"/>
      <c r="BD19" s="85"/>
      <c r="BE19" s="83"/>
      <c r="BF19" s="79">
        <f t="shared" si="9"/>
        <v>0</v>
      </c>
      <c r="BG19" s="70">
        <f>+지급비율!AW62*$I19</f>
        <v>0</v>
      </c>
      <c r="BH19" s="87"/>
      <c r="BI19" s="87"/>
      <c r="BJ19" s="83"/>
      <c r="BK19" s="78">
        <v>46173</v>
      </c>
      <c r="BL19" s="101"/>
      <c r="BM19" s="79">
        <f t="shared" si="2"/>
        <v>1</v>
      </c>
      <c r="BN19" s="70">
        <f>+지급비율!BD62*$I19</f>
        <v>95750600</v>
      </c>
      <c r="BO19" s="87"/>
      <c r="BP19" s="70">
        <f t="shared" si="3"/>
        <v>95750600</v>
      </c>
      <c r="BQ19" s="83"/>
      <c r="BR19" s="88"/>
      <c r="BS19" s="89" t="b">
        <f>+Q19+X19+AE19+AS19+AZ19+BG19+BN19=I19</f>
        <v>1</v>
      </c>
      <c r="BT19" s="90" t="b">
        <f>+R19+Y19+AF19+AT19+BA19+BH19+BO19=K19</f>
        <v>1</v>
      </c>
      <c r="BU19" s="90"/>
      <c r="BV19" s="54"/>
      <c r="BW19" s="54"/>
      <c r="BX19" s="54"/>
      <c r="BY19" s="54"/>
      <c r="BZ19" s="54"/>
      <c r="CA19" s="54"/>
      <c r="CB19" s="54"/>
      <c r="CC19" s="54"/>
      <c r="CD19" s="58"/>
      <c r="CE19" s="58"/>
    </row>
    <row r="20" spans="1:83" ht="16.5" customHeight="1">
      <c r="A20" s="62"/>
      <c r="B20" s="1336"/>
      <c r="C20" s="1539"/>
      <c r="D20" s="1342"/>
      <c r="E20" s="1345"/>
      <c r="F20" s="91" t="s">
        <v>392</v>
      </c>
      <c r="G20" s="92">
        <f>SUM(G16:G19)</f>
        <v>783414000</v>
      </c>
      <c r="H20" s="92">
        <f>SUM(H16:H19)</f>
        <v>78341400</v>
      </c>
      <c r="I20" s="92">
        <f>SUM(I16:I19)</f>
        <v>861755400</v>
      </c>
      <c r="J20" s="91">
        <f t="shared" si="0"/>
        <v>0</v>
      </c>
      <c r="K20" s="92">
        <f>SUM(K16:K19)</f>
        <v>0</v>
      </c>
      <c r="L20" s="92">
        <f>SUM(L16:L19)</f>
        <v>861755400</v>
      </c>
      <c r="M20" s="419">
        <f>+Q17+Q18</f>
        <v>71812950</v>
      </c>
      <c r="N20" s="93"/>
      <c r="O20" s="91"/>
      <c r="P20" s="94">
        <f>+IFERROR(Q20/$I20,"-")</f>
        <v>8.3333333333333329E-2</v>
      </c>
      <c r="Q20" s="92">
        <f>SUM(Q16:Q19)</f>
        <v>71812950</v>
      </c>
      <c r="R20" s="92">
        <f>SUM(R16:R19)</f>
        <v>0</v>
      </c>
      <c r="S20" s="95">
        <f>+Q20-R20</f>
        <v>71812950</v>
      </c>
      <c r="T20" s="91"/>
      <c r="U20" s="93"/>
      <c r="V20" s="91"/>
      <c r="W20" s="94">
        <f t="shared" si="4"/>
        <v>2.7777777777777776E-2</v>
      </c>
      <c r="X20" s="92">
        <f>SUM(X16:X19)</f>
        <v>23937650</v>
      </c>
      <c r="Y20" s="92">
        <f>SUM(Y16:Y19)</f>
        <v>0</v>
      </c>
      <c r="Z20" s="95">
        <f>+X20-Y20</f>
        <v>23937650</v>
      </c>
      <c r="AA20" s="91"/>
      <c r="AB20" s="93"/>
      <c r="AC20" s="91"/>
      <c r="AD20" s="94">
        <f t="shared" si="5"/>
        <v>0.44444444444444442</v>
      </c>
      <c r="AE20" s="92">
        <f>SUM(AE16:AE19)</f>
        <v>383002400</v>
      </c>
      <c r="AF20" s="92">
        <f>SUM(AF16:AF19)</f>
        <v>0</v>
      </c>
      <c r="AG20" s="95">
        <f>+AE20-AF20</f>
        <v>383002400</v>
      </c>
      <c r="AH20" s="91"/>
      <c r="AI20" s="93"/>
      <c r="AJ20" s="91"/>
      <c r="AK20" s="94">
        <f t="shared" si="6"/>
        <v>0</v>
      </c>
      <c r="AL20" s="92">
        <f>SUM(AL16:AL19)</f>
        <v>0</v>
      </c>
      <c r="AM20" s="92">
        <f>SUM(AM16:AM19)</f>
        <v>0</v>
      </c>
      <c r="AN20" s="95">
        <f>+AL20-AM20</f>
        <v>0</v>
      </c>
      <c r="AO20" s="91"/>
      <c r="AP20" s="93"/>
      <c r="AQ20" s="91"/>
      <c r="AR20" s="94">
        <f t="shared" si="7"/>
        <v>0</v>
      </c>
      <c r="AS20" s="92">
        <f>SUM(AS16:AS19)</f>
        <v>0</v>
      </c>
      <c r="AT20" s="92">
        <f>SUM(AT16:AT19)</f>
        <v>0</v>
      </c>
      <c r="AU20" s="95">
        <f>+AS20-AT20</f>
        <v>0</v>
      </c>
      <c r="AV20" s="91"/>
      <c r="AW20" s="93"/>
      <c r="AX20" s="91"/>
      <c r="AY20" s="94">
        <f t="shared" si="8"/>
        <v>0</v>
      </c>
      <c r="AZ20" s="92">
        <f>SUM(AZ16:AZ19)</f>
        <v>0</v>
      </c>
      <c r="BA20" s="92">
        <f>SUM(BA16:BA19)</f>
        <v>0</v>
      </c>
      <c r="BB20" s="95">
        <f>+AZ20-BA20</f>
        <v>0</v>
      </c>
      <c r="BC20" s="91"/>
      <c r="BD20" s="93"/>
      <c r="BE20" s="91"/>
      <c r="BF20" s="94">
        <f t="shared" si="9"/>
        <v>0.24444444444444444</v>
      </c>
      <c r="BG20" s="92">
        <f>SUM(BG16:BG19)</f>
        <v>210651320</v>
      </c>
      <c r="BH20" s="92">
        <f>SUM(BH16:BH19)</f>
        <v>0</v>
      </c>
      <c r="BI20" s="95">
        <f>+BG20-BH20</f>
        <v>210651320</v>
      </c>
      <c r="BJ20" s="91"/>
      <c r="BK20" s="93"/>
      <c r="BL20" s="91"/>
      <c r="BM20" s="94">
        <f t="shared" si="2"/>
        <v>0.2</v>
      </c>
      <c r="BN20" s="92">
        <f>SUM(BN16:BN19)</f>
        <v>172351080</v>
      </c>
      <c r="BO20" s="92">
        <f>SUM(BO16:BO19)</f>
        <v>0</v>
      </c>
      <c r="BP20" s="95">
        <f t="shared" si="3"/>
        <v>172351080</v>
      </c>
      <c r="BQ20" s="91"/>
      <c r="BR20" s="88"/>
      <c r="BS20" s="96"/>
      <c r="BT20" s="97"/>
      <c r="BU20" s="97"/>
      <c r="BV20" s="54"/>
      <c r="BW20" s="54"/>
      <c r="BX20" s="54"/>
      <c r="BY20" s="54"/>
      <c r="BZ20" s="54"/>
      <c r="CA20" s="54"/>
      <c r="CB20" s="54"/>
      <c r="CC20" s="54"/>
      <c r="CD20" s="58"/>
      <c r="CE20" s="58"/>
    </row>
    <row r="21" spans="1:83" ht="16.5" customHeight="1">
      <c r="A21" s="62"/>
      <c r="B21" s="1334">
        <f t="shared" ref="B21" si="10">+B16+1</f>
        <v>3</v>
      </c>
      <c r="C21" s="1537" t="s">
        <v>905</v>
      </c>
      <c r="D21" s="1340">
        <v>383.4</v>
      </c>
      <c r="E21" s="1343" t="s">
        <v>387</v>
      </c>
      <c r="F21" s="63" t="s">
        <v>388</v>
      </c>
      <c r="G21" s="76">
        <f>+지급비율!F59*$D$21/1000</f>
        <v>421740000</v>
      </c>
      <c r="H21" s="64">
        <f>+G21*10%</f>
        <v>42174000</v>
      </c>
      <c r="I21" s="64">
        <f>SUM(G21:H21)</f>
        <v>463914000</v>
      </c>
      <c r="J21" s="65">
        <f t="shared" si="0"/>
        <v>0</v>
      </c>
      <c r="K21" s="70">
        <f>+IFERROR(R21+Y21+AF21+AT21+BA21+BH21+BO21,"-")</f>
        <v>0</v>
      </c>
      <c r="L21" s="70">
        <f>+I21-K21</f>
        <v>463914000</v>
      </c>
      <c r="M21" s="1331" t="s">
        <v>407</v>
      </c>
      <c r="N21" s="67"/>
      <c r="O21" s="72"/>
      <c r="P21" s="69"/>
      <c r="Q21" s="70">
        <f>+지급비율!G59*$I21</f>
        <v>0</v>
      </c>
      <c r="R21" s="70"/>
      <c r="S21" s="70">
        <f>+Q21-R21</f>
        <v>0</v>
      </c>
      <c r="T21" s="81"/>
      <c r="U21" s="67"/>
      <c r="V21" s="68"/>
      <c r="W21" s="79">
        <f t="shared" si="4"/>
        <v>0</v>
      </c>
      <c r="X21" s="70">
        <f>+지급비율!N59*$I21</f>
        <v>0</v>
      </c>
      <c r="Y21" s="70"/>
      <c r="Z21" s="70">
        <f>+X21-Y21</f>
        <v>0</v>
      </c>
      <c r="AA21" s="81"/>
      <c r="AB21" s="67">
        <f>+EDATE(AI21,1)</f>
        <v>46081</v>
      </c>
      <c r="AC21" s="68"/>
      <c r="AD21" s="79">
        <f t="shared" si="5"/>
        <v>0.5</v>
      </c>
      <c r="AE21" s="70">
        <f>+지급비율!U59*$I21</f>
        <v>231957000</v>
      </c>
      <c r="AF21" s="70"/>
      <c r="AG21" s="70">
        <f>+AE21-AF21</f>
        <v>231957000</v>
      </c>
      <c r="AH21" s="81"/>
      <c r="AI21" s="67">
        <f>+EDATE(AP21,-1)</f>
        <v>46050</v>
      </c>
      <c r="AJ21" s="68"/>
      <c r="AK21" s="79">
        <f t="shared" si="6"/>
        <v>0</v>
      </c>
      <c r="AL21" s="70">
        <f>+지급비율!AB59*$I21</f>
        <v>0</v>
      </c>
      <c r="AM21" s="70"/>
      <c r="AN21" s="70">
        <f>+AL21-AM21</f>
        <v>0</v>
      </c>
      <c r="AO21" s="81"/>
      <c r="AP21" s="67">
        <f>+EDATE(AW21,-1)</f>
        <v>46081</v>
      </c>
      <c r="AQ21" s="68"/>
      <c r="AR21" s="79">
        <f t="shared" si="7"/>
        <v>0</v>
      </c>
      <c r="AS21" s="70">
        <f>+지급비율!AI59*$I21</f>
        <v>0</v>
      </c>
      <c r="AT21" s="70"/>
      <c r="AU21" s="70">
        <f>+AS21-AT21</f>
        <v>0</v>
      </c>
      <c r="AV21" s="81"/>
      <c r="AW21" s="67">
        <f>+EDATE(BD21,-1)</f>
        <v>46111</v>
      </c>
      <c r="AX21" s="68"/>
      <c r="AY21" s="79">
        <f t="shared" si="8"/>
        <v>0</v>
      </c>
      <c r="AZ21" s="70">
        <f>+지급비율!AP59*$I21</f>
        <v>0</v>
      </c>
      <c r="BA21" s="70"/>
      <c r="BB21" s="70">
        <f>+AZ21-BA21</f>
        <v>0</v>
      </c>
      <c r="BC21" s="81"/>
      <c r="BD21" s="67">
        <f>+EDATE(BK21,-1)</f>
        <v>46142</v>
      </c>
      <c r="BE21" s="68"/>
      <c r="BF21" s="79">
        <f t="shared" si="9"/>
        <v>0.4</v>
      </c>
      <c r="BG21" s="70">
        <f>+지급비율!AW59*$I21</f>
        <v>185565600</v>
      </c>
      <c r="BH21" s="70"/>
      <c r="BI21" s="70">
        <f>+BG21-BH21</f>
        <v>185565600</v>
      </c>
      <c r="BJ21" s="81"/>
      <c r="BK21" s="78">
        <v>46173</v>
      </c>
      <c r="BL21" s="68"/>
      <c r="BM21" s="79">
        <f t="shared" si="2"/>
        <v>0.1</v>
      </c>
      <c r="BN21" s="70">
        <f>+지급비율!BD59*$I21</f>
        <v>46391400</v>
      </c>
      <c r="BO21" s="70"/>
      <c r="BP21" s="70">
        <f t="shared" si="3"/>
        <v>46391400</v>
      </c>
      <c r="BQ21" s="81"/>
      <c r="BR21" s="73"/>
      <c r="BS21" s="74" t="b">
        <f>+Q21+X21+AE21+AS21+AZ21+BG21+BN21=I21</f>
        <v>1</v>
      </c>
      <c r="BT21" s="74" t="b">
        <f>+R21+Y21+AF21+AT21+BA21+BH21+BO21=K21</f>
        <v>1</v>
      </c>
      <c r="BU21" s="74"/>
      <c r="BV21" s="54"/>
      <c r="BW21" s="54"/>
      <c r="BX21" s="54"/>
      <c r="BY21" s="54"/>
      <c r="BZ21" s="54"/>
      <c r="CA21" s="54"/>
      <c r="CB21" s="54"/>
      <c r="CC21" s="54"/>
      <c r="CD21" s="58"/>
      <c r="CE21" s="58"/>
    </row>
    <row r="22" spans="1:83" ht="16.5" customHeight="1">
      <c r="A22" s="62"/>
      <c r="B22" s="1335"/>
      <c r="C22" s="1538"/>
      <c r="D22" s="1341"/>
      <c r="E22" s="1344"/>
      <c r="F22" s="75" t="s">
        <v>389</v>
      </c>
      <c r="G22" s="76">
        <f>+지급비율!F60*$D$21/1000</f>
        <v>115020000</v>
      </c>
      <c r="H22" s="76">
        <f>+G22*10%</f>
        <v>11502000</v>
      </c>
      <c r="I22" s="76">
        <f>SUM(G22:H22)</f>
        <v>126522000</v>
      </c>
      <c r="J22" s="75">
        <f t="shared" si="0"/>
        <v>0</v>
      </c>
      <c r="K22" s="80">
        <f>+IFERROR(R22+Y22+AF22+AT22+BA22+BH22+BO22,"-")</f>
        <v>0</v>
      </c>
      <c r="L22" s="80">
        <f>+I22-K22</f>
        <v>126522000</v>
      </c>
      <c r="M22" s="1332"/>
      <c r="N22" s="78">
        <v>46022</v>
      </c>
      <c r="O22" s="78"/>
      <c r="P22" s="79">
        <f>+IFERROR(Q22/$I22,"-")</f>
        <v>0.3</v>
      </c>
      <c r="Q22" s="80">
        <f>+지급비율!G60*$I22</f>
        <v>37956600</v>
      </c>
      <c r="R22" s="80"/>
      <c r="S22" s="80">
        <f>+Q22-R22</f>
        <v>37956600</v>
      </c>
      <c r="T22" s="81"/>
      <c r="U22" s="78">
        <v>46053</v>
      </c>
      <c r="V22" s="78"/>
      <c r="W22" s="79">
        <f t="shared" si="4"/>
        <v>0.1</v>
      </c>
      <c r="X22" s="70">
        <f>+지급비율!N60*$I22</f>
        <v>12652200</v>
      </c>
      <c r="Y22" s="70"/>
      <c r="Z22" s="70">
        <f>+X22-Y22</f>
        <v>12652200</v>
      </c>
      <c r="AA22" s="161"/>
      <c r="AB22" s="78">
        <v>46081</v>
      </c>
      <c r="AC22" s="78"/>
      <c r="AD22" s="79">
        <f t="shared" si="5"/>
        <v>0.5</v>
      </c>
      <c r="AE22" s="70">
        <f>+지급비율!U60*$I22</f>
        <v>63261000</v>
      </c>
      <c r="AF22" s="70"/>
      <c r="AG22" s="70">
        <f>+AE22-AF22</f>
        <v>63261000</v>
      </c>
      <c r="AH22" s="161"/>
      <c r="AI22" s="78"/>
      <c r="AJ22" s="78"/>
      <c r="AK22" s="79">
        <f t="shared" si="6"/>
        <v>0</v>
      </c>
      <c r="AL22" s="70">
        <f>+지급비율!AB60*$I22</f>
        <v>0</v>
      </c>
      <c r="AM22" s="70"/>
      <c r="AN22" s="70">
        <f>+AL22-AM22</f>
        <v>0</v>
      </c>
      <c r="AO22" s="161"/>
      <c r="AP22" s="78"/>
      <c r="AQ22" s="78"/>
      <c r="AR22" s="79">
        <f t="shared" si="7"/>
        <v>0</v>
      </c>
      <c r="AS22" s="70">
        <f>+지급비율!AI60*$I22</f>
        <v>0</v>
      </c>
      <c r="AT22" s="70"/>
      <c r="AU22" s="70">
        <f>+AS22-AT22</f>
        <v>0</v>
      </c>
      <c r="AV22" s="161"/>
      <c r="AW22" s="78"/>
      <c r="AX22" s="78"/>
      <c r="AY22" s="79">
        <f t="shared" si="8"/>
        <v>0</v>
      </c>
      <c r="AZ22" s="70">
        <f>+지급비율!AP60*$I22</f>
        <v>0</v>
      </c>
      <c r="BA22" s="70"/>
      <c r="BB22" s="70">
        <f>+AZ22-BA22</f>
        <v>0</v>
      </c>
      <c r="BC22" s="161"/>
      <c r="BD22" s="78"/>
      <c r="BE22" s="78"/>
      <c r="BF22" s="79">
        <f t="shared" si="9"/>
        <v>0</v>
      </c>
      <c r="BG22" s="70">
        <f>+지급비율!AW60*$I22</f>
        <v>0</v>
      </c>
      <c r="BH22" s="70"/>
      <c r="BI22" s="70">
        <f>+BG22-BH22</f>
        <v>0</v>
      </c>
      <c r="BJ22" s="161"/>
      <c r="BK22" s="78">
        <v>46173</v>
      </c>
      <c r="BL22" s="78"/>
      <c r="BM22" s="79">
        <f t="shared" si="2"/>
        <v>0.1</v>
      </c>
      <c r="BN22" s="70">
        <f>+지급비율!BD60*$I22</f>
        <v>12652200</v>
      </c>
      <c r="BO22" s="70"/>
      <c r="BP22" s="70">
        <f t="shared" si="3"/>
        <v>12652200</v>
      </c>
      <c r="BQ22" s="161"/>
      <c r="BR22" s="73"/>
      <c r="BS22" s="74" t="b">
        <f>+Q22+X22+AE22+AS22+AZ22+BG22+BN22=I22</f>
        <v>1</v>
      </c>
      <c r="BT22" s="74" t="b">
        <f>+R22+Y22+AF22+AT22+BA22+BH22+BO22=K22</f>
        <v>1</v>
      </c>
      <c r="BU22" s="74" t="b">
        <f>+BG22+BG23+AZ22+AZ23+AS22+AS23+AE22+AE23+X22+X23+Q22+Q23+BN22+BN23=([5]지급비율!$F$39+[5]지급비율!$F$40)*1.1*D21/1000</f>
        <v>0</v>
      </c>
      <c r="BV22" s="54"/>
      <c r="BW22" s="54"/>
      <c r="BX22" s="54"/>
      <c r="BY22" s="54"/>
      <c r="BZ22" s="54"/>
      <c r="CA22" s="54"/>
      <c r="CB22" s="54"/>
      <c r="CC22" s="54"/>
      <c r="CD22" s="58"/>
      <c r="CE22" s="58"/>
    </row>
    <row r="23" spans="1:83" ht="16.5" customHeight="1">
      <c r="A23" s="62"/>
      <c r="B23" s="1335"/>
      <c r="C23" s="1538"/>
      <c r="D23" s="1341"/>
      <c r="E23" s="1344"/>
      <c r="F23" s="75" t="s">
        <v>390</v>
      </c>
      <c r="G23" s="76">
        <f>+지급비율!F61*$D$21/1000</f>
        <v>76680000</v>
      </c>
      <c r="H23" s="76">
        <f>+G23*10%</f>
        <v>7668000</v>
      </c>
      <c r="I23" s="76">
        <f>SUM(G23:H23)</f>
        <v>84348000</v>
      </c>
      <c r="J23" s="75">
        <f t="shared" si="0"/>
        <v>0</v>
      </c>
      <c r="K23" s="80">
        <f>+IFERROR(R23+Y23+AF23+AT23+BA23+BH23+BO23,"-")</f>
        <v>0</v>
      </c>
      <c r="L23" s="80">
        <f>+I23-K23</f>
        <v>84348000</v>
      </c>
      <c r="M23" s="1332"/>
      <c r="N23" s="78">
        <v>46022</v>
      </c>
      <c r="O23" s="72"/>
      <c r="P23" s="79">
        <f>+IFERROR(Q23/$I23,"-")</f>
        <v>0.3</v>
      </c>
      <c r="Q23" s="80">
        <f>+지급비율!G61*$I23</f>
        <v>25304400</v>
      </c>
      <c r="R23" s="80"/>
      <c r="S23" s="80">
        <f>+Q23-R23</f>
        <v>25304400</v>
      </c>
      <c r="T23" s="81"/>
      <c r="U23" s="78">
        <v>46053</v>
      </c>
      <c r="V23" s="72"/>
      <c r="W23" s="79">
        <f t="shared" si="4"/>
        <v>0.1</v>
      </c>
      <c r="X23" s="70">
        <f>+지급비율!N61*$I23</f>
        <v>8434800</v>
      </c>
      <c r="Y23" s="70"/>
      <c r="Z23" s="70">
        <f>+X23-Y23</f>
        <v>8434800</v>
      </c>
      <c r="AA23" s="161"/>
      <c r="AB23" s="78">
        <v>46081</v>
      </c>
      <c r="AC23" s="72"/>
      <c r="AD23" s="79">
        <f t="shared" si="5"/>
        <v>0.5</v>
      </c>
      <c r="AE23" s="70">
        <f>+지급비율!U61*$I23</f>
        <v>42174000</v>
      </c>
      <c r="AF23" s="70"/>
      <c r="AG23" s="70">
        <f>+AE23-AF23</f>
        <v>42174000</v>
      </c>
      <c r="AH23" s="161"/>
      <c r="AI23" s="72"/>
      <c r="AJ23" s="72"/>
      <c r="AK23" s="79">
        <f t="shared" si="6"/>
        <v>0</v>
      </c>
      <c r="AL23" s="70">
        <f>+지급비율!AB61*$I23</f>
        <v>0</v>
      </c>
      <c r="AM23" s="70"/>
      <c r="AN23" s="70">
        <f>+AL23-AM23</f>
        <v>0</v>
      </c>
      <c r="AO23" s="161"/>
      <c r="AP23" s="72"/>
      <c r="AQ23" s="72"/>
      <c r="AR23" s="79">
        <f t="shared" si="7"/>
        <v>0</v>
      </c>
      <c r="AS23" s="70">
        <f>+지급비율!AI61*$I23</f>
        <v>0</v>
      </c>
      <c r="AT23" s="70"/>
      <c r="AU23" s="70">
        <f>+AS23-AT23</f>
        <v>0</v>
      </c>
      <c r="AV23" s="161"/>
      <c r="AW23" s="72"/>
      <c r="AX23" s="72"/>
      <c r="AY23" s="79">
        <f t="shared" si="8"/>
        <v>0</v>
      </c>
      <c r="AZ23" s="70">
        <f>+지급비율!AP61*$I23</f>
        <v>0</v>
      </c>
      <c r="BA23" s="70"/>
      <c r="BB23" s="70">
        <f>+AZ23-BA23</f>
        <v>0</v>
      </c>
      <c r="BC23" s="161"/>
      <c r="BD23" s="72"/>
      <c r="BE23" s="72"/>
      <c r="BF23" s="79">
        <f t="shared" si="9"/>
        <v>0</v>
      </c>
      <c r="BG23" s="70">
        <f>+지급비율!AW61*$I23</f>
        <v>0</v>
      </c>
      <c r="BH23" s="70"/>
      <c r="BI23" s="70">
        <f>+BG23-BH23</f>
        <v>0</v>
      </c>
      <c r="BJ23" s="161"/>
      <c r="BK23" s="78">
        <v>46173</v>
      </c>
      <c r="BL23" s="72"/>
      <c r="BM23" s="79">
        <f t="shared" si="2"/>
        <v>0.1</v>
      </c>
      <c r="BN23" s="70">
        <f>+지급비율!BD61*$I23</f>
        <v>8434800</v>
      </c>
      <c r="BO23" s="70"/>
      <c r="BP23" s="70">
        <f t="shared" si="3"/>
        <v>8434800</v>
      </c>
      <c r="BQ23" s="161"/>
      <c r="BR23" s="73"/>
      <c r="BS23" s="74" t="b">
        <f>+Q23+X23+AE23+AS23+AZ23+BG23+BN23=I23</f>
        <v>1</v>
      </c>
      <c r="BT23" s="74" t="b">
        <f>+R23+Y23+AF23+AT23+BA23+BH23+BO23=K23</f>
        <v>1</v>
      </c>
      <c r="BU23" s="74"/>
      <c r="BV23" s="54"/>
      <c r="BW23" s="54"/>
      <c r="BX23" s="54"/>
      <c r="BY23" s="54"/>
      <c r="BZ23" s="54"/>
      <c r="CA23" s="54"/>
      <c r="CB23" s="54"/>
      <c r="CC23" s="54"/>
      <c r="CD23" s="58"/>
      <c r="CE23" s="58"/>
    </row>
    <row r="24" spans="1:83" ht="16.5" customHeight="1">
      <c r="A24" s="62"/>
      <c r="B24" s="1335"/>
      <c r="C24" s="1538"/>
      <c r="D24" s="1341"/>
      <c r="E24" s="1344"/>
      <c r="F24" s="101" t="s">
        <v>391</v>
      </c>
      <c r="G24" s="102">
        <f>+지급비율!F62*$D$21/1000</f>
        <v>76680000</v>
      </c>
      <c r="H24" s="102">
        <f>+G24*0.1</f>
        <v>7668000</v>
      </c>
      <c r="I24" s="102">
        <f>SUM(G24:H24)</f>
        <v>84348000</v>
      </c>
      <c r="J24" s="101">
        <f t="shared" si="0"/>
        <v>0</v>
      </c>
      <c r="K24" s="106">
        <f>+IFERROR(R24+Y24+AF24+AT24+BA24+BH24+BO24,"-")</f>
        <v>0</v>
      </c>
      <c r="L24" s="106">
        <f>+I24-K24</f>
        <v>84348000</v>
      </c>
      <c r="M24" s="1333"/>
      <c r="N24" s="85"/>
      <c r="O24" s="83"/>
      <c r="P24" s="86"/>
      <c r="Q24" s="70">
        <f>+지급비율!G62*$I24</f>
        <v>0</v>
      </c>
      <c r="R24" s="87"/>
      <c r="S24" s="87"/>
      <c r="T24" s="83"/>
      <c r="U24" s="85"/>
      <c r="V24" s="83"/>
      <c r="W24" s="79">
        <f t="shared" si="4"/>
        <v>0</v>
      </c>
      <c r="X24" s="70">
        <f>+지급비율!N62*$I24</f>
        <v>0</v>
      </c>
      <c r="Y24" s="87"/>
      <c r="Z24" s="87"/>
      <c r="AA24" s="83"/>
      <c r="AB24" s="85"/>
      <c r="AC24" s="83"/>
      <c r="AD24" s="79">
        <f t="shared" si="5"/>
        <v>0</v>
      </c>
      <c r="AE24" s="70">
        <f>+지급비율!U62*$I24</f>
        <v>0</v>
      </c>
      <c r="AF24" s="87"/>
      <c r="AG24" s="87"/>
      <c r="AH24" s="83"/>
      <c r="AI24" s="85"/>
      <c r="AJ24" s="83"/>
      <c r="AK24" s="79">
        <f t="shared" si="6"/>
        <v>0</v>
      </c>
      <c r="AL24" s="70">
        <f>+지급비율!AB62*$I24</f>
        <v>0</v>
      </c>
      <c r="AM24" s="87"/>
      <c r="AN24" s="87"/>
      <c r="AO24" s="83"/>
      <c r="AP24" s="85"/>
      <c r="AQ24" s="83"/>
      <c r="AR24" s="79">
        <f t="shared" si="7"/>
        <v>0</v>
      </c>
      <c r="AS24" s="70">
        <f>+지급비율!AI62*$I24</f>
        <v>0</v>
      </c>
      <c r="AT24" s="87"/>
      <c r="AU24" s="87"/>
      <c r="AV24" s="83"/>
      <c r="AW24" s="85"/>
      <c r="AX24" s="83"/>
      <c r="AY24" s="79">
        <f t="shared" si="8"/>
        <v>0</v>
      </c>
      <c r="AZ24" s="70">
        <f>+지급비율!AP62*$I24</f>
        <v>0</v>
      </c>
      <c r="BA24" s="87"/>
      <c r="BB24" s="87"/>
      <c r="BC24" s="83"/>
      <c r="BD24" s="85"/>
      <c r="BE24" s="83"/>
      <c r="BF24" s="79">
        <f t="shared" si="9"/>
        <v>0</v>
      </c>
      <c r="BG24" s="70">
        <f>+지급비율!AW62*$I24</f>
        <v>0</v>
      </c>
      <c r="BH24" s="87"/>
      <c r="BI24" s="87"/>
      <c r="BJ24" s="83"/>
      <c r="BK24" s="78">
        <v>46173</v>
      </c>
      <c r="BL24" s="101"/>
      <c r="BM24" s="79">
        <f t="shared" si="2"/>
        <v>1</v>
      </c>
      <c r="BN24" s="70">
        <f>+지급비율!BD62*$I24</f>
        <v>84348000</v>
      </c>
      <c r="BO24" s="87"/>
      <c r="BP24" s="70">
        <f t="shared" si="3"/>
        <v>84348000</v>
      </c>
      <c r="BQ24" s="83"/>
      <c r="BR24" s="88"/>
      <c r="BS24" s="89" t="b">
        <f>+Q24+X24+AE24+AS24+AZ24+BG24+BN24=I24</f>
        <v>1</v>
      </c>
      <c r="BT24" s="90" t="b">
        <f>+R24+Y24+AF24+AT24+BA24+BH24+BO24=K24</f>
        <v>1</v>
      </c>
      <c r="BU24" s="90"/>
      <c r="BV24" s="54"/>
      <c r="BW24" s="54"/>
      <c r="BX24" s="54"/>
      <c r="BY24" s="54"/>
      <c r="BZ24" s="54"/>
      <c r="CA24" s="54"/>
      <c r="CB24" s="54"/>
      <c r="CC24" s="54"/>
      <c r="CD24" s="58"/>
      <c r="CE24" s="58"/>
    </row>
    <row r="25" spans="1:83" ht="16.5" customHeight="1">
      <c r="A25" s="62"/>
      <c r="B25" s="1336"/>
      <c r="C25" s="1539"/>
      <c r="D25" s="1342"/>
      <c r="E25" s="1345"/>
      <c r="F25" s="91" t="s">
        <v>392</v>
      </c>
      <c r="G25" s="92">
        <f>SUM(G21:G24)</f>
        <v>690120000</v>
      </c>
      <c r="H25" s="92">
        <f>SUM(H21:H24)</f>
        <v>69012000</v>
      </c>
      <c r="I25" s="92">
        <f>SUM(I21:I24)</f>
        <v>759132000</v>
      </c>
      <c r="J25" s="91">
        <f t="shared" si="0"/>
        <v>0</v>
      </c>
      <c r="K25" s="92">
        <f>SUM(K21:K24)</f>
        <v>0</v>
      </c>
      <c r="L25" s="92">
        <f>SUM(L21:L24)</f>
        <v>759132000</v>
      </c>
      <c r="M25" s="419">
        <f>+Q22+Q23</f>
        <v>63261000</v>
      </c>
      <c r="N25" s="93"/>
      <c r="O25" s="91"/>
      <c r="P25" s="94">
        <f>+IFERROR(Q25/$I25,"-")</f>
        <v>8.3333333333333329E-2</v>
      </c>
      <c r="Q25" s="92">
        <f>SUM(Q21:Q24)</f>
        <v>63261000</v>
      </c>
      <c r="R25" s="92">
        <f>SUM(R21:R24)</f>
        <v>0</v>
      </c>
      <c r="S25" s="95">
        <f>+Q25-R25</f>
        <v>63261000</v>
      </c>
      <c r="T25" s="91"/>
      <c r="U25" s="93"/>
      <c r="V25" s="91"/>
      <c r="W25" s="94">
        <f t="shared" si="4"/>
        <v>2.7777777777777776E-2</v>
      </c>
      <c r="X25" s="92">
        <f>SUM(X21:X24)</f>
        <v>21087000</v>
      </c>
      <c r="Y25" s="92">
        <f>SUM(Y21:Y24)</f>
        <v>0</v>
      </c>
      <c r="Z25" s="95">
        <f>+X25-Y25</f>
        <v>21087000</v>
      </c>
      <c r="AA25" s="91"/>
      <c r="AB25" s="93"/>
      <c r="AC25" s="91"/>
      <c r="AD25" s="94">
        <f t="shared" si="5"/>
        <v>0.44444444444444442</v>
      </c>
      <c r="AE25" s="92">
        <f>SUM(AE21:AE24)</f>
        <v>337392000</v>
      </c>
      <c r="AF25" s="92">
        <f>SUM(AF21:AF24)</f>
        <v>0</v>
      </c>
      <c r="AG25" s="95">
        <f>+AE25-AF25</f>
        <v>337392000</v>
      </c>
      <c r="AH25" s="91"/>
      <c r="AI25" s="93"/>
      <c r="AJ25" s="91"/>
      <c r="AK25" s="94">
        <f t="shared" si="6"/>
        <v>0</v>
      </c>
      <c r="AL25" s="92">
        <f>SUM(AL21:AL24)</f>
        <v>0</v>
      </c>
      <c r="AM25" s="92">
        <f>SUM(AM21:AM24)</f>
        <v>0</v>
      </c>
      <c r="AN25" s="95">
        <f>+AL25-AM25</f>
        <v>0</v>
      </c>
      <c r="AO25" s="91"/>
      <c r="AP25" s="93"/>
      <c r="AQ25" s="91"/>
      <c r="AR25" s="94">
        <f t="shared" si="7"/>
        <v>0</v>
      </c>
      <c r="AS25" s="92">
        <f>SUM(AS21:AS24)</f>
        <v>0</v>
      </c>
      <c r="AT25" s="92">
        <f>SUM(AT21:AT24)</f>
        <v>0</v>
      </c>
      <c r="AU25" s="95">
        <f>+AS25-AT25</f>
        <v>0</v>
      </c>
      <c r="AV25" s="91"/>
      <c r="AW25" s="93"/>
      <c r="AX25" s="91"/>
      <c r="AY25" s="94">
        <f t="shared" si="8"/>
        <v>0</v>
      </c>
      <c r="AZ25" s="92">
        <f>SUM(AZ21:AZ24)</f>
        <v>0</v>
      </c>
      <c r="BA25" s="92">
        <f>SUM(BA21:BA24)</f>
        <v>0</v>
      </c>
      <c r="BB25" s="95">
        <f>+AZ25-BA25</f>
        <v>0</v>
      </c>
      <c r="BC25" s="91"/>
      <c r="BD25" s="93"/>
      <c r="BE25" s="91"/>
      <c r="BF25" s="94">
        <f t="shared" si="9"/>
        <v>0.24444444444444444</v>
      </c>
      <c r="BG25" s="92">
        <f>SUM(BG21:BG24)</f>
        <v>185565600</v>
      </c>
      <c r="BH25" s="92">
        <f>SUM(BH21:BH24)</f>
        <v>0</v>
      </c>
      <c r="BI25" s="95">
        <f>+BG25-BH25</f>
        <v>185565600</v>
      </c>
      <c r="BJ25" s="91"/>
      <c r="BK25" s="93"/>
      <c r="BL25" s="91"/>
      <c r="BM25" s="94">
        <f t="shared" si="2"/>
        <v>0.2</v>
      </c>
      <c r="BN25" s="92">
        <f>SUM(BN21:BN24)</f>
        <v>151826400</v>
      </c>
      <c r="BO25" s="92">
        <f>SUM(BO21:BO24)</f>
        <v>0</v>
      </c>
      <c r="BP25" s="95">
        <f t="shared" si="3"/>
        <v>151826400</v>
      </c>
      <c r="BQ25" s="91"/>
      <c r="BR25" s="88"/>
      <c r="BS25" s="96"/>
      <c r="BT25" s="97"/>
      <c r="BU25" s="97"/>
      <c r="BV25" s="54"/>
      <c r="BW25" s="54"/>
      <c r="BX25" s="54"/>
      <c r="BY25" s="54"/>
      <c r="BZ25" s="54"/>
      <c r="CA25" s="54"/>
      <c r="CB25" s="54"/>
      <c r="CC25" s="54"/>
      <c r="CD25" s="58"/>
      <c r="CE25" s="58"/>
    </row>
    <row r="26" spans="1:83" ht="16.5" customHeight="1">
      <c r="A26" s="62"/>
      <c r="B26" s="1334">
        <f t="shared" ref="B26" si="11">+B21+1</f>
        <v>4</v>
      </c>
      <c r="C26" s="1537" t="s">
        <v>906</v>
      </c>
      <c r="D26" s="1340">
        <v>221</v>
      </c>
      <c r="E26" s="1343" t="s">
        <v>387</v>
      </c>
      <c r="F26" s="63" t="s">
        <v>388</v>
      </c>
      <c r="G26" s="64">
        <f>+지급비율!F63*$D$26/1000</f>
        <v>243100000</v>
      </c>
      <c r="H26" s="64">
        <f>+G26*10%</f>
        <v>24310000</v>
      </c>
      <c r="I26" s="64">
        <f>SUM(G26:H26)</f>
        <v>267410000</v>
      </c>
      <c r="J26" s="65">
        <f t="shared" si="0"/>
        <v>0</v>
      </c>
      <c r="K26" s="70">
        <f>+IFERROR(R26+Y26+AF26+AT26+BA26+BH26+BO26,"-")</f>
        <v>0</v>
      </c>
      <c r="L26" s="70">
        <f>+I26-K26</f>
        <v>267410000</v>
      </c>
      <c r="M26" s="1331" t="s">
        <v>407</v>
      </c>
      <c r="N26" s="67"/>
      <c r="O26" s="72"/>
      <c r="P26" s="69"/>
      <c r="Q26" s="70">
        <f>+지급비율!G63*$I26</f>
        <v>0</v>
      </c>
      <c r="R26" s="70"/>
      <c r="S26" s="70">
        <f>+Q26-R26</f>
        <v>0</v>
      </c>
      <c r="T26" s="81"/>
      <c r="U26" s="67"/>
      <c r="V26" s="68"/>
      <c r="W26" s="69"/>
      <c r="X26" s="70">
        <f>+지급비율!N63*$I26</f>
        <v>0</v>
      </c>
      <c r="Y26" s="70"/>
      <c r="Z26" s="70">
        <f>+X26-Y26</f>
        <v>0</v>
      </c>
      <c r="AA26" s="81"/>
      <c r="AB26" s="67">
        <f>+EDATE(AI26,1)</f>
        <v>46081</v>
      </c>
      <c r="AC26" s="68"/>
      <c r="AD26" s="69"/>
      <c r="AE26" s="70">
        <f>+지급비율!U63*$I26</f>
        <v>133705000</v>
      </c>
      <c r="AF26" s="70"/>
      <c r="AG26" s="70">
        <f>+AE26-AF26</f>
        <v>133705000</v>
      </c>
      <c r="AH26" s="81"/>
      <c r="AI26" s="67">
        <f>+EDATE(AP26,-1)</f>
        <v>46050</v>
      </c>
      <c r="AJ26" s="68"/>
      <c r="AK26" s="69"/>
      <c r="AL26" s="70">
        <f>+지급비율!AB63*$I26</f>
        <v>0</v>
      </c>
      <c r="AM26" s="70"/>
      <c r="AN26" s="70">
        <f>+AL26-AM26</f>
        <v>0</v>
      </c>
      <c r="AO26" s="81"/>
      <c r="AP26" s="67">
        <f>+EDATE(AW26,-1)</f>
        <v>46081</v>
      </c>
      <c r="AQ26" s="68"/>
      <c r="AR26" s="69"/>
      <c r="AS26" s="70">
        <f>+지급비율!AI63*$I26</f>
        <v>0</v>
      </c>
      <c r="AT26" s="70"/>
      <c r="AU26" s="70">
        <f>+AS26-AT26</f>
        <v>0</v>
      </c>
      <c r="AV26" s="81"/>
      <c r="AW26" s="67">
        <f>+EDATE(BD26,-1)</f>
        <v>46111</v>
      </c>
      <c r="AX26" s="68"/>
      <c r="AY26" s="69"/>
      <c r="AZ26" s="70">
        <f>+지급비율!AP63*$I26</f>
        <v>0</v>
      </c>
      <c r="BA26" s="70"/>
      <c r="BB26" s="70">
        <f>+AZ26-BA26</f>
        <v>0</v>
      </c>
      <c r="BC26" s="81"/>
      <c r="BD26" s="67">
        <f>+EDATE(BK26,-1)</f>
        <v>46142</v>
      </c>
      <c r="BE26" s="68"/>
      <c r="BF26" s="69"/>
      <c r="BG26" s="70">
        <f>+지급비율!AW63*$I26</f>
        <v>106964000</v>
      </c>
      <c r="BH26" s="70"/>
      <c r="BI26" s="70">
        <f>+BG26-BH26</f>
        <v>106964000</v>
      </c>
      <c r="BJ26" s="81"/>
      <c r="BK26" s="78">
        <v>46173</v>
      </c>
      <c r="BL26" s="68"/>
      <c r="BM26" s="69"/>
      <c r="BN26" s="70">
        <f>+지급비율!BD63*$I26</f>
        <v>26741000</v>
      </c>
      <c r="BO26" s="70"/>
      <c r="BP26" s="70">
        <f t="shared" si="3"/>
        <v>26741000</v>
      </c>
      <c r="BQ26" s="81"/>
      <c r="BR26" s="73"/>
      <c r="BS26" s="74" t="b">
        <f>+Q26+X26+AE26+AS26+AZ26+BG26+BN26=I26</f>
        <v>1</v>
      </c>
      <c r="BT26" s="74" t="b">
        <f>+R26+Y26+AF26+AT26+BA26+BH26+BO26=K26</f>
        <v>1</v>
      </c>
      <c r="BU26" s="74"/>
      <c r="BV26" s="54"/>
      <c r="BW26" s="54"/>
      <c r="BX26" s="54"/>
      <c r="BY26" s="54"/>
      <c r="BZ26" s="54"/>
      <c r="CA26" s="54"/>
      <c r="CB26" s="54"/>
      <c r="CC26" s="54"/>
      <c r="CD26" s="58"/>
      <c r="CE26" s="58"/>
    </row>
    <row r="27" spans="1:83" ht="16.5" customHeight="1">
      <c r="A27" s="62"/>
      <c r="B27" s="1335"/>
      <c r="C27" s="1538"/>
      <c r="D27" s="1341"/>
      <c r="E27" s="1344"/>
      <c r="F27" s="75" t="s">
        <v>389</v>
      </c>
      <c r="G27" s="76">
        <f>+지급비율!F64*$D$26/1000</f>
        <v>66300000</v>
      </c>
      <c r="H27" s="76">
        <f>+G27*10%</f>
        <v>6630000</v>
      </c>
      <c r="I27" s="76">
        <f>SUM(G27:H27)</f>
        <v>72930000</v>
      </c>
      <c r="J27" s="75">
        <f t="shared" si="0"/>
        <v>0</v>
      </c>
      <c r="K27" s="80">
        <f>+IFERROR(R27+Y27+AF27+AT27+BA27+BH27+BO27,"-")</f>
        <v>0</v>
      </c>
      <c r="L27" s="80">
        <f>+I27-K27</f>
        <v>72930000</v>
      </c>
      <c r="M27" s="1332"/>
      <c r="N27" s="78">
        <v>46022</v>
      </c>
      <c r="O27" s="78"/>
      <c r="P27" s="79">
        <f>+IFERROR(Q27/$I27,"-")</f>
        <v>0.3</v>
      </c>
      <c r="Q27" s="80">
        <f>+지급비율!G64*$I27</f>
        <v>21879000</v>
      </c>
      <c r="R27" s="80"/>
      <c r="S27" s="80">
        <f>+Q27-R27</f>
        <v>21879000</v>
      </c>
      <c r="T27" s="81"/>
      <c r="U27" s="78">
        <v>46053</v>
      </c>
      <c r="V27" s="78"/>
      <c r="W27" s="79">
        <f>+IFERROR(X27/$I27,"-")</f>
        <v>0.1</v>
      </c>
      <c r="X27" s="70">
        <f>+지급비율!N64*$I27</f>
        <v>7293000</v>
      </c>
      <c r="Y27" s="70"/>
      <c r="Z27" s="70">
        <f>+X27-Y27</f>
        <v>7293000</v>
      </c>
      <c r="AA27" s="161"/>
      <c r="AB27" s="78">
        <v>46081</v>
      </c>
      <c r="AC27" s="78"/>
      <c r="AD27" s="79">
        <f>+IFERROR(AE27/$I27,"-")</f>
        <v>0.5</v>
      </c>
      <c r="AE27" s="70">
        <f>+지급비율!U64*$I27</f>
        <v>36465000</v>
      </c>
      <c r="AF27" s="70"/>
      <c r="AG27" s="70">
        <f>+AE27-AF27</f>
        <v>36465000</v>
      </c>
      <c r="AH27" s="161"/>
      <c r="AI27" s="78"/>
      <c r="AJ27" s="78"/>
      <c r="AK27" s="79">
        <f>+IFERROR(AL27/$I27,"-")</f>
        <v>0</v>
      </c>
      <c r="AL27" s="70">
        <f>+지급비율!AB64*$I27</f>
        <v>0</v>
      </c>
      <c r="AM27" s="70"/>
      <c r="AN27" s="70">
        <f>+AL27-AM27</f>
        <v>0</v>
      </c>
      <c r="AO27" s="161"/>
      <c r="AP27" s="78"/>
      <c r="AQ27" s="78"/>
      <c r="AR27" s="79">
        <f>+IFERROR(AS27/$I27,"-")</f>
        <v>0</v>
      </c>
      <c r="AS27" s="70">
        <f>+지급비율!AI64*$I27</f>
        <v>0</v>
      </c>
      <c r="AT27" s="70"/>
      <c r="AU27" s="70">
        <f>+AS27-AT27</f>
        <v>0</v>
      </c>
      <c r="AV27" s="161"/>
      <c r="AW27" s="78"/>
      <c r="AX27" s="78"/>
      <c r="AY27" s="79">
        <f>+IFERROR(AZ27/$I27,"-")</f>
        <v>0</v>
      </c>
      <c r="AZ27" s="70">
        <f>+지급비율!AP64*$I27</f>
        <v>0</v>
      </c>
      <c r="BA27" s="70"/>
      <c r="BB27" s="70">
        <f>+AZ27-BA27</f>
        <v>0</v>
      </c>
      <c r="BC27" s="161"/>
      <c r="BD27" s="78"/>
      <c r="BE27" s="78"/>
      <c r="BF27" s="79">
        <f>+IFERROR(BG27/$I27,"-")</f>
        <v>0</v>
      </c>
      <c r="BG27" s="70">
        <f>+지급비율!AW64*$I27</f>
        <v>0</v>
      </c>
      <c r="BH27" s="70"/>
      <c r="BI27" s="70">
        <f>+BG27-BH27</f>
        <v>0</v>
      </c>
      <c r="BJ27" s="161"/>
      <c r="BK27" s="78">
        <v>46173</v>
      </c>
      <c r="BL27" s="78"/>
      <c r="BM27" s="79">
        <f>+IFERROR(BN27/$I27,"-")</f>
        <v>0.1</v>
      </c>
      <c r="BN27" s="70">
        <f>+지급비율!BD64*$I27</f>
        <v>7293000</v>
      </c>
      <c r="BO27" s="70"/>
      <c r="BP27" s="70">
        <f t="shared" si="3"/>
        <v>7293000</v>
      </c>
      <c r="BQ27" s="161"/>
      <c r="BR27" s="73"/>
      <c r="BS27" s="74" t="b">
        <f>+Q27+X27+AE27+AS27+AZ27+BG27+BN27=I27</f>
        <v>1</v>
      </c>
      <c r="BT27" s="74" t="b">
        <f>+R27+Y27+AF27+AT27+BA27+BH27+BO27=K27</f>
        <v>1</v>
      </c>
      <c r="BU27" s="74" t="b">
        <f>+BG27+BG28+AZ27+AZ28+AS27+AS28+AE27+AE28+X27+X28+Q27+Q28+BN27+BN28=([5]지급비율!$F$39+[5]지급비율!$F$40)*1.1*D26/1000</f>
        <v>0</v>
      </c>
      <c r="BV27" s="54"/>
      <c r="BW27" s="54"/>
      <c r="BX27" s="54"/>
      <c r="BY27" s="54"/>
      <c r="BZ27" s="54"/>
      <c r="CA27" s="54"/>
      <c r="CB27" s="54"/>
      <c r="CC27" s="54"/>
      <c r="CD27" s="58"/>
      <c r="CE27" s="58"/>
    </row>
    <row r="28" spans="1:83" ht="16.5" customHeight="1">
      <c r="A28" s="62"/>
      <c r="B28" s="1335"/>
      <c r="C28" s="1538"/>
      <c r="D28" s="1341"/>
      <c r="E28" s="1344"/>
      <c r="F28" s="75" t="s">
        <v>390</v>
      </c>
      <c r="G28" s="76">
        <f>+지급비율!F65*$D$26/1000</f>
        <v>44200000</v>
      </c>
      <c r="H28" s="76">
        <f>+G28*10%</f>
        <v>4420000</v>
      </c>
      <c r="I28" s="76">
        <f>SUM(G28:H28)</f>
        <v>48620000</v>
      </c>
      <c r="J28" s="75">
        <f t="shared" si="0"/>
        <v>0</v>
      </c>
      <c r="K28" s="80">
        <f>+IFERROR(R28+Y28+AF28+AT28+BA28+BH28+BO28,"-")</f>
        <v>0</v>
      </c>
      <c r="L28" s="80">
        <f>+I28-K28</f>
        <v>48620000</v>
      </c>
      <c r="M28" s="1332"/>
      <c r="N28" s="78">
        <v>46022</v>
      </c>
      <c r="O28" s="72"/>
      <c r="P28" s="79">
        <f>+IFERROR(Q28/$I28,"-")</f>
        <v>0.3</v>
      </c>
      <c r="Q28" s="80">
        <f>+지급비율!G65*$I28</f>
        <v>14586000</v>
      </c>
      <c r="R28" s="80"/>
      <c r="S28" s="80">
        <f>+Q28-R28</f>
        <v>14586000</v>
      </c>
      <c r="T28" s="81"/>
      <c r="U28" s="78">
        <v>46053</v>
      </c>
      <c r="V28" s="72"/>
      <c r="W28" s="79">
        <f>+IFERROR(X28/$I28,"-")</f>
        <v>0.1</v>
      </c>
      <c r="X28" s="70">
        <f>+지급비율!N65*$I28</f>
        <v>4862000</v>
      </c>
      <c r="Y28" s="70"/>
      <c r="Z28" s="70">
        <f>+X28-Y28</f>
        <v>4862000</v>
      </c>
      <c r="AA28" s="161"/>
      <c r="AB28" s="78">
        <v>46081</v>
      </c>
      <c r="AC28" s="72"/>
      <c r="AD28" s="79">
        <f>+IFERROR(AE28/$I28,"-")</f>
        <v>0.5</v>
      </c>
      <c r="AE28" s="70">
        <f>+지급비율!U65*$I28</f>
        <v>24310000</v>
      </c>
      <c r="AF28" s="70"/>
      <c r="AG28" s="70">
        <f>+AE28-AF28</f>
        <v>24310000</v>
      </c>
      <c r="AH28" s="161"/>
      <c r="AI28" s="72"/>
      <c r="AJ28" s="72"/>
      <c r="AK28" s="79">
        <f>+IFERROR(AL28/$I28,"-")</f>
        <v>0</v>
      </c>
      <c r="AL28" s="70">
        <f>+지급비율!AB65*$I28</f>
        <v>0</v>
      </c>
      <c r="AM28" s="70"/>
      <c r="AN28" s="70">
        <f>+AL28-AM28</f>
        <v>0</v>
      </c>
      <c r="AO28" s="161"/>
      <c r="AP28" s="72"/>
      <c r="AQ28" s="72"/>
      <c r="AR28" s="79">
        <f>+IFERROR(AS28/$I28,"-")</f>
        <v>0</v>
      </c>
      <c r="AS28" s="70">
        <f>+지급비율!AI65*$I28</f>
        <v>0</v>
      </c>
      <c r="AT28" s="70"/>
      <c r="AU28" s="70">
        <f>+AS28-AT28</f>
        <v>0</v>
      </c>
      <c r="AV28" s="161"/>
      <c r="AW28" s="72"/>
      <c r="AX28" s="72"/>
      <c r="AY28" s="79">
        <f>+IFERROR(AZ28/$I28,"-")</f>
        <v>0</v>
      </c>
      <c r="AZ28" s="70">
        <f>+지급비율!AP65*$I28</f>
        <v>0</v>
      </c>
      <c r="BA28" s="70"/>
      <c r="BB28" s="70">
        <f>+AZ28-BA28</f>
        <v>0</v>
      </c>
      <c r="BC28" s="161"/>
      <c r="BD28" s="72"/>
      <c r="BE28" s="72"/>
      <c r="BF28" s="79">
        <f>+IFERROR(BG28/$I28,"-")</f>
        <v>0</v>
      </c>
      <c r="BG28" s="70">
        <f>+지급비율!AW65*$I28</f>
        <v>0</v>
      </c>
      <c r="BH28" s="70"/>
      <c r="BI28" s="70">
        <f>+BG28-BH28</f>
        <v>0</v>
      </c>
      <c r="BJ28" s="161"/>
      <c r="BK28" s="78">
        <v>46173</v>
      </c>
      <c r="BL28" s="72"/>
      <c r="BM28" s="79">
        <f>+IFERROR(BN28/$I28,"-")</f>
        <v>0.1</v>
      </c>
      <c r="BN28" s="70">
        <f>+지급비율!BD65*$I28</f>
        <v>4862000</v>
      </c>
      <c r="BO28" s="70"/>
      <c r="BP28" s="70">
        <f t="shared" si="3"/>
        <v>4862000</v>
      </c>
      <c r="BQ28" s="161"/>
      <c r="BR28" s="73"/>
      <c r="BS28" s="74" t="b">
        <f>+Q28+X28+AE28+AS28+AZ28+BG28+BN28=I28</f>
        <v>1</v>
      </c>
      <c r="BT28" s="74" t="b">
        <f>+R28+Y28+AF28+AT28+BA28+BH28+BO28=K28</f>
        <v>1</v>
      </c>
      <c r="BU28" s="74"/>
      <c r="BV28" s="54"/>
      <c r="BW28" s="54"/>
      <c r="BX28" s="54"/>
      <c r="BY28" s="54"/>
      <c r="BZ28" s="54"/>
      <c r="CA28" s="54"/>
      <c r="CB28" s="54"/>
      <c r="CC28" s="54"/>
      <c r="CD28" s="58"/>
      <c r="CE28" s="58"/>
    </row>
    <row r="29" spans="1:83" ht="16.5" customHeight="1">
      <c r="A29" s="62"/>
      <c r="B29" s="1335"/>
      <c r="C29" s="1538"/>
      <c r="D29" s="1341"/>
      <c r="E29" s="1344"/>
      <c r="F29" s="101" t="s">
        <v>391</v>
      </c>
      <c r="G29" s="102">
        <f>+지급비율!F66*$D$26/1000</f>
        <v>38675000</v>
      </c>
      <c r="H29" s="102">
        <f>+G29*0.1</f>
        <v>3867500</v>
      </c>
      <c r="I29" s="102">
        <f>SUM(G29:H29)</f>
        <v>42542500</v>
      </c>
      <c r="J29" s="101">
        <f t="shared" si="0"/>
        <v>0</v>
      </c>
      <c r="K29" s="106">
        <f>+IFERROR(R29+Y29+AF29+AT29+BA29+BH29+BO29,"-")</f>
        <v>0</v>
      </c>
      <c r="L29" s="106">
        <f>+I29-K29</f>
        <v>42542500</v>
      </c>
      <c r="M29" s="1333"/>
      <c r="N29" s="85"/>
      <c r="O29" s="83"/>
      <c r="P29" s="86"/>
      <c r="Q29" s="70">
        <f>+지급비율!G66*$I29</f>
        <v>0</v>
      </c>
      <c r="R29" s="87"/>
      <c r="S29" s="87"/>
      <c r="T29" s="83"/>
      <c r="U29" s="85"/>
      <c r="V29" s="83"/>
      <c r="W29" s="86"/>
      <c r="X29" s="70">
        <f>+지급비율!N66*$I29</f>
        <v>0</v>
      </c>
      <c r="Y29" s="87"/>
      <c r="Z29" s="87"/>
      <c r="AA29" s="83"/>
      <c r="AB29" s="85"/>
      <c r="AC29" s="83"/>
      <c r="AD29" s="86"/>
      <c r="AE29" s="70">
        <f>+지급비율!U66*$I29</f>
        <v>0</v>
      </c>
      <c r="AF29" s="87"/>
      <c r="AG29" s="87"/>
      <c r="AH29" s="83"/>
      <c r="AI29" s="85"/>
      <c r="AJ29" s="83"/>
      <c r="AK29" s="86"/>
      <c r="AL29" s="70">
        <f>+지급비율!AB66*$I29</f>
        <v>0</v>
      </c>
      <c r="AM29" s="87"/>
      <c r="AN29" s="87"/>
      <c r="AO29" s="83"/>
      <c r="AP29" s="85"/>
      <c r="AQ29" s="83"/>
      <c r="AR29" s="86"/>
      <c r="AS29" s="70">
        <f>+지급비율!AI66*$I29</f>
        <v>0</v>
      </c>
      <c r="AT29" s="87"/>
      <c r="AU29" s="87"/>
      <c r="AV29" s="83"/>
      <c r="AW29" s="85"/>
      <c r="AX29" s="83"/>
      <c r="AY29" s="86"/>
      <c r="AZ29" s="70">
        <f>+지급비율!AP66*$I29</f>
        <v>0</v>
      </c>
      <c r="BA29" s="87"/>
      <c r="BB29" s="87"/>
      <c r="BC29" s="83"/>
      <c r="BD29" s="85"/>
      <c r="BE29" s="83"/>
      <c r="BF29" s="86"/>
      <c r="BG29" s="70">
        <f>+지급비율!AW66*$I29</f>
        <v>0</v>
      </c>
      <c r="BH29" s="87"/>
      <c r="BI29" s="87"/>
      <c r="BJ29" s="83"/>
      <c r="BK29" s="78">
        <v>46173</v>
      </c>
      <c r="BL29" s="101"/>
      <c r="BM29" s="86"/>
      <c r="BN29" s="70">
        <f>+지급비율!BD66*$I29</f>
        <v>42542500</v>
      </c>
      <c r="BO29" s="87"/>
      <c r="BP29" s="70">
        <f t="shared" si="3"/>
        <v>42542500</v>
      </c>
      <c r="BQ29" s="83"/>
      <c r="BR29" s="88"/>
      <c r="BS29" s="89" t="b">
        <f>+Q29+X29+AE29+AS29+AZ29+BG29+BN29=I29</f>
        <v>1</v>
      </c>
      <c r="BT29" s="90" t="b">
        <f>+R29+Y29+AF29+AT29+BA29+BH29+BO29=K29</f>
        <v>1</v>
      </c>
      <c r="BU29" s="90"/>
      <c r="BV29" s="54"/>
      <c r="BW29" s="54"/>
      <c r="BX29" s="54"/>
      <c r="BY29" s="54"/>
      <c r="BZ29" s="54"/>
      <c r="CA29" s="54"/>
      <c r="CB29" s="54"/>
      <c r="CC29" s="54"/>
      <c r="CD29" s="58"/>
      <c r="CE29" s="58"/>
    </row>
    <row r="30" spans="1:83" ht="16.5" customHeight="1">
      <c r="A30" s="62"/>
      <c r="B30" s="1336"/>
      <c r="C30" s="1539"/>
      <c r="D30" s="1342"/>
      <c r="E30" s="1345"/>
      <c r="F30" s="91" t="s">
        <v>392</v>
      </c>
      <c r="G30" s="92">
        <f>SUM(G26:G29)</f>
        <v>392275000</v>
      </c>
      <c r="H30" s="92">
        <f>SUM(H26:H29)</f>
        <v>39227500</v>
      </c>
      <c r="I30" s="92">
        <f>SUM(I26:I29)</f>
        <v>431502500</v>
      </c>
      <c r="J30" s="91">
        <f t="shared" si="0"/>
        <v>0</v>
      </c>
      <c r="K30" s="92">
        <f>SUM(K26:K29)</f>
        <v>0</v>
      </c>
      <c r="L30" s="92">
        <f>SUM(L26:L29)</f>
        <v>431502500</v>
      </c>
      <c r="M30" s="419">
        <f>+Q27+Q28</f>
        <v>36465000</v>
      </c>
      <c r="N30" s="93"/>
      <c r="O30" s="91"/>
      <c r="P30" s="94">
        <f>+IFERROR(Q30/$I30,"-")</f>
        <v>8.4507042253521125E-2</v>
      </c>
      <c r="Q30" s="92">
        <f>SUM(Q26:Q29)</f>
        <v>36465000</v>
      </c>
      <c r="R30" s="92">
        <f>SUM(R26:R29)</f>
        <v>0</v>
      </c>
      <c r="S30" s="95">
        <f>+Q30-R30</f>
        <v>36465000</v>
      </c>
      <c r="T30" s="91"/>
      <c r="U30" s="93"/>
      <c r="V30" s="91"/>
      <c r="W30" s="94">
        <f>+IFERROR(X30/$I30,"-")</f>
        <v>2.8169014084507043E-2</v>
      </c>
      <c r="X30" s="92">
        <f>SUM(X26:X29)</f>
        <v>12155000</v>
      </c>
      <c r="Y30" s="92">
        <f>SUM(Y26:Y29)</f>
        <v>0</v>
      </c>
      <c r="Z30" s="95">
        <f>+X30-Y30</f>
        <v>12155000</v>
      </c>
      <c r="AA30" s="91"/>
      <c r="AB30" s="93"/>
      <c r="AC30" s="91"/>
      <c r="AD30" s="94">
        <f>+IFERROR(AE30/$I30,"-")</f>
        <v>0.45070422535211269</v>
      </c>
      <c r="AE30" s="92">
        <f>SUM(AE26:AE29)</f>
        <v>194480000</v>
      </c>
      <c r="AF30" s="92">
        <f>SUM(AF26:AF29)</f>
        <v>0</v>
      </c>
      <c r="AG30" s="95">
        <f>+AE30-AF30</f>
        <v>194480000</v>
      </c>
      <c r="AH30" s="91"/>
      <c r="AI30" s="93"/>
      <c r="AJ30" s="91"/>
      <c r="AK30" s="94">
        <f>+IFERROR(AL30/$I30,"-")</f>
        <v>0</v>
      </c>
      <c r="AL30" s="92">
        <f>SUM(AL26:AL29)</f>
        <v>0</v>
      </c>
      <c r="AM30" s="92">
        <f>SUM(AM26:AM29)</f>
        <v>0</v>
      </c>
      <c r="AN30" s="95">
        <f>+AL30-AM30</f>
        <v>0</v>
      </c>
      <c r="AO30" s="91"/>
      <c r="AP30" s="93"/>
      <c r="AQ30" s="91"/>
      <c r="AR30" s="94">
        <f>+IFERROR(AS30/$I30,"-")</f>
        <v>0</v>
      </c>
      <c r="AS30" s="92">
        <f>SUM(AS26:AS29)</f>
        <v>0</v>
      </c>
      <c r="AT30" s="92">
        <f>SUM(AT26:AT29)</f>
        <v>0</v>
      </c>
      <c r="AU30" s="95">
        <f>+AS30-AT30</f>
        <v>0</v>
      </c>
      <c r="AV30" s="91"/>
      <c r="AW30" s="93"/>
      <c r="AX30" s="91"/>
      <c r="AY30" s="94">
        <f>+IFERROR(AZ30/$I30,"-")</f>
        <v>0</v>
      </c>
      <c r="AZ30" s="92">
        <f>SUM(AZ26:AZ29)</f>
        <v>0</v>
      </c>
      <c r="BA30" s="92">
        <f>SUM(BA26:BA29)</f>
        <v>0</v>
      </c>
      <c r="BB30" s="95">
        <f>+AZ30-BA30</f>
        <v>0</v>
      </c>
      <c r="BC30" s="91"/>
      <c r="BD30" s="93"/>
      <c r="BE30" s="91"/>
      <c r="BF30" s="94">
        <f>+IFERROR(BG30/$I30,"-")</f>
        <v>0.24788732394366197</v>
      </c>
      <c r="BG30" s="92">
        <f>SUM(BG26:BG29)</f>
        <v>106964000</v>
      </c>
      <c r="BH30" s="92">
        <f>SUM(BH26:BH29)</f>
        <v>0</v>
      </c>
      <c r="BI30" s="95">
        <f>+BG30-BH30</f>
        <v>106964000</v>
      </c>
      <c r="BJ30" s="91"/>
      <c r="BK30" s="93"/>
      <c r="BL30" s="91"/>
      <c r="BM30" s="94">
        <f>+IFERROR(BN30/$I30,"-")</f>
        <v>0.18873239436619718</v>
      </c>
      <c r="BN30" s="92">
        <f>SUM(BN26:BN29)</f>
        <v>81438500</v>
      </c>
      <c r="BO30" s="92">
        <f>SUM(BO26:BO29)</f>
        <v>0</v>
      </c>
      <c r="BP30" s="95">
        <f t="shared" si="3"/>
        <v>81438500</v>
      </c>
      <c r="BQ30" s="91"/>
      <c r="BR30" s="88"/>
      <c r="BS30" s="96"/>
      <c r="BT30" s="97"/>
      <c r="BU30" s="97"/>
      <c r="BV30" s="54"/>
      <c r="BW30" s="54"/>
      <c r="BX30" s="54"/>
      <c r="BY30" s="54"/>
      <c r="BZ30" s="54"/>
      <c r="CA30" s="54"/>
      <c r="CB30" s="54"/>
      <c r="CC30" s="54"/>
      <c r="CD30" s="58"/>
      <c r="CE30" s="58"/>
    </row>
    <row r="31" spans="1:83" ht="16.5" customHeight="1">
      <c r="A31" s="62"/>
      <c r="B31" s="1334">
        <f t="shared" ref="B31" si="12">+B26+1</f>
        <v>5</v>
      </c>
      <c r="C31" s="1337" t="s">
        <v>907</v>
      </c>
      <c r="D31" s="1340">
        <v>1207</v>
      </c>
      <c r="E31" s="1343" t="s">
        <v>387</v>
      </c>
      <c r="F31" s="63" t="s">
        <v>388</v>
      </c>
      <c r="G31" s="64">
        <f>+지급비율!F59*$D$31/1000</f>
        <v>1327700000</v>
      </c>
      <c r="H31" s="64">
        <f>+G31*10%</f>
        <v>132770000</v>
      </c>
      <c r="I31" s="64">
        <f>SUM(G31:H31)</f>
        <v>1460470000</v>
      </c>
      <c r="J31" s="65">
        <f t="shared" si="0"/>
        <v>0</v>
      </c>
      <c r="K31" s="70">
        <f>+IFERROR(R31+Y31+AF31+AT31+BA31+BH31+BO31,"-")</f>
        <v>0</v>
      </c>
      <c r="L31" s="70">
        <f>+I31-K31</f>
        <v>1460470000</v>
      </c>
      <c r="M31" s="1331" t="s">
        <v>407</v>
      </c>
      <c r="N31" s="67"/>
      <c r="O31" s="72"/>
      <c r="P31" s="69"/>
      <c r="Q31" s="70">
        <f>+지급비율!G59*$I31</f>
        <v>0</v>
      </c>
      <c r="R31" s="70"/>
      <c r="S31" s="70">
        <f>+Q31-R31</f>
        <v>0</v>
      </c>
      <c r="T31" s="81"/>
      <c r="U31" s="67"/>
      <c r="V31" s="68"/>
      <c r="W31" s="69"/>
      <c r="X31" s="70">
        <f>+지급비율!N59*$I31</f>
        <v>0</v>
      </c>
      <c r="Y31" s="70"/>
      <c r="Z31" s="70">
        <f>+X31-Y31</f>
        <v>0</v>
      </c>
      <c r="AA31" s="81"/>
      <c r="AB31" s="67">
        <f>+EDATE(AI31,1)</f>
        <v>46081</v>
      </c>
      <c r="AC31" s="68"/>
      <c r="AD31" s="69"/>
      <c r="AE31" s="70">
        <f>+지급비율!U59*$I31</f>
        <v>730235000</v>
      </c>
      <c r="AF31" s="70"/>
      <c r="AG31" s="70">
        <f>+AE31-AF31</f>
        <v>730235000</v>
      </c>
      <c r="AH31" s="81"/>
      <c r="AI31" s="67">
        <f>+EDATE(AP31,-1)</f>
        <v>46050</v>
      </c>
      <c r="AJ31" s="68"/>
      <c r="AK31" s="69"/>
      <c r="AL31" s="70">
        <f>+지급비율!AB59*$I31</f>
        <v>0</v>
      </c>
      <c r="AM31" s="70"/>
      <c r="AN31" s="70">
        <f>+AL31-AM31</f>
        <v>0</v>
      </c>
      <c r="AO31" s="81"/>
      <c r="AP31" s="67">
        <f>+EDATE(AW31,-1)</f>
        <v>46081</v>
      </c>
      <c r="AQ31" s="68"/>
      <c r="AR31" s="69"/>
      <c r="AS31" s="70">
        <f>+지급비율!AI59*$I31</f>
        <v>0</v>
      </c>
      <c r="AT31" s="70"/>
      <c r="AU31" s="70">
        <f>+AS31-AT31</f>
        <v>0</v>
      </c>
      <c r="AV31" s="81"/>
      <c r="AW31" s="67">
        <f>+EDATE(BD31,-1)</f>
        <v>46111</v>
      </c>
      <c r="AX31" s="68"/>
      <c r="AY31" s="69"/>
      <c r="AZ31" s="70">
        <f>+지급비율!AP59*$I31</f>
        <v>0</v>
      </c>
      <c r="BA31" s="70"/>
      <c r="BB31" s="70">
        <f>+AZ31-BA31</f>
        <v>0</v>
      </c>
      <c r="BC31" s="81"/>
      <c r="BD31" s="67">
        <f>+EDATE(BK31,-1)</f>
        <v>46142</v>
      </c>
      <c r="BE31" s="68"/>
      <c r="BF31" s="69"/>
      <c r="BG31" s="70">
        <f>+지급비율!AW59*$I31</f>
        <v>584188000</v>
      </c>
      <c r="BH31" s="70"/>
      <c r="BI31" s="70">
        <f>+BG31-BH31</f>
        <v>584188000</v>
      </c>
      <c r="BJ31" s="81"/>
      <c r="BK31" s="78">
        <v>46173</v>
      </c>
      <c r="BL31" s="68"/>
      <c r="BM31" s="69"/>
      <c r="BN31" s="70">
        <f>+지급비율!BD59*$I31</f>
        <v>146047000</v>
      </c>
      <c r="BO31" s="70"/>
      <c r="BP31" s="70">
        <f t="shared" si="3"/>
        <v>146047000</v>
      </c>
      <c r="BQ31" s="81"/>
      <c r="BR31" s="73"/>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35"/>
      <c r="C32" s="1338"/>
      <c r="D32" s="1341"/>
      <c r="E32" s="1344"/>
      <c r="F32" s="75" t="s">
        <v>389</v>
      </c>
      <c r="G32" s="76">
        <f>+지급비율!F60*$D$31/1000</f>
        <v>362100000</v>
      </c>
      <c r="H32" s="76">
        <f>+G32*10%</f>
        <v>36210000</v>
      </c>
      <c r="I32" s="76">
        <f>SUM(G32:H32)</f>
        <v>398310000</v>
      </c>
      <c r="J32" s="75">
        <f t="shared" si="0"/>
        <v>0</v>
      </c>
      <c r="K32" s="80">
        <f>+IFERROR(R32+Y32+AF32+AT32+BA32+BH32+BO32,"-")</f>
        <v>0</v>
      </c>
      <c r="L32" s="80">
        <f>+I32-K32</f>
        <v>398310000</v>
      </c>
      <c r="M32" s="1332"/>
      <c r="N32" s="78">
        <v>46022</v>
      </c>
      <c r="O32" s="78"/>
      <c r="P32" s="79">
        <f>+IFERROR(Q32/$I32,"-")</f>
        <v>0.3</v>
      </c>
      <c r="Q32" s="80">
        <f>+지급비율!G60*$I32</f>
        <v>119493000</v>
      </c>
      <c r="R32" s="80"/>
      <c r="S32" s="80">
        <f>+Q32-R32</f>
        <v>119493000</v>
      </c>
      <c r="T32" s="81"/>
      <c r="U32" s="78">
        <v>46053</v>
      </c>
      <c r="V32" s="78"/>
      <c r="W32" s="79">
        <f>+IFERROR(X32/$I32,"-")</f>
        <v>0.1</v>
      </c>
      <c r="X32" s="70">
        <f>+지급비율!N60*$I32</f>
        <v>39831000</v>
      </c>
      <c r="Y32" s="70"/>
      <c r="Z32" s="70">
        <f>+X32-Y32</f>
        <v>39831000</v>
      </c>
      <c r="AA32" s="161"/>
      <c r="AB32" s="78">
        <v>46081</v>
      </c>
      <c r="AC32" s="78"/>
      <c r="AD32" s="79">
        <f>+IFERROR(AE32/$I32,"-")</f>
        <v>0.5</v>
      </c>
      <c r="AE32" s="70">
        <f>+지급비율!U60*$I32</f>
        <v>199155000</v>
      </c>
      <c r="AF32" s="70"/>
      <c r="AG32" s="70">
        <f>+AE32-AF32</f>
        <v>199155000</v>
      </c>
      <c r="AH32" s="161"/>
      <c r="AI32" s="78"/>
      <c r="AJ32" s="78"/>
      <c r="AK32" s="79">
        <f>+IFERROR(AL32/$I32,"-")</f>
        <v>0</v>
      </c>
      <c r="AL32" s="70">
        <f>+지급비율!AB60*$I32</f>
        <v>0</v>
      </c>
      <c r="AM32" s="70"/>
      <c r="AN32" s="70">
        <f>+AL32-AM32</f>
        <v>0</v>
      </c>
      <c r="AO32" s="161"/>
      <c r="AP32" s="78"/>
      <c r="AQ32" s="78"/>
      <c r="AR32" s="79">
        <f>+IFERROR(AS32/$I32,"-")</f>
        <v>0</v>
      </c>
      <c r="AS32" s="70">
        <f>+지급비율!AI60*$I32</f>
        <v>0</v>
      </c>
      <c r="AT32" s="70"/>
      <c r="AU32" s="70">
        <f>+AS32-AT32</f>
        <v>0</v>
      </c>
      <c r="AV32" s="161"/>
      <c r="AW32" s="78"/>
      <c r="AX32" s="78"/>
      <c r="AY32" s="79">
        <f>+IFERROR(AZ32/$I32,"-")</f>
        <v>0</v>
      </c>
      <c r="AZ32" s="70">
        <f>+지급비율!AP60*$I32</f>
        <v>0</v>
      </c>
      <c r="BA32" s="70"/>
      <c r="BB32" s="70">
        <f>+AZ32-BA32</f>
        <v>0</v>
      </c>
      <c r="BC32" s="161"/>
      <c r="BD32" s="78"/>
      <c r="BE32" s="78"/>
      <c r="BF32" s="79">
        <f>+IFERROR(BG32/$I32,"-")</f>
        <v>0</v>
      </c>
      <c r="BG32" s="70">
        <f>+지급비율!AW60*$I32</f>
        <v>0</v>
      </c>
      <c r="BH32" s="70"/>
      <c r="BI32" s="70">
        <f>+BG32-BH32</f>
        <v>0</v>
      </c>
      <c r="BJ32" s="161"/>
      <c r="BK32" s="78">
        <v>46173</v>
      </c>
      <c r="BL32" s="78"/>
      <c r="BM32" s="79">
        <f>+IFERROR(BN32/$I32,"-")</f>
        <v>0.1</v>
      </c>
      <c r="BN32" s="70">
        <f>+지급비율!BD60*$I32</f>
        <v>39831000</v>
      </c>
      <c r="BO32" s="70"/>
      <c r="BP32" s="70">
        <f t="shared" si="3"/>
        <v>39831000</v>
      </c>
      <c r="BQ32" s="161"/>
      <c r="BR32" s="73"/>
      <c r="BS32" s="74" t="b">
        <f>+Q32+X32+AE32+AS32+AZ32+BG32+BN32=I32</f>
        <v>1</v>
      </c>
      <c r="BT32" s="74" t="b">
        <f>+R32+Y32+AF32+AT32+BA32+BH32+BO32=K32</f>
        <v>1</v>
      </c>
      <c r="BU32" s="74" t="b">
        <f>+BG32+BG33+AZ32+AZ33+AS32+AS33+AE32+AE33+X32+X33+Q32+Q33+BN32+BN33=([5]지급비율!$F$39+[5]지급비율!$F$40)*1.1*D31/1000</f>
        <v>0</v>
      </c>
      <c r="BV32" s="54"/>
      <c r="BW32" s="54"/>
      <c r="BX32" s="54"/>
      <c r="BY32" s="54"/>
      <c r="BZ32" s="54"/>
      <c r="CA32" s="54"/>
      <c r="CB32" s="54"/>
      <c r="CC32" s="54"/>
      <c r="CD32" s="58"/>
      <c r="CE32" s="58"/>
    </row>
    <row r="33" spans="1:83" ht="16.5" customHeight="1">
      <c r="A33" s="62"/>
      <c r="B33" s="1335"/>
      <c r="C33" s="1338"/>
      <c r="D33" s="1341"/>
      <c r="E33" s="1344"/>
      <c r="F33" s="75" t="s">
        <v>390</v>
      </c>
      <c r="G33" s="76">
        <f>+지급비율!F61*$D$31/1000</f>
        <v>241400000</v>
      </c>
      <c r="H33" s="76">
        <f>+G33*10%</f>
        <v>24140000</v>
      </c>
      <c r="I33" s="76">
        <f>SUM(G33:H33)</f>
        <v>265540000</v>
      </c>
      <c r="J33" s="75">
        <f t="shared" si="0"/>
        <v>0</v>
      </c>
      <c r="K33" s="80">
        <f>+IFERROR(R33+Y33+AF33+AT33+BA33+BH33+BO33,"-")</f>
        <v>0</v>
      </c>
      <c r="L33" s="80">
        <f>+I33-K33</f>
        <v>265540000</v>
      </c>
      <c r="M33" s="1332"/>
      <c r="N33" s="78">
        <v>46022</v>
      </c>
      <c r="O33" s="72"/>
      <c r="P33" s="79">
        <f>+IFERROR(Q33/$I33,"-")</f>
        <v>0.3</v>
      </c>
      <c r="Q33" s="80">
        <f>+지급비율!G61*$I33</f>
        <v>79662000</v>
      </c>
      <c r="R33" s="80"/>
      <c r="S33" s="80">
        <f>+Q33-R33</f>
        <v>79662000</v>
      </c>
      <c r="T33" s="81"/>
      <c r="U33" s="78">
        <v>46053</v>
      </c>
      <c r="V33" s="72"/>
      <c r="W33" s="79">
        <f>+IFERROR(X33/$I33,"-")</f>
        <v>0.1</v>
      </c>
      <c r="X33" s="70">
        <f>+지급비율!N61*$I33</f>
        <v>26554000</v>
      </c>
      <c r="Y33" s="70"/>
      <c r="Z33" s="70">
        <f>+X33-Y33</f>
        <v>26554000</v>
      </c>
      <c r="AA33" s="161"/>
      <c r="AB33" s="78">
        <v>46081</v>
      </c>
      <c r="AC33" s="72"/>
      <c r="AD33" s="79">
        <f>+IFERROR(AE33/$I33,"-")</f>
        <v>0.5</v>
      </c>
      <c r="AE33" s="70">
        <f>+지급비율!U61*$I33</f>
        <v>132770000</v>
      </c>
      <c r="AF33" s="70"/>
      <c r="AG33" s="70">
        <f>+AE33-AF33</f>
        <v>132770000</v>
      </c>
      <c r="AH33" s="161"/>
      <c r="AI33" s="72"/>
      <c r="AJ33" s="72"/>
      <c r="AK33" s="79">
        <f>+IFERROR(AL33/$I33,"-")</f>
        <v>0</v>
      </c>
      <c r="AL33" s="70">
        <f>+지급비율!AB61*$I33</f>
        <v>0</v>
      </c>
      <c r="AM33" s="70"/>
      <c r="AN33" s="70">
        <f>+AL33-AM33</f>
        <v>0</v>
      </c>
      <c r="AO33" s="161"/>
      <c r="AP33" s="72"/>
      <c r="AQ33" s="72"/>
      <c r="AR33" s="79">
        <f>+IFERROR(AS33/$I33,"-")</f>
        <v>0</v>
      </c>
      <c r="AS33" s="70">
        <f>+지급비율!AI61*$I33</f>
        <v>0</v>
      </c>
      <c r="AT33" s="70"/>
      <c r="AU33" s="70">
        <f>+AS33-AT33</f>
        <v>0</v>
      </c>
      <c r="AV33" s="161"/>
      <c r="AW33" s="72"/>
      <c r="AX33" s="72"/>
      <c r="AY33" s="79">
        <f>+IFERROR(AZ33/$I33,"-")</f>
        <v>0</v>
      </c>
      <c r="AZ33" s="70">
        <f>+지급비율!AP61*$I33</f>
        <v>0</v>
      </c>
      <c r="BA33" s="70"/>
      <c r="BB33" s="70">
        <f>+AZ33-BA33</f>
        <v>0</v>
      </c>
      <c r="BC33" s="161"/>
      <c r="BD33" s="72"/>
      <c r="BE33" s="72"/>
      <c r="BF33" s="79">
        <f>+IFERROR(BG33/$I33,"-")</f>
        <v>0</v>
      </c>
      <c r="BG33" s="70">
        <f>+지급비율!AW61*$I33</f>
        <v>0</v>
      </c>
      <c r="BH33" s="70"/>
      <c r="BI33" s="70">
        <f>+BG33-BH33</f>
        <v>0</v>
      </c>
      <c r="BJ33" s="161"/>
      <c r="BK33" s="78">
        <v>46173</v>
      </c>
      <c r="BL33" s="72"/>
      <c r="BM33" s="79">
        <f>+IFERROR(BN33/$I33,"-")</f>
        <v>0.1</v>
      </c>
      <c r="BN33" s="70">
        <f>+지급비율!BD61*$I33</f>
        <v>26554000</v>
      </c>
      <c r="BO33" s="70"/>
      <c r="BP33" s="70">
        <f t="shared" si="3"/>
        <v>26554000</v>
      </c>
      <c r="BQ33" s="161"/>
      <c r="BR33" s="73"/>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35"/>
      <c r="C34" s="1338"/>
      <c r="D34" s="1341"/>
      <c r="E34" s="1344"/>
      <c r="F34" s="101" t="s">
        <v>391</v>
      </c>
      <c r="G34" s="102">
        <f>+지급비율!F62*$D$31/1000</f>
        <v>241400000</v>
      </c>
      <c r="H34" s="102">
        <f>+G34*0.1</f>
        <v>24140000</v>
      </c>
      <c r="I34" s="102">
        <f>SUM(G34:H34)</f>
        <v>265540000</v>
      </c>
      <c r="J34" s="101">
        <f t="shared" si="0"/>
        <v>0</v>
      </c>
      <c r="K34" s="106">
        <f>+IFERROR(R34+Y34+AF34+AT34+BA34+BH34+BO34,"-")</f>
        <v>0</v>
      </c>
      <c r="L34" s="106">
        <f>+I34-K34</f>
        <v>265540000</v>
      </c>
      <c r="M34" s="1333"/>
      <c r="N34" s="85"/>
      <c r="O34" s="83"/>
      <c r="P34" s="86"/>
      <c r="Q34" s="70">
        <f>+지급비율!G62*$I34</f>
        <v>0</v>
      </c>
      <c r="R34" s="87"/>
      <c r="S34" s="87"/>
      <c r="T34" s="83"/>
      <c r="U34" s="85"/>
      <c r="V34" s="83"/>
      <c r="W34" s="86"/>
      <c r="X34" s="70">
        <f>+지급비율!N62*$I34</f>
        <v>0</v>
      </c>
      <c r="Y34" s="87"/>
      <c r="Z34" s="87"/>
      <c r="AA34" s="83"/>
      <c r="AB34" s="85"/>
      <c r="AC34" s="83"/>
      <c r="AD34" s="86"/>
      <c r="AE34" s="70">
        <f>+지급비율!U62*$I34</f>
        <v>0</v>
      </c>
      <c r="AF34" s="87"/>
      <c r="AG34" s="87"/>
      <c r="AH34" s="83"/>
      <c r="AI34" s="85"/>
      <c r="AJ34" s="83"/>
      <c r="AK34" s="86"/>
      <c r="AL34" s="70">
        <f>+지급비율!AB62*$I34</f>
        <v>0</v>
      </c>
      <c r="AM34" s="87"/>
      <c r="AN34" s="87"/>
      <c r="AO34" s="83"/>
      <c r="AP34" s="85"/>
      <c r="AQ34" s="83"/>
      <c r="AR34" s="86"/>
      <c r="AS34" s="70">
        <f>+지급비율!AI62*$I34</f>
        <v>0</v>
      </c>
      <c r="AT34" s="87"/>
      <c r="AU34" s="87"/>
      <c r="AV34" s="83"/>
      <c r="AW34" s="85"/>
      <c r="AX34" s="83"/>
      <c r="AY34" s="86"/>
      <c r="AZ34" s="70">
        <f>+지급비율!AP62*$I34</f>
        <v>0</v>
      </c>
      <c r="BA34" s="87"/>
      <c r="BB34" s="87"/>
      <c r="BC34" s="83"/>
      <c r="BD34" s="85"/>
      <c r="BE34" s="83"/>
      <c r="BF34" s="86"/>
      <c r="BG34" s="70">
        <f>+지급비율!AW62*$I34</f>
        <v>0</v>
      </c>
      <c r="BH34" s="87"/>
      <c r="BI34" s="87"/>
      <c r="BJ34" s="83"/>
      <c r="BK34" s="78">
        <v>46173</v>
      </c>
      <c r="BL34" s="101"/>
      <c r="BM34" s="86"/>
      <c r="BN34" s="70">
        <f>+지급비율!BD62*$I34</f>
        <v>265540000</v>
      </c>
      <c r="BO34" s="87"/>
      <c r="BP34" s="70">
        <f t="shared" si="3"/>
        <v>265540000</v>
      </c>
      <c r="BQ34" s="83"/>
      <c r="BR34" s="88"/>
      <c r="BS34" s="89" t="b">
        <f>+Q34+X34+AE34+AS34+AZ34+BG34+BN34=I34</f>
        <v>1</v>
      </c>
      <c r="BT34" s="90" t="b">
        <f>+R34+Y34+AF34+AT34+BA34+BH34+BO34=K34</f>
        <v>1</v>
      </c>
      <c r="BU34" s="90"/>
      <c r="BV34" s="54"/>
      <c r="BW34" s="54"/>
      <c r="BX34" s="54"/>
      <c r="BY34" s="54"/>
      <c r="BZ34" s="54"/>
      <c r="CA34" s="54"/>
      <c r="CB34" s="54"/>
      <c r="CC34" s="54"/>
      <c r="CD34" s="58"/>
      <c r="CE34" s="58"/>
    </row>
    <row r="35" spans="1:83" ht="16.5" customHeight="1">
      <c r="A35" s="62"/>
      <c r="B35" s="1336"/>
      <c r="C35" s="1339"/>
      <c r="D35" s="1342"/>
      <c r="E35" s="1345"/>
      <c r="F35" s="91" t="s">
        <v>392</v>
      </c>
      <c r="G35" s="92">
        <f>SUM(G31:G34)</f>
        <v>2172600000</v>
      </c>
      <c r="H35" s="92">
        <f>SUM(H31:H34)</f>
        <v>217260000</v>
      </c>
      <c r="I35" s="92">
        <f>SUM(I31:I34)</f>
        <v>2389860000</v>
      </c>
      <c r="J35" s="91">
        <f t="shared" si="0"/>
        <v>0</v>
      </c>
      <c r="K35" s="92">
        <f>SUM(K31:K34)</f>
        <v>0</v>
      </c>
      <c r="L35" s="92">
        <f>SUM(L31:L34)</f>
        <v>2389860000</v>
      </c>
      <c r="M35" s="419">
        <f>+Q32+Q33</f>
        <v>199155000</v>
      </c>
      <c r="N35" s="93"/>
      <c r="O35" s="91"/>
      <c r="P35" s="94">
        <f>+IFERROR(Q35/$I35,"-")</f>
        <v>8.3333333333333329E-2</v>
      </c>
      <c r="Q35" s="92">
        <f>SUM(Q31:Q34)</f>
        <v>199155000</v>
      </c>
      <c r="R35" s="92">
        <f>SUM(R31:R34)</f>
        <v>0</v>
      </c>
      <c r="S35" s="95">
        <f>+Q35-R35</f>
        <v>199155000</v>
      </c>
      <c r="T35" s="91"/>
      <c r="U35" s="93"/>
      <c r="V35" s="91"/>
      <c r="W35" s="94">
        <f>+IFERROR(X35/$I35,"-")</f>
        <v>2.7777777777777776E-2</v>
      </c>
      <c r="X35" s="92">
        <f>SUM(X31:X34)</f>
        <v>66385000</v>
      </c>
      <c r="Y35" s="92">
        <f>SUM(Y31:Y34)</f>
        <v>0</v>
      </c>
      <c r="Z35" s="95">
        <f>+X35-Y35</f>
        <v>66385000</v>
      </c>
      <c r="AA35" s="91"/>
      <c r="AB35" s="93"/>
      <c r="AC35" s="91"/>
      <c r="AD35" s="94">
        <f>+IFERROR(AE35/$I35,"-")</f>
        <v>0.44444444444444442</v>
      </c>
      <c r="AE35" s="92">
        <f>SUM(AE31:AE34)</f>
        <v>1062160000</v>
      </c>
      <c r="AF35" s="92">
        <f>SUM(AF31:AF34)</f>
        <v>0</v>
      </c>
      <c r="AG35" s="95">
        <f>+AE35-AF35</f>
        <v>1062160000</v>
      </c>
      <c r="AH35" s="91"/>
      <c r="AI35" s="93"/>
      <c r="AJ35" s="91"/>
      <c r="AK35" s="94">
        <f>+IFERROR(AL35/$I35,"-")</f>
        <v>0</v>
      </c>
      <c r="AL35" s="92">
        <f>SUM(AL31:AL34)</f>
        <v>0</v>
      </c>
      <c r="AM35" s="92">
        <f>SUM(AM31:AM34)</f>
        <v>0</v>
      </c>
      <c r="AN35" s="95">
        <f>+AL35-AM35</f>
        <v>0</v>
      </c>
      <c r="AO35" s="91"/>
      <c r="AP35" s="93"/>
      <c r="AQ35" s="91"/>
      <c r="AR35" s="94">
        <f>+IFERROR(AS35/$I35,"-")</f>
        <v>0</v>
      </c>
      <c r="AS35" s="92">
        <f>SUM(AS31:AS34)</f>
        <v>0</v>
      </c>
      <c r="AT35" s="92">
        <f>SUM(AT31:AT34)</f>
        <v>0</v>
      </c>
      <c r="AU35" s="95">
        <f>+AS35-AT35</f>
        <v>0</v>
      </c>
      <c r="AV35" s="91"/>
      <c r="AW35" s="93"/>
      <c r="AX35" s="91"/>
      <c r="AY35" s="94">
        <f>+IFERROR(AZ35/$I35,"-")</f>
        <v>0</v>
      </c>
      <c r="AZ35" s="92">
        <f>SUM(AZ31:AZ34)</f>
        <v>0</v>
      </c>
      <c r="BA35" s="92">
        <f>SUM(BA31:BA34)</f>
        <v>0</v>
      </c>
      <c r="BB35" s="95">
        <f>+AZ35-BA35</f>
        <v>0</v>
      </c>
      <c r="BC35" s="91"/>
      <c r="BD35" s="93"/>
      <c r="BE35" s="91"/>
      <c r="BF35" s="94">
        <f>+IFERROR(BG35/$I35,"-")</f>
        <v>0.24444444444444444</v>
      </c>
      <c r="BG35" s="92">
        <f>SUM(BG31:BG34)</f>
        <v>584188000</v>
      </c>
      <c r="BH35" s="92">
        <f>SUM(BH31:BH34)</f>
        <v>0</v>
      </c>
      <c r="BI35" s="95">
        <f>+BG35-BH35</f>
        <v>584188000</v>
      </c>
      <c r="BJ35" s="91"/>
      <c r="BK35" s="93"/>
      <c r="BL35" s="91"/>
      <c r="BM35" s="94">
        <f>+IFERROR(BN35/$I35,"-")</f>
        <v>0.2</v>
      </c>
      <c r="BN35" s="92">
        <f>SUM(BN31:BN34)</f>
        <v>477972000</v>
      </c>
      <c r="BO35" s="92">
        <f>SUM(BO31:BO34)</f>
        <v>0</v>
      </c>
      <c r="BP35" s="95">
        <f t="shared" si="3"/>
        <v>477972000</v>
      </c>
      <c r="BQ35" s="91"/>
      <c r="BR35" s="88"/>
      <c r="BS35" s="96"/>
      <c r="BT35" s="97"/>
      <c r="BU35" s="97"/>
      <c r="BV35" s="54"/>
      <c r="BW35" s="54"/>
      <c r="BX35" s="54"/>
      <c r="BY35" s="54"/>
      <c r="BZ35" s="54"/>
      <c r="CA35" s="54"/>
      <c r="CB35" s="54"/>
      <c r="CC35" s="54"/>
      <c r="CD35" s="58"/>
      <c r="CE35" s="58"/>
    </row>
    <row r="36" spans="1:83" ht="16.5" customHeight="1">
      <c r="A36" s="62"/>
      <c r="B36" s="1334">
        <f t="shared" ref="B36" si="13">+B31+1</f>
        <v>6</v>
      </c>
      <c r="C36" s="1533" t="s">
        <v>908</v>
      </c>
      <c r="D36" s="1340">
        <v>991</v>
      </c>
      <c r="E36" s="1343" t="s">
        <v>387</v>
      </c>
      <c r="F36" s="63" t="s">
        <v>388</v>
      </c>
      <c r="G36" s="64">
        <f>+지급비율!F63*$D$36/1000</f>
        <v>1090100000</v>
      </c>
      <c r="H36" s="64">
        <f>+G36*10%</f>
        <v>109010000</v>
      </c>
      <c r="I36" s="64">
        <f>SUM(G36:H36)</f>
        <v>1199110000</v>
      </c>
      <c r="J36" s="65">
        <f t="shared" si="0"/>
        <v>0</v>
      </c>
      <c r="K36" s="70">
        <f>+IFERROR(R36+Y36+AF36+AT36+BA36+BH36+BO36,"-")</f>
        <v>0</v>
      </c>
      <c r="L36" s="70">
        <f>+I36-K36</f>
        <v>1199110000</v>
      </c>
      <c r="M36" s="1331" t="s">
        <v>407</v>
      </c>
      <c r="N36" s="67"/>
      <c r="O36" s="72"/>
      <c r="P36" s="69"/>
      <c r="Q36" s="70">
        <f>+지급비율!G63*$I36</f>
        <v>0</v>
      </c>
      <c r="R36" s="70"/>
      <c r="S36" s="70">
        <f>+Q36-R36</f>
        <v>0</v>
      </c>
      <c r="T36" s="81"/>
      <c r="U36" s="67"/>
      <c r="V36" s="68"/>
      <c r="W36" s="69"/>
      <c r="X36" s="70">
        <f>+지급비율!N63*$I36</f>
        <v>0</v>
      </c>
      <c r="Y36" s="70"/>
      <c r="Z36" s="70">
        <f>+X36-Y36</f>
        <v>0</v>
      </c>
      <c r="AA36" s="81"/>
      <c r="AB36" s="67">
        <f>+EDATE(AI36,0)</f>
        <v>46050</v>
      </c>
      <c r="AC36" s="68"/>
      <c r="AD36" s="69"/>
      <c r="AE36" s="70">
        <f>+지급비율!U63*$I36</f>
        <v>599555000</v>
      </c>
      <c r="AF36" s="70"/>
      <c r="AG36" s="70">
        <f>+AE36-AF36</f>
        <v>599555000</v>
      </c>
      <c r="AH36" s="81"/>
      <c r="AI36" s="67">
        <f>+EDATE(AP36,-1)</f>
        <v>46050</v>
      </c>
      <c r="AJ36" s="68"/>
      <c r="AK36" s="69"/>
      <c r="AL36" s="70">
        <f>+지급비율!AB63*$I36</f>
        <v>0</v>
      </c>
      <c r="AM36" s="70"/>
      <c r="AN36" s="70">
        <f>+AL36-AM36</f>
        <v>0</v>
      </c>
      <c r="AO36" s="81"/>
      <c r="AP36" s="67">
        <f>+EDATE(AW36,-1)</f>
        <v>46081</v>
      </c>
      <c r="AQ36" s="68"/>
      <c r="AR36" s="69"/>
      <c r="AS36" s="70">
        <f>+지급비율!AI63*$I36</f>
        <v>0</v>
      </c>
      <c r="AT36" s="70"/>
      <c r="AU36" s="70">
        <f>+AS36-AT36</f>
        <v>0</v>
      </c>
      <c r="AV36" s="81"/>
      <c r="AW36" s="67">
        <f>+EDATE(BD36,-1)</f>
        <v>46111</v>
      </c>
      <c r="AX36" s="68"/>
      <c r="AY36" s="69"/>
      <c r="AZ36" s="70">
        <f>+지급비율!AP63*$I36</f>
        <v>0</v>
      </c>
      <c r="BA36" s="70"/>
      <c r="BB36" s="70">
        <f>+AZ36-BA36</f>
        <v>0</v>
      </c>
      <c r="BC36" s="81"/>
      <c r="BD36" s="67">
        <f>+EDATE(BK36,-1)</f>
        <v>46142</v>
      </c>
      <c r="BE36" s="68"/>
      <c r="BF36" s="69"/>
      <c r="BG36" s="70">
        <f>+지급비율!AW63*$I36</f>
        <v>479644000</v>
      </c>
      <c r="BH36" s="70"/>
      <c r="BI36" s="70">
        <f>+BG36-BH36</f>
        <v>479644000</v>
      </c>
      <c r="BJ36" s="81"/>
      <c r="BK36" s="78">
        <v>46173</v>
      </c>
      <c r="BL36" s="68"/>
      <c r="BM36" s="69"/>
      <c r="BN36" s="70">
        <f>+지급비율!BD63*$I36</f>
        <v>119911000</v>
      </c>
      <c r="BO36" s="70"/>
      <c r="BP36" s="70">
        <f t="shared" si="3"/>
        <v>119911000</v>
      </c>
      <c r="BQ36" s="81"/>
      <c r="BR36" s="73"/>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35"/>
      <c r="C37" s="1534"/>
      <c r="D37" s="1341"/>
      <c r="E37" s="1344"/>
      <c r="F37" s="75" t="s">
        <v>389</v>
      </c>
      <c r="G37" s="76">
        <f>+지급비율!F64*$D$36/1000</f>
        <v>297300000</v>
      </c>
      <c r="H37" s="76">
        <f>+G37*10%</f>
        <v>29730000</v>
      </c>
      <c r="I37" s="76">
        <f>SUM(G37:H37)</f>
        <v>327030000</v>
      </c>
      <c r="J37" s="75">
        <f t="shared" si="0"/>
        <v>0.3</v>
      </c>
      <c r="K37" s="80">
        <f>+IFERROR(R37+Y37+AF37+AT37+BA37+BH37+BO37,"-")</f>
        <v>98109000</v>
      </c>
      <c r="L37" s="80">
        <f>+I37-K37</f>
        <v>228921000</v>
      </c>
      <c r="M37" s="1332"/>
      <c r="N37" s="78">
        <v>45991</v>
      </c>
      <c r="O37" s="78">
        <v>45982</v>
      </c>
      <c r="P37" s="79">
        <f>+IFERROR(Q37/$I37,"-")</f>
        <v>0.3</v>
      </c>
      <c r="Q37" s="80">
        <f>+지급비율!G64*$I37</f>
        <v>98109000</v>
      </c>
      <c r="R37" s="80">
        <f>+Q37</f>
        <v>98109000</v>
      </c>
      <c r="S37" s="80">
        <f>+Q37-R37</f>
        <v>0</v>
      </c>
      <c r="T37" s="81"/>
      <c r="U37" s="78">
        <v>46022</v>
      </c>
      <c r="V37" s="78"/>
      <c r="W37" s="79">
        <f>+IFERROR(X37/$I37,"-")</f>
        <v>0.1</v>
      </c>
      <c r="X37" s="70">
        <f>+지급비율!N64*$I37</f>
        <v>32703000</v>
      </c>
      <c r="Y37" s="70"/>
      <c r="Z37" s="70">
        <f>+X37-Y37</f>
        <v>32703000</v>
      </c>
      <c r="AA37" s="161"/>
      <c r="AB37" s="78">
        <v>46053</v>
      </c>
      <c r="AC37" s="78"/>
      <c r="AD37" s="79">
        <f>+IFERROR(AE37/$I37,"-")</f>
        <v>0.5</v>
      </c>
      <c r="AE37" s="70">
        <f>+지급비율!U64*$I37</f>
        <v>163515000</v>
      </c>
      <c r="AF37" s="70"/>
      <c r="AG37" s="70">
        <f>+AE37-AF37</f>
        <v>163515000</v>
      </c>
      <c r="AH37" s="161"/>
      <c r="AI37" s="78"/>
      <c r="AJ37" s="78"/>
      <c r="AK37" s="79">
        <f>+IFERROR(AL37/$I37,"-")</f>
        <v>0</v>
      </c>
      <c r="AL37" s="70">
        <f>+지급비율!AB64*$I37</f>
        <v>0</v>
      </c>
      <c r="AM37" s="70"/>
      <c r="AN37" s="70">
        <f>+AL37-AM37</f>
        <v>0</v>
      </c>
      <c r="AO37" s="161"/>
      <c r="AP37" s="78"/>
      <c r="AQ37" s="78"/>
      <c r="AR37" s="79">
        <f>+IFERROR(AS37/$I37,"-")</f>
        <v>0</v>
      </c>
      <c r="AS37" s="70">
        <f>+지급비율!AI64*$I37</f>
        <v>0</v>
      </c>
      <c r="AT37" s="70"/>
      <c r="AU37" s="70">
        <f>+AS37-AT37</f>
        <v>0</v>
      </c>
      <c r="AV37" s="161"/>
      <c r="AW37" s="78"/>
      <c r="AX37" s="78"/>
      <c r="AY37" s="79">
        <f>+IFERROR(AZ37/$I37,"-")</f>
        <v>0</v>
      </c>
      <c r="AZ37" s="70">
        <f>+지급비율!AP64*$I37</f>
        <v>0</v>
      </c>
      <c r="BA37" s="70"/>
      <c r="BB37" s="70">
        <f>+AZ37-BA37</f>
        <v>0</v>
      </c>
      <c r="BC37" s="161"/>
      <c r="BD37" s="78"/>
      <c r="BE37" s="78"/>
      <c r="BF37" s="79">
        <f>+IFERROR(BG37/$I37,"-")</f>
        <v>0</v>
      </c>
      <c r="BG37" s="70">
        <f>+지급비율!AW64*$I37</f>
        <v>0</v>
      </c>
      <c r="BH37" s="70"/>
      <c r="BI37" s="70">
        <f>+BG37-BH37</f>
        <v>0</v>
      </c>
      <c r="BJ37" s="161"/>
      <c r="BK37" s="78">
        <v>46173</v>
      </c>
      <c r="BL37" s="78"/>
      <c r="BM37" s="79">
        <f>+IFERROR(BN37/$I37,"-")</f>
        <v>0.1</v>
      </c>
      <c r="BN37" s="70">
        <f>+지급비율!BD64*$I37</f>
        <v>32703000</v>
      </c>
      <c r="BO37" s="70"/>
      <c r="BP37" s="70">
        <f t="shared" si="3"/>
        <v>32703000</v>
      </c>
      <c r="BQ37" s="161"/>
      <c r="BR37" s="73"/>
      <c r="BS37" s="74" t="b">
        <f>+Q37+X37+AE37+AS37+AZ37+BG37+BN37=I37</f>
        <v>1</v>
      </c>
      <c r="BT37" s="74" t="b">
        <f>+R37+Y37+AF37+AT37+BA37+BH37+BO37=K37</f>
        <v>1</v>
      </c>
      <c r="BU37" s="74"/>
      <c r="BV37" s="54"/>
      <c r="BW37" s="54"/>
      <c r="BX37" s="54"/>
      <c r="BY37" s="54"/>
      <c r="BZ37" s="54"/>
      <c r="CA37" s="54"/>
      <c r="CB37" s="54"/>
      <c r="CC37" s="54"/>
      <c r="CD37" s="58"/>
      <c r="CE37" s="58"/>
    </row>
    <row r="38" spans="1:83" ht="16.5" customHeight="1">
      <c r="A38" s="62"/>
      <c r="B38" s="1335"/>
      <c r="C38" s="1534"/>
      <c r="D38" s="1341"/>
      <c r="E38" s="1344"/>
      <c r="F38" s="75" t="s">
        <v>390</v>
      </c>
      <c r="G38" s="76">
        <f>+지급비율!F65*$D$36/1000</f>
        <v>198200000</v>
      </c>
      <c r="H38" s="76">
        <f>+G38*10%</f>
        <v>19820000</v>
      </c>
      <c r="I38" s="76">
        <f>SUM(G38:H38)</f>
        <v>218020000</v>
      </c>
      <c r="J38" s="75">
        <f t="shared" si="0"/>
        <v>0.3</v>
      </c>
      <c r="K38" s="80">
        <f>+IFERROR(R38+Y38+AF38+AT38+BA38+BH38+BO38,"-")</f>
        <v>65406000</v>
      </c>
      <c r="L38" s="80">
        <f>+I38-K38</f>
        <v>152614000</v>
      </c>
      <c r="M38" s="1332"/>
      <c r="N38" s="78">
        <v>45991</v>
      </c>
      <c r="O38" s="78">
        <v>45982</v>
      </c>
      <c r="P38" s="79">
        <f>+IFERROR(Q38/$I38,"-")</f>
        <v>0.3</v>
      </c>
      <c r="Q38" s="80">
        <f>+지급비율!G65*$I38</f>
        <v>65406000</v>
      </c>
      <c r="R38" s="80">
        <f>+Q38</f>
        <v>65406000</v>
      </c>
      <c r="S38" s="80">
        <f>+Q38-R38</f>
        <v>0</v>
      </c>
      <c r="T38" s="81"/>
      <c r="U38" s="78">
        <v>46022</v>
      </c>
      <c r="V38" s="72"/>
      <c r="W38" s="79">
        <f>+IFERROR(X38/$I38,"-")</f>
        <v>0.1</v>
      </c>
      <c r="X38" s="70">
        <f>+지급비율!N65*$I38</f>
        <v>21802000</v>
      </c>
      <c r="Y38" s="70"/>
      <c r="Z38" s="70">
        <f>+X38-Y38</f>
        <v>21802000</v>
      </c>
      <c r="AA38" s="161"/>
      <c r="AB38" s="78">
        <v>46053</v>
      </c>
      <c r="AC38" s="72"/>
      <c r="AD38" s="79">
        <f>+IFERROR(AE38/$I38,"-")</f>
        <v>0.5</v>
      </c>
      <c r="AE38" s="70">
        <f>+지급비율!U65*$I38</f>
        <v>109010000</v>
      </c>
      <c r="AF38" s="70"/>
      <c r="AG38" s="70">
        <f>+AE38-AF38</f>
        <v>109010000</v>
      </c>
      <c r="AH38" s="161"/>
      <c r="AI38" s="72"/>
      <c r="AJ38" s="72"/>
      <c r="AK38" s="79">
        <f>+IFERROR(AL38/$I38,"-")</f>
        <v>0</v>
      </c>
      <c r="AL38" s="70">
        <f>+지급비율!AB65*$I38</f>
        <v>0</v>
      </c>
      <c r="AM38" s="70"/>
      <c r="AN38" s="70">
        <f>+AL38-AM38</f>
        <v>0</v>
      </c>
      <c r="AO38" s="161"/>
      <c r="AP38" s="72"/>
      <c r="AQ38" s="72"/>
      <c r="AR38" s="79">
        <f>+IFERROR(AS38/$I38,"-")</f>
        <v>0</v>
      </c>
      <c r="AS38" s="70">
        <f>+지급비율!AI65*$I38</f>
        <v>0</v>
      </c>
      <c r="AT38" s="70"/>
      <c r="AU38" s="70">
        <f>+AS38-AT38</f>
        <v>0</v>
      </c>
      <c r="AV38" s="161"/>
      <c r="AW38" s="72"/>
      <c r="AX38" s="72"/>
      <c r="AY38" s="79">
        <f>+IFERROR(AZ38/$I38,"-")</f>
        <v>0</v>
      </c>
      <c r="AZ38" s="70">
        <f>+지급비율!AP65*$I38</f>
        <v>0</v>
      </c>
      <c r="BA38" s="70"/>
      <c r="BB38" s="70">
        <f>+AZ38-BA38</f>
        <v>0</v>
      </c>
      <c r="BC38" s="161"/>
      <c r="BD38" s="72"/>
      <c r="BE38" s="72"/>
      <c r="BF38" s="79">
        <f>+IFERROR(BG38/$I38,"-")</f>
        <v>0</v>
      </c>
      <c r="BG38" s="70">
        <f>+지급비율!AW65*$I38</f>
        <v>0</v>
      </c>
      <c r="BH38" s="70"/>
      <c r="BI38" s="70">
        <f>+BG38-BH38</f>
        <v>0</v>
      </c>
      <c r="BJ38" s="161"/>
      <c r="BK38" s="78">
        <v>46173</v>
      </c>
      <c r="BL38" s="72"/>
      <c r="BM38" s="79">
        <f>+IFERROR(BN38/$I38,"-")</f>
        <v>0.1</v>
      </c>
      <c r="BN38" s="70">
        <f>+지급비율!BD65*$I38</f>
        <v>21802000</v>
      </c>
      <c r="BO38" s="70"/>
      <c r="BP38" s="70">
        <f t="shared" si="3"/>
        <v>21802000</v>
      </c>
      <c r="BQ38" s="161"/>
      <c r="BR38" s="73"/>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35"/>
      <c r="C39" s="1534"/>
      <c r="D39" s="1341"/>
      <c r="E39" s="1344"/>
      <c r="F39" s="101" t="s">
        <v>391</v>
      </c>
      <c r="G39" s="102">
        <f>250000000*$D$36/1000</f>
        <v>247750000</v>
      </c>
      <c r="H39" s="102">
        <f>+G39*0.1</f>
        <v>24775000</v>
      </c>
      <c r="I39" s="102">
        <f>SUM(G39:H39)</f>
        <v>272525000</v>
      </c>
      <c r="J39" s="101">
        <f t="shared" si="0"/>
        <v>0</v>
      </c>
      <c r="K39" s="106">
        <f>+IFERROR(R39+Y39+AF39+AT39+BA39+BH39+BO39,"-")</f>
        <v>0</v>
      </c>
      <c r="L39" s="106">
        <f>+I39-K39</f>
        <v>272525000</v>
      </c>
      <c r="M39" s="1333"/>
      <c r="N39" s="85"/>
      <c r="O39" s="83"/>
      <c r="P39" s="86"/>
      <c r="Q39" s="70">
        <f>+지급비율!G66*$I39</f>
        <v>0</v>
      </c>
      <c r="R39" s="87"/>
      <c r="S39" s="87"/>
      <c r="T39" s="83"/>
      <c r="U39" s="85"/>
      <c r="V39" s="83"/>
      <c r="W39" s="86"/>
      <c r="X39" s="70">
        <f>+지급비율!N66*$I39</f>
        <v>0</v>
      </c>
      <c r="Y39" s="87"/>
      <c r="Z39" s="87"/>
      <c r="AA39" s="83"/>
      <c r="AB39" s="85"/>
      <c r="AC39" s="83"/>
      <c r="AD39" s="86"/>
      <c r="AE39" s="70">
        <f>+지급비율!U66*$I39</f>
        <v>0</v>
      </c>
      <c r="AF39" s="87"/>
      <c r="AG39" s="87"/>
      <c r="AH39" s="83"/>
      <c r="AI39" s="85"/>
      <c r="AJ39" s="83"/>
      <c r="AK39" s="86"/>
      <c r="AL39" s="70">
        <f>+지급비율!AB66*$I39</f>
        <v>0</v>
      </c>
      <c r="AM39" s="87"/>
      <c r="AN39" s="87"/>
      <c r="AO39" s="83"/>
      <c r="AP39" s="85"/>
      <c r="AQ39" s="83"/>
      <c r="AR39" s="86"/>
      <c r="AS39" s="70">
        <f>+지급비율!AI66*$I39</f>
        <v>0</v>
      </c>
      <c r="AT39" s="87"/>
      <c r="AU39" s="87"/>
      <c r="AV39" s="83"/>
      <c r="AW39" s="85"/>
      <c r="AX39" s="83"/>
      <c r="AY39" s="86"/>
      <c r="AZ39" s="70">
        <f>+지급비율!AP66*$I39</f>
        <v>0</v>
      </c>
      <c r="BA39" s="87"/>
      <c r="BB39" s="87"/>
      <c r="BC39" s="83"/>
      <c r="BD39" s="85"/>
      <c r="BE39" s="83"/>
      <c r="BF39" s="86"/>
      <c r="BG39" s="70">
        <f>+지급비율!AW66*$I39</f>
        <v>0</v>
      </c>
      <c r="BH39" s="87"/>
      <c r="BI39" s="87"/>
      <c r="BJ39" s="83"/>
      <c r="BK39" s="78">
        <v>46173</v>
      </c>
      <c r="BL39" s="101"/>
      <c r="BM39" s="86"/>
      <c r="BN39" s="70">
        <f>+지급비율!BD66*$I39</f>
        <v>272525000</v>
      </c>
      <c r="BO39" s="87"/>
      <c r="BP39" s="70">
        <f t="shared" si="3"/>
        <v>272525000</v>
      </c>
      <c r="BQ39" s="83"/>
      <c r="BR39" s="88"/>
      <c r="BS39" s="89" t="b">
        <f>+Q39+X39+AE39+AS39+AZ39+BG39+BN39=I39</f>
        <v>1</v>
      </c>
      <c r="BT39" s="90" t="b">
        <f>+R39+Y39+AF39+AT39+BA39+BH39+BO39=K39</f>
        <v>1</v>
      </c>
      <c r="BU39" s="90"/>
      <c r="BV39" s="54"/>
      <c r="BW39" s="54"/>
      <c r="BX39" s="54"/>
      <c r="BY39" s="54"/>
      <c r="BZ39" s="54"/>
      <c r="CA39" s="54"/>
      <c r="CB39" s="54"/>
      <c r="CC39" s="54"/>
      <c r="CD39" s="58"/>
      <c r="CE39" s="58"/>
    </row>
    <row r="40" spans="1:83" ht="16.5" customHeight="1">
      <c r="A40" s="62"/>
      <c r="B40" s="1336"/>
      <c r="C40" s="1535"/>
      <c r="D40" s="1342"/>
      <c r="E40" s="1345"/>
      <c r="F40" s="91" t="s">
        <v>392</v>
      </c>
      <c r="G40" s="92">
        <f>SUM(G36:G39)</f>
        <v>1833350000</v>
      </c>
      <c r="H40" s="92">
        <f>SUM(H36:H39)</f>
        <v>183335000</v>
      </c>
      <c r="I40" s="92">
        <f>SUM(I36:I39)</f>
        <v>2016685000</v>
      </c>
      <c r="J40" s="91">
        <f t="shared" si="0"/>
        <v>8.1081081081081086E-2</v>
      </c>
      <c r="K40" s="92">
        <f>SUM(K36:K39)</f>
        <v>163515000</v>
      </c>
      <c r="L40" s="92">
        <f>SUM(L36:L39)</f>
        <v>1853170000</v>
      </c>
      <c r="M40" s="419">
        <f>+Q37+Q38</f>
        <v>163515000</v>
      </c>
      <c r="N40" s="93"/>
      <c r="O40" s="91"/>
      <c r="P40" s="94">
        <f>+IFERROR(Q40/$I40,"-")</f>
        <v>8.1081081081081086E-2</v>
      </c>
      <c r="Q40" s="92">
        <f>SUM(Q36:Q39)</f>
        <v>163515000</v>
      </c>
      <c r="R40" s="92">
        <f>SUM(R36:R39)</f>
        <v>163515000</v>
      </c>
      <c r="S40" s="95">
        <f>+Q40-R40</f>
        <v>0</v>
      </c>
      <c r="T40" s="91"/>
      <c r="U40" s="93"/>
      <c r="V40" s="91"/>
      <c r="W40" s="94">
        <f>+IFERROR(X40/$I40,"-")</f>
        <v>2.7027027027027029E-2</v>
      </c>
      <c r="X40" s="92">
        <f>SUM(X36:X39)</f>
        <v>54505000</v>
      </c>
      <c r="Y40" s="92">
        <f>SUM(Y36:Y39)</f>
        <v>0</v>
      </c>
      <c r="Z40" s="95">
        <f>+X40-Y40</f>
        <v>54505000</v>
      </c>
      <c r="AA40" s="91"/>
      <c r="AB40" s="93"/>
      <c r="AC40" s="91"/>
      <c r="AD40" s="94">
        <f>+IFERROR(AE40/$I40,"-")</f>
        <v>0.43243243243243246</v>
      </c>
      <c r="AE40" s="92">
        <f>SUM(AE36:AE39)</f>
        <v>872080000</v>
      </c>
      <c r="AF40" s="92">
        <f>SUM(AF36:AF39)</f>
        <v>0</v>
      </c>
      <c r="AG40" s="95">
        <f>+AE40-AF40</f>
        <v>872080000</v>
      </c>
      <c r="AH40" s="91"/>
      <c r="AI40" s="93"/>
      <c r="AJ40" s="91"/>
      <c r="AK40" s="94">
        <f>+IFERROR(AL40/$I40,"-")</f>
        <v>0</v>
      </c>
      <c r="AL40" s="92">
        <f>SUM(AL36:AL39)</f>
        <v>0</v>
      </c>
      <c r="AM40" s="92">
        <f>SUM(AM36:AM39)</f>
        <v>0</v>
      </c>
      <c r="AN40" s="95">
        <f>+AL40-AM40</f>
        <v>0</v>
      </c>
      <c r="AO40" s="91"/>
      <c r="AP40" s="93"/>
      <c r="AQ40" s="91"/>
      <c r="AR40" s="94">
        <f>+IFERROR(AS40/$I40,"-")</f>
        <v>0</v>
      </c>
      <c r="AS40" s="92">
        <f>SUM(AS36:AS39)</f>
        <v>0</v>
      </c>
      <c r="AT40" s="92">
        <f>SUM(AT36:AT39)</f>
        <v>0</v>
      </c>
      <c r="AU40" s="95">
        <f>+AS40-AT40</f>
        <v>0</v>
      </c>
      <c r="AV40" s="91"/>
      <c r="AW40" s="93"/>
      <c r="AX40" s="91"/>
      <c r="AY40" s="94">
        <f>+IFERROR(AZ40/$I40,"-")</f>
        <v>0</v>
      </c>
      <c r="AZ40" s="92">
        <f>SUM(AZ36:AZ39)</f>
        <v>0</v>
      </c>
      <c r="BA40" s="92">
        <f>SUM(BA36:BA39)</f>
        <v>0</v>
      </c>
      <c r="BB40" s="95">
        <f>+AZ40-BA40</f>
        <v>0</v>
      </c>
      <c r="BC40" s="91"/>
      <c r="BD40" s="93"/>
      <c r="BE40" s="91"/>
      <c r="BF40" s="94">
        <f>+IFERROR(BG40/$I40,"-")</f>
        <v>0.23783783783783785</v>
      </c>
      <c r="BG40" s="92">
        <f>SUM(BG36:BG39)</f>
        <v>479644000</v>
      </c>
      <c r="BH40" s="92">
        <f>SUM(BH36:BH39)</f>
        <v>0</v>
      </c>
      <c r="BI40" s="95">
        <f>+BG40-BH40</f>
        <v>479644000</v>
      </c>
      <c r="BJ40" s="91"/>
      <c r="BK40" s="93"/>
      <c r="BL40" s="91"/>
      <c r="BM40" s="94">
        <f>+IFERROR(BN40/$I40,"-")</f>
        <v>0.22162162162162163</v>
      </c>
      <c r="BN40" s="92">
        <f>SUM(BN36:BN39)</f>
        <v>446941000</v>
      </c>
      <c r="BO40" s="92">
        <f>SUM(BO36:BO39)</f>
        <v>0</v>
      </c>
      <c r="BP40" s="95">
        <f t="shared" si="3"/>
        <v>446941000</v>
      </c>
      <c r="BQ40" s="91"/>
      <c r="BR40" s="88"/>
      <c r="BS40" s="96"/>
      <c r="BT40" s="97"/>
      <c r="BU40" s="97"/>
      <c r="BV40" s="54"/>
      <c r="BW40" s="54"/>
      <c r="BX40" s="54"/>
      <c r="BY40" s="54"/>
      <c r="BZ40" s="54"/>
      <c r="CA40" s="54"/>
      <c r="CB40" s="54"/>
      <c r="CC40" s="54"/>
      <c r="CD40" s="58"/>
      <c r="CE40" s="58"/>
    </row>
    <row r="41" spans="1:83" ht="16.5" customHeight="1">
      <c r="A41" s="62"/>
      <c r="B41" s="1334">
        <f t="shared" ref="B41" si="14">+B36+1</f>
        <v>7</v>
      </c>
      <c r="C41" s="1337" t="s">
        <v>909</v>
      </c>
      <c r="D41" s="1340">
        <v>461</v>
      </c>
      <c r="E41" s="1343" t="s">
        <v>387</v>
      </c>
      <c r="F41" s="63" t="s">
        <v>388</v>
      </c>
      <c r="G41" s="64">
        <f>+지급비율!F59*$D$41/1000</f>
        <v>507100000</v>
      </c>
      <c r="H41" s="64">
        <f>+G41*10%</f>
        <v>50710000</v>
      </c>
      <c r="I41" s="64">
        <f>SUM(G41:H41)</f>
        <v>557810000</v>
      </c>
      <c r="J41" s="65">
        <f t="shared" si="0"/>
        <v>0</v>
      </c>
      <c r="K41" s="70">
        <f>+IFERROR(R41+Y41+AF41+AT41+BA41+BH41+BO41,"-")</f>
        <v>0</v>
      </c>
      <c r="L41" s="70">
        <f>+I41-K41</f>
        <v>557810000</v>
      </c>
      <c r="M41" s="1331" t="s">
        <v>407</v>
      </c>
      <c r="N41" s="67"/>
      <c r="O41" s="72"/>
      <c r="P41" s="69"/>
      <c r="Q41" s="70">
        <f>+지급비율!G59*$I41</f>
        <v>0</v>
      </c>
      <c r="R41" s="70"/>
      <c r="S41" s="70">
        <f>+Q41-R41</f>
        <v>0</v>
      </c>
      <c r="T41" s="81"/>
      <c r="U41" s="67"/>
      <c r="V41" s="68"/>
      <c r="W41" s="69"/>
      <c r="X41" s="70">
        <f>+지급비율!N59*$I41</f>
        <v>0</v>
      </c>
      <c r="Y41" s="70"/>
      <c r="Z41" s="70">
        <f>+X41-Y41</f>
        <v>0</v>
      </c>
      <c r="AA41" s="81"/>
      <c r="AB41" s="67">
        <f>+EDATE(AI41,1)</f>
        <v>46081</v>
      </c>
      <c r="AC41" s="68"/>
      <c r="AD41" s="79">
        <f>+IFERROR(AE41/$I41,"-")</f>
        <v>0.5</v>
      </c>
      <c r="AE41" s="70">
        <f>+지급비율!U59*$I41</f>
        <v>278905000</v>
      </c>
      <c r="AF41" s="70"/>
      <c r="AG41" s="70">
        <f>+AE41-AF41</f>
        <v>278905000</v>
      </c>
      <c r="AH41" s="81"/>
      <c r="AI41" s="67">
        <f>+EDATE(AP41,-1)</f>
        <v>46050</v>
      </c>
      <c r="AJ41" s="68"/>
      <c r="AK41" s="69"/>
      <c r="AL41" s="70">
        <f>+지급비율!AB59*$I41</f>
        <v>0</v>
      </c>
      <c r="AM41" s="70"/>
      <c r="AN41" s="70">
        <f>+AL41-AM41</f>
        <v>0</v>
      </c>
      <c r="AO41" s="81"/>
      <c r="AP41" s="67">
        <f>+EDATE(AW41,-1)</f>
        <v>46081</v>
      </c>
      <c r="AQ41" s="68"/>
      <c r="AR41" s="69"/>
      <c r="AS41" s="70">
        <f>+지급비율!AI59*$I41</f>
        <v>0</v>
      </c>
      <c r="AT41" s="70"/>
      <c r="AU41" s="70">
        <f>+AS41-AT41</f>
        <v>0</v>
      </c>
      <c r="AV41" s="81"/>
      <c r="AW41" s="67">
        <f>+EDATE(BD41,-1)</f>
        <v>46111</v>
      </c>
      <c r="AX41" s="68"/>
      <c r="AY41" s="69"/>
      <c r="AZ41" s="70">
        <f>+지급비율!AP59*$I41</f>
        <v>0</v>
      </c>
      <c r="BA41" s="70"/>
      <c r="BB41" s="70">
        <f>+AZ41-BA41</f>
        <v>0</v>
      </c>
      <c r="BC41" s="81"/>
      <c r="BD41" s="67">
        <f>+EDATE(BK41,-1)</f>
        <v>46142</v>
      </c>
      <c r="BE41" s="68"/>
      <c r="BF41" s="79">
        <f>+IFERROR(BG41/$I41,"-")</f>
        <v>0.4</v>
      </c>
      <c r="BG41" s="70">
        <f>+지급비율!AW59*$I41</f>
        <v>223124000</v>
      </c>
      <c r="BH41" s="70"/>
      <c r="BI41" s="70">
        <f>+BG41-BH41</f>
        <v>223124000</v>
      </c>
      <c r="BJ41" s="81"/>
      <c r="BK41" s="78">
        <v>46173</v>
      </c>
      <c r="BL41" s="68"/>
      <c r="BM41" s="79">
        <f>+IFERROR(BN41/$I41,"-")</f>
        <v>0.1</v>
      </c>
      <c r="BN41" s="70">
        <f>+지급비율!BD59*$I41</f>
        <v>55781000</v>
      </c>
      <c r="BO41" s="70"/>
      <c r="BP41" s="70">
        <f t="shared" si="3"/>
        <v>55781000</v>
      </c>
      <c r="BQ41" s="81"/>
      <c r="BR41" s="73"/>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35"/>
      <c r="C42" s="1338"/>
      <c r="D42" s="1341"/>
      <c r="E42" s="1344"/>
      <c r="F42" s="75" t="s">
        <v>389</v>
      </c>
      <c r="G42" s="76">
        <f>+지급비율!F60*$D$41/1000</f>
        <v>138300000</v>
      </c>
      <c r="H42" s="76">
        <f>+G42*10%</f>
        <v>13830000</v>
      </c>
      <c r="I42" s="76">
        <f>SUM(G42:H42)</f>
        <v>152130000</v>
      </c>
      <c r="J42" s="75">
        <f t="shared" si="0"/>
        <v>0</v>
      </c>
      <c r="K42" s="80">
        <f>+IFERROR(R42+Y42+AF42+AT42+BA42+BH42+BO42,"-")</f>
        <v>0</v>
      </c>
      <c r="L42" s="80">
        <f>+I42-K42</f>
        <v>152130000</v>
      </c>
      <c r="M42" s="1332"/>
      <c r="N42" s="78">
        <v>46022</v>
      </c>
      <c r="O42" s="78"/>
      <c r="P42" s="79">
        <f>+IFERROR(Q42/$I42,"-")</f>
        <v>0.3</v>
      </c>
      <c r="Q42" s="80">
        <f>+지급비율!G60*$I42</f>
        <v>45639000</v>
      </c>
      <c r="R42" s="80"/>
      <c r="S42" s="80">
        <f>+Q42-R42</f>
        <v>45639000</v>
      </c>
      <c r="T42" s="81"/>
      <c r="U42" s="78">
        <v>46053</v>
      </c>
      <c r="V42" s="78"/>
      <c r="W42" s="79">
        <f>+IFERROR(X42/$I42,"-")</f>
        <v>0.1</v>
      </c>
      <c r="X42" s="70">
        <f>+지급비율!N60*$I42</f>
        <v>15213000</v>
      </c>
      <c r="Y42" s="70"/>
      <c r="Z42" s="70">
        <f>+X42-Y42</f>
        <v>15213000</v>
      </c>
      <c r="AA42" s="161"/>
      <c r="AB42" s="78">
        <v>46081</v>
      </c>
      <c r="AC42" s="78"/>
      <c r="AD42" s="79">
        <f>+IFERROR(AE42/$I42,"-")</f>
        <v>0.5</v>
      </c>
      <c r="AE42" s="70">
        <f>+지급비율!U60*$I42</f>
        <v>76065000</v>
      </c>
      <c r="AF42" s="70"/>
      <c r="AG42" s="70">
        <f>+AE42-AF42</f>
        <v>76065000</v>
      </c>
      <c r="AH42" s="161"/>
      <c r="AI42" s="78"/>
      <c r="AJ42" s="78"/>
      <c r="AK42" s="79">
        <f>+IFERROR(AL42/$I42,"-")</f>
        <v>0</v>
      </c>
      <c r="AL42" s="70">
        <f>+지급비율!AB60*$I42</f>
        <v>0</v>
      </c>
      <c r="AM42" s="70"/>
      <c r="AN42" s="70">
        <f>+AL42-AM42</f>
        <v>0</v>
      </c>
      <c r="AO42" s="161"/>
      <c r="AP42" s="78"/>
      <c r="AQ42" s="78"/>
      <c r="AR42" s="79">
        <f>+IFERROR(AS42/$I42,"-")</f>
        <v>0</v>
      </c>
      <c r="AS42" s="70">
        <f>+지급비율!AI60*$I42</f>
        <v>0</v>
      </c>
      <c r="AT42" s="70"/>
      <c r="AU42" s="70">
        <f>+AS42-AT42</f>
        <v>0</v>
      </c>
      <c r="AV42" s="161"/>
      <c r="AW42" s="78"/>
      <c r="AX42" s="78"/>
      <c r="AY42" s="79">
        <f>+IFERROR(AZ42/$I42,"-")</f>
        <v>0</v>
      </c>
      <c r="AZ42" s="70">
        <f>+지급비율!AP60*$I42</f>
        <v>0</v>
      </c>
      <c r="BA42" s="70"/>
      <c r="BB42" s="70">
        <f>+AZ42-BA42</f>
        <v>0</v>
      </c>
      <c r="BC42" s="161"/>
      <c r="BD42" s="78"/>
      <c r="BE42" s="78"/>
      <c r="BF42" s="79">
        <f>+IFERROR(BG42/$I42,"-")</f>
        <v>0</v>
      </c>
      <c r="BG42" s="70">
        <f>+지급비율!AW60*$I42</f>
        <v>0</v>
      </c>
      <c r="BH42" s="70"/>
      <c r="BI42" s="70">
        <f>+BG42-BH42</f>
        <v>0</v>
      </c>
      <c r="BJ42" s="161"/>
      <c r="BK42" s="78">
        <v>46173</v>
      </c>
      <c r="BL42" s="78"/>
      <c r="BM42" s="79">
        <f>+IFERROR(BN42/$I42,"-")</f>
        <v>0.1</v>
      </c>
      <c r="BN42" s="70">
        <f>+지급비율!BD60*$I42</f>
        <v>15213000</v>
      </c>
      <c r="BO42" s="70"/>
      <c r="BP42" s="70">
        <f t="shared" si="3"/>
        <v>15213000</v>
      </c>
      <c r="BQ42" s="161"/>
      <c r="BR42" s="73"/>
      <c r="BS42" s="74" t="b">
        <f>+Q42+X42+AE42+AS42+AZ42+BG42+BN42=I42</f>
        <v>1</v>
      </c>
      <c r="BT42" s="74" t="b">
        <f>+R42+Y42+AF42+AT42+BA42+BH42+BO42=K42</f>
        <v>1</v>
      </c>
      <c r="BU42" s="74"/>
      <c r="BV42" s="54"/>
      <c r="BW42" s="54"/>
      <c r="BX42" s="54"/>
      <c r="BY42" s="54"/>
      <c r="BZ42" s="54"/>
      <c r="CA42" s="54"/>
      <c r="CB42" s="54"/>
      <c r="CC42" s="54"/>
      <c r="CD42" s="58"/>
      <c r="CE42" s="58"/>
    </row>
    <row r="43" spans="1:83" ht="16.5" customHeight="1">
      <c r="A43" s="62"/>
      <c r="B43" s="1335"/>
      <c r="C43" s="1338"/>
      <c r="D43" s="1341"/>
      <c r="E43" s="1344"/>
      <c r="F43" s="75" t="s">
        <v>390</v>
      </c>
      <c r="G43" s="76">
        <f>+지급비율!F61*$D$41/1000</f>
        <v>92200000</v>
      </c>
      <c r="H43" s="76">
        <f>+G43*10%</f>
        <v>9220000</v>
      </c>
      <c r="I43" s="76">
        <f>SUM(G43:H43)</f>
        <v>101420000</v>
      </c>
      <c r="J43" s="75">
        <f t="shared" si="0"/>
        <v>0</v>
      </c>
      <c r="K43" s="80">
        <f>+IFERROR(R43+Y43+AF43+AT43+BA43+BH43+BO43,"-")</f>
        <v>0</v>
      </c>
      <c r="L43" s="80">
        <f>+I43-K43</f>
        <v>101420000</v>
      </c>
      <c r="M43" s="1332"/>
      <c r="N43" s="78">
        <v>46022</v>
      </c>
      <c r="O43" s="72"/>
      <c r="P43" s="79">
        <f>+IFERROR(Q43/$I43,"-")</f>
        <v>0.3</v>
      </c>
      <c r="Q43" s="80">
        <f>+지급비율!G61*$I43</f>
        <v>30426000</v>
      </c>
      <c r="R43" s="80"/>
      <c r="S43" s="80">
        <f>+Q43-R43</f>
        <v>30426000</v>
      </c>
      <c r="T43" s="81"/>
      <c r="U43" s="78">
        <v>46053</v>
      </c>
      <c r="V43" s="72"/>
      <c r="W43" s="79">
        <f>+IFERROR(X43/$I43,"-")</f>
        <v>0.1</v>
      </c>
      <c r="X43" s="70">
        <f>+지급비율!N61*$I43</f>
        <v>10142000</v>
      </c>
      <c r="Y43" s="70"/>
      <c r="Z43" s="70">
        <f>+X43-Y43</f>
        <v>10142000</v>
      </c>
      <c r="AA43" s="161"/>
      <c r="AB43" s="78">
        <v>46081</v>
      </c>
      <c r="AC43" s="72"/>
      <c r="AD43" s="79">
        <f>+IFERROR(AE43/$I43,"-")</f>
        <v>0.5</v>
      </c>
      <c r="AE43" s="70">
        <f>+지급비율!U61*$I43</f>
        <v>50710000</v>
      </c>
      <c r="AF43" s="70"/>
      <c r="AG43" s="70">
        <f>+AE43-AF43</f>
        <v>50710000</v>
      </c>
      <c r="AH43" s="161"/>
      <c r="AI43" s="72"/>
      <c r="AJ43" s="72"/>
      <c r="AK43" s="79">
        <f>+IFERROR(AL43/$I43,"-")</f>
        <v>0</v>
      </c>
      <c r="AL43" s="70">
        <f>+지급비율!AB61*$I43</f>
        <v>0</v>
      </c>
      <c r="AM43" s="70"/>
      <c r="AN43" s="70">
        <f>+AL43-AM43</f>
        <v>0</v>
      </c>
      <c r="AO43" s="161"/>
      <c r="AP43" s="72"/>
      <c r="AQ43" s="72"/>
      <c r="AR43" s="79">
        <f>+IFERROR(AS43/$I43,"-")</f>
        <v>0</v>
      </c>
      <c r="AS43" s="70">
        <f>+지급비율!AI61*$I43</f>
        <v>0</v>
      </c>
      <c r="AT43" s="70"/>
      <c r="AU43" s="70">
        <f>+AS43-AT43</f>
        <v>0</v>
      </c>
      <c r="AV43" s="161"/>
      <c r="AW43" s="72"/>
      <c r="AX43" s="72"/>
      <c r="AY43" s="79">
        <f>+IFERROR(AZ43/$I43,"-")</f>
        <v>0</v>
      </c>
      <c r="AZ43" s="70">
        <f>+지급비율!AP61*$I43</f>
        <v>0</v>
      </c>
      <c r="BA43" s="70"/>
      <c r="BB43" s="70">
        <f>+AZ43-BA43</f>
        <v>0</v>
      </c>
      <c r="BC43" s="161"/>
      <c r="BD43" s="72"/>
      <c r="BE43" s="72"/>
      <c r="BF43" s="79">
        <f>+IFERROR(BG43/$I43,"-")</f>
        <v>0</v>
      </c>
      <c r="BG43" s="70">
        <f>+지급비율!AW61*$I43</f>
        <v>0</v>
      </c>
      <c r="BH43" s="70"/>
      <c r="BI43" s="70">
        <f>+BG43-BH43</f>
        <v>0</v>
      </c>
      <c r="BJ43" s="161"/>
      <c r="BK43" s="78">
        <v>46173</v>
      </c>
      <c r="BL43" s="72"/>
      <c r="BM43" s="79">
        <f>+IFERROR(BN43/$I43,"-")</f>
        <v>0.1</v>
      </c>
      <c r="BN43" s="70">
        <f>+지급비율!BD61*$I43</f>
        <v>10142000</v>
      </c>
      <c r="BO43" s="70"/>
      <c r="BP43" s="70">
        <f t="shared" si="3"/>
        <v>10142000</v>
      </c>
      <c r="BQ43" s="161"/>
      <c r="BR43" s="73"/>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35"/>
      <c r="C44" s="1338"/>
      <c r="D44" s="1341"/>
      <c r="E44" s="1344"/>
      <c r="F44" s="101" t="s">
        <v>391</v>
      </c>
      <c r="G44" s="102">
        <f>+지급비율!F62*$D$41/1000</f>
        <v>92200000</v>
      </c>
      <c r="H44" s="102">
        <f>+G44*0.1</f>
        <v>9220000</v>
      </c>
      <c r="I44" s="102">
        <f>SUM(G44:H44)</f>
        <v>101420000</v>
      </c>
      <c r="J44" s="101">
        <f t="shared" si="0"/>
        <v>0</v>
      </c>
      <c r="K44" s="106">
        <f>+IFERROR(R44+Y44+AF44+AT44+BA44+BH44+BO44,"-")</f>
        <v>0</v>
      </c>
      <c r="L44" s="106">
        <f>+I44-K44</f>
        <v>101420000</v>
      </c>
      <c r="M44" s="1333"/>
      <c r="N44" s="85"/>
      <c r="O44" s="83"/>
      <c r="P44" s="86"/>
      <c r="Q44" s="70">
        <f>+지급비율!G62*$I44</f>
        <v>0</v>
      </c>
      <c r="R44" s="87"/>
      <c r="S44" s="87"/>
      <c r="T44" s="83"/>
      <c r="U44" s="85"/>
      <c r="V44" s="83"/>
      <c r="W44" s="86"/>
      <c r="X44" s="70">
        <f>+지급비율!N62*$I44</f>
        <v>0</v>
      </c>
      <c r="Y44" s="87"/>
      <c r="Z44" s="87"/>
      <c r="AA44" s="83"/>
      <c r="AB44" s="85"/>
      <c r="AC44" s="83"/>
      <c r="AD44" s="86"/>
      <c r="AE44" s="70">
        <f>+지급비율!U62*$I44</f>
        <v>0</v>
      </c>
      <c r="AF44" s="87"/>
      <c r="AG44" s="87"/>
      <c r="AH44" s="83"/>
      <c r="AI44" s="85"/>
      <c r="AJ44" s="83"/>
      <c r="AK44" s="86"/>
      <c r="AL44" s="70">
        <f>+지급비율!AB62*$I44</f>
        <v>0</v>
      </c>
      <c r="AM44" s="87"/>
      <c r="AN44" s="87"/>
      <c r="AO44" s="83"/>
      <c r="AP44" s="85"/>
      <c r="AQ44" s="83"/>
      <c r="AR44" s="86"/>
      <c r="AS44" s="70">
        <f>+지급비율!AI62*$I44</f>
        <v>0</v>
      </c>
      <c r="AT44" s="87"/>
      <c r="AU44" s="87"/>
      <c r="AV44" s="83"/>
      <c r="AW44" s="85"/>
      <c r="AX44" s="83"/>
      <c r="AY44" s="86"/>
      <c r="AZ44" s="70">
        <f>+지급비율!AP62*$I44</f>
        <v>0</v>
      </c>
      <c r="BA44" s="87"/>
      <c r="BB44" s="87"/>
      <c r="BC44" s="83"/>
      <c r="BD44" s="85"/>
      <c r="BE44" s="83"/>
      <c r="BF44" s="86"/>
      <c r="BG44" s="70">
        <f>+지급비율!AW62*$I44</f>
        <v>0</v>
      </c>
      <c r="BH44" s="87"/>
      <c r="BI44" s="87"/>
      <c r="BJ44" s="83"/>
      <c r="BK44" s="78">
        <v>46173</v>
      </c>
      <c r="BL44" s="101"/>
      <c r="BM44" s="86"/>
      <c r="BN44" s="70">
        <f>+지급비율!BD62*$I44</f>
        <v>101420000</v>
      </c>
      <c r="BO44" s="87"/>
      <c r="BP44" s="70">
        <f t="shared" si="3"/>
        <v>101420000</v>
      </c>
      <c r="BQ44" s="83"/>
      <c r="BR44" s="88"/>
      <c r="BS44" s="89" t="b">
        <f>+Q44+X44+AE44+AS44+AZ44+BG44+BN44=I44</f>
        <v>1</v>
      </c>
      <c r="BT44" s="90" t="b">
        <f>+R44+Y44+AF44+AT44+BA44+BH44+BO44=K44</f>
        <v>1</v>
      </c>
      <c r="BU44" s="90"/>
      <c r="BV44" s="54"/>
      <c r="BW44" s="54"/>
      <c r="BX44" s="54"/>
      <c r="BY44" s="54"/>
      <c r="BZ44" s="54"/>
      <c r="CA44" s="54"/>
      <c r="CB44" s="54"/>
      <c r="CC44" s="54"/>
      <c r="CD44" s="58"/>
      <c r="CE44" s="58"/>
    </row>
    <row r="45" spans="1:83" ht="16.5" customHeight="1">
      <c r="A45" s="62"/>
      <c r="B45" s="1336"/>
      <c r="C45" s="1339"/>
      <c r="D45" s="1342"/>
      <c r="E45" s="1345"/>
      <c r="F45" s="91" t="s">
        <v>392</v>
      </c>
      <c r="G45" s="92">
        <f>SUM(G41:G44)</f>
        <v>829800000</v>
      </c>
      <c r="H45" s="92">
        <f>SUM(H41:H44)</f>
        <v>82980000</v>
      </c>
      <c r="I45" s="92">
        <f>SUM(I41:I44)</f>
        <v>912780000</v>
      </c>
      <c r="J45" s="91">
        <f t="shared" si="0"/>
        <v>0</v>
      </c>
      <c r="K45" s="92">
        <f>SUM(K41:K44)</f>
        <v>0</v>
      </c>
      <c r="L45" s="92">
        <f>SUM(L41:L44)</f>
        <v>912780000</v>
      </c>
      <c r="M45" s="419">
        <f>+Q42+Q43</f>
        <v>76065000</v>
      </c>
      <c r="N45" s="93"/>
      <c r="O45" s="91"/>
      <c r="P45" s="94">
        <f>+IFERROR(Q45/$I45,"-")</f>
        <v>8.3333333333333329E-2</v>
      </c>
      <c r="Q45" s="92">
        <f>SUM(Q41:Q44)</f>
        <v>76065000</v>
      </c>
      <c r="R45" s="92">
        <f>SUM(R41:R44)</f>
        <v>0</v>
      </c>
      <c r="S45" s="95">
        <f>+Q45-R45</f>
        <v>76065000</v>
      </c>
      <c r="T45" s="91"/>
      <c r="U45" s="93"/>
      <c r="V45" s="91"/>
      <c r="W45" s="94">
        <f>+IFERROR(X45/$I45,"-")</f>
        <v>2.7777777777777776E-2</v>
      </c>
      <c r="X45" s="92">
        <f>SUM(X41:X44)</f>
        <v>25355000</v>
      </c>
      <c r="Y45" s="92">
        <f>SUM(Y41:Y44)</f>
        <v>0</v>
      </c>
      <c r="Z45" s="95">
        <f>+X45-Y45</f>
        <v>25355000</v>
      </c>
      <c r="AA45" s="91"/>
      <c r="AB45" s="93"/>
      <c r="AC45" s="91"/>
      <c r="AD45" s="94">
        <f>+IFERROR(AE45/$I45,"-")</f>
        <v>0.44444444444444442</v>
      </c>
      <c r="AE45" s="92">
        <f>SUM(AE41:AE44)</f>
        <v>405680000</v>
      </c>
      <c r="AF45" s="92">
        <f>SUM(AF41:AF44)</f>
        <v>0</v>
      </c>
      <c r="AG45" s="95">
        <f>+AE45-AF45</f>
        <v>405680000</v>
      </c>
      <c r="AH45" s="91"/>
      <c r="AI45" s="93"/>
      <c r="AJ45" s="91"/>
      <c r="AK45" s="94">
        <f>+IFERROR(AL45/$I45,"-")</f>
        <v>0</v>
      </c>
      <c r="AL45" s="92">
        <f>SUM(AL41:AL44)</f>
        <v>0</v>
      </c>
      <c r="AM45" s="92">
        <f>SUM(AM41:AM44)</f>
        <v>0</v>
      </c>
      <c r="AN45" s="95">
        <f>+AL45-AM45</f>
        <v>0</v>
      </c>
      <c r="AO45" s="91"/>
      <c r="AP45" s="93"/>
      <c r="AQ45" s="91"/>
      <c r="AR45" s="94">
        <f>+IFERROR(AS45/$I45,"-")</f>
        <v>0</v>
      </c>
      <c r="AS45" s="92">
        <f>SUM(AS41:AS44)</f>
        <v>0</v>
      </c>
      <c r="AT45" s="92">
        <f>SUM(AT41:AT44)</f>
        <v>0</v>
      </c>
      <c r="AU45" s="95">
        <f>+AS45-AT45</f>
        <v>0</v>
      </c>
      <c r="AV45" s="91"/>
      <c r="AW45" s="93"/>
      <c r="AX45" s="91"/>
      <c r="AY45" s="94">
        <f>+IFERROR(AZ45/$I45,"-")</f>
        <v>0</v>
      </c>
      <c r="AZ45" s="92">
        <f>SUM(AZ41:AZ44)</f>
        <v>0</v>
      </c>
      <c r="BA45" s="92">
        <f>SUM(BA41:BA44)</f>
        <v>0</v>
      </c>
      <c r="BB45" s="95">
        <f>+AZ45-BA45</f>
        <v>0</v>
      </c>
      <c r="BC45" s="91"/>
      <c r="BD45" s="93"/>
      <c r="BE45" s="91"/>
      <c r="BF45" s="94">
        <f>+IFERROR(BG45/$I45,"-")</f>
        <v>0.24444444444444444</v>
      </c>
      <c r="BG45" s="92">
        <f>SUM(BG41:BG44)</f>
        <v>223124000</v>
      </c>
      <c r="BH45" s="92">
        <f>SUM(BH41:BH44)</f>
        <v>0</v>
      </c>
      <c r="BI45" s="95">
        <f>+BG45-BH45</f>
        <v>223124000</v>
      </c>
      <c r="BJ45" s="91"/>
      <c r="BK45" s="93"/>
      <c r="BL45" s="91"/>
      <c r="BM45" s="94">
        <f>+IFERROR(BN45/$I45,"-")</f>
        <v>0.2</v>
      </c>
      <c r="BN45" s="92">
        <f>SUM(BN41:BN44)</f>
        <v>182556000</v>
      </c>
      <c r="BO45" s="92">
        <f>SUM(BO41:BO44)</f>
        <v>0</v>
      </c>
      <c r="BP45" s="95">
        <f t="shared" si="3"/>
        <v>182556000</v>
      </c>
      <c r="BQ45" s="91"/>
      <c r="BR45" s="88"/>
      <c r="BS45" s="96"/>
      <c r="BT45" s="97"/>
      <c r="BU45" s="97"/>
      <c r="BV45" s="54"/>
      <c r="BW45" s="54"/>
      <c r="BX45" s="54"/>
      <c r="BY45" s="54"/>
      <c r="BZ45" s="54"/>
      <c r="CA45" s="54"/>
      <c r="CB45" s="54"/>
      <c r="CC45" s="54"/>
      <c r="CD45" s="58"/>
      <c r="CE45" s="58"/>
    </row>
    <row r="46" spans="1:83" ht="16.5" customHeight="1">
      <c r="A46" s="62"/>
      <c r="B46" s="1334">
        <f t="shared" ref="B46" si="15">+B41+1</f>
        <v>8</v>
      </c>
      <c r="C46" s="1533" t="s">
        <v>910</v>
      </c>
      <c r="D46" s="1340">
        <v>315</v>
      </c>
      <c r="E46" s="1343" t="s">
        <v>387</v>
      </c>
      <c r="F46" s="63" t="s">
        <v>388</v>
      </c>
      <c r="G46" s="64">
        <f>+지급비율!F63*$D$46/1000</f>
        <v>346500000</v>
      </c>
      <c r="H46" s="64">
        <f>+G46*10%</f>
        <v>34650000</v>
      </c>
      <c r="I46" s="64">
        <f>SUM(G46:H46)</f>
        <v>381150000</v>
      </c>
      <c r="J46" s="65">
        <f t="shared" si="0"/>
        <v>0</v>
      </c>
      <c r="K46" s="70">
        <f>+IFERROR(R46+Y46+AF46+AT46+BA46+BH46+BO46,"-")</f>
        <v>0</v>
      </c>
      <c r="L46" s="70">
        <f>+I46-K46</f>
        <v>381150000</v>
      </c>
      <c r="M46" s="1331" t="s">
        <v>407</v>
      </c>
      <c r="N46" s="67"/>
      <c r="O46" s="72"/>
      <c r="P46" s="69"/>
      <c r="Q46" s="70">
        <f>+지급비율!G63*$I46</f>
        <v>0</v>
      </c>
      <c r="R46" s="70"/>
      <c r="S46" s="70">
        <f>+Q46-R46</f>
        <v>0</v>
      </c>
      <c r="T46" s="81"/>
      <c r="U46" s="67"/>
      <c r="V46" s="68"/>
      <c r="W46" s="69"/>
      <c r="X46" s="70">
        <f>+지급비율!N63*$I46</f>
        <v>0</v>
      </c>
      <c r="Y46" s="70"/>
      <c r="Z46" s="70">
        <f>+X46-Y46</f>
        <v>0</v>
      </c>
      <c r="AA46" s="81"/>
      <c r="AB46" s="67">
        <f>+EDATE(AI46,1)</f>
        <v>46050</v>
      </c>
      <c r="AC46" s="68"/>
      <c r="AD46" s="69"/>
      <c r="AE46" s="70">
        <f>+지급비율!U63*$I46</f>
        <v>190575000</v>
      </c>
      <c r="AF46" s="70"/>
      <c r="AG46" s="70">
        <f>+AE46-AF46</f>
        <v>190575000</v>
      </c>
      <c r="AH46" s="81"/>
      <c r="AI46" s="67">
        <f>+EDATE(AP46,-1)</f>
        <v>46019</v>
      </c>
      <c r="AJ46" s="68"/>
      <c r="AK46" s="69"/>
      <c r="AL46" s="70">
        <f>+지급비율!AB63*$I46</f>
        <v>0</v>
      </c>
      <c r="AM46" s="70"/>
      <c r="AN46" s="70">
        <f>+AL46-AM46</f>
        <v>0</v>
      </c>
      <c r="AO46" s="81"/>
      <c r="AP46" s="67">
        <f>+EDATE(AW46,-1)</f>
        <v>46050</v>
      </c>
      <c r="AQ46" s="68"/>
      <c r="AR46" s="69"/>
      <c r="AS46" s="70">
        <f>+지급비율!AI63*$I46</f>
        <v>0</v>
      </c>
      <c r="AT46" s="70"/>
      <c r="AU46" s="70">
        <f>+AS46-AT46</f>
        <v>0</v>
      </c>
      <c r="AV46" s="81"/>
      <c r="AW46" s="67">
        <f>+EDATE(BD46,-1)</f>
        <v>46081</v>
      </c>
      <c r="AX46" s="68"/>
      <c r="AY46" s="69"/>
      <c r="AZ46" s="70">
        <f>+지급비율!AP63*$I46</f>
        <v>0</v>
      </c>
      <c r="BA46" s="70"/>
      <c r="BB46" s="70">
        <f>+AZ46-BA46</f>
        <v>0</v>
      </c>
      <c r="BC46" s="81"/>
      <c r="BD46" s="67">
        <f>+EDATE(BK46,-1)</f>
        <v>46111</v>
      </c>
      <c r="BE46" s="68"/>
      <c r="BF46" s="69"/>
      <c r="BG46" s="70">
        <f>+지급비율!AW63*$I46</f>
        <v>152460000</v>
      </c>
      <c r="BH46" s="70"/>
      <c r="BI46" s="70">
        <f>+BG46-BH46</f>
        <v>152460000</v>
      </c>
      <c r="BJ46" s="81"/>
      <c r="BK46" s="78">
        <v>46142</v>
      </c>
      <c r="BL46" s="68"/>
      <c r="BM46" s="69"/>
      <c r="BN46" s="70">
        <f>+지급비율!BD63*$I46</f>
        <v>38115000</v>
      </c>
      <c r="BO46" s="70"/>
      <c r="BP46" s="70">
        <f t="shared" si="3"/>
        <v>38115000</v>
      </c>
      <c r="BQ46" s="81"/>
      <c r="BR46" s="73"/>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35"/>
      <c r="C47" s="1534"/>
      <c r="D47" s="1341"/>
      <c r="E47" s="1344"/>
      <c r="F47" s="75" t="s">
        <v>389</v>
      </c>
      <c r="G47" s="76">
        <f>+지급비율!F64*$D$46/1000</f>
        <v>94500000</v>
      </c>
      <c r="H47" s="76">
        <f>+G47*10%</f>
        <v>9450000</v>
      </c>
      <c r="I47" s="76">
        <f>SUM(G47:H47)</f>
        <v>103950000</v>
      </c>
      <c r="J47" s="75">
        <f t="shared" si="0"/>
        <v>0</v>
      </c>
      <c r="K47" s="80">
        <f>+IFERROR(R47+Y47+AF47+AT47+BA47+BH47+BO47,"-")</f>
        <v>0</v>
      </c>
      <c r="L47" s="80">
        <f>+I47-K47</f>
        <v>103950000</v>
      </c>
      <c r="M47" s="1332"/>
      <c r="N47" s="78">
        <v>45991</v>
      </c>
      <c r="O47" s="78"/>
      <c r="P47" s="79">
        <f>+IFERROR(Q47/$I47,"-")</f>
        <v>0.3</v>
      </c>
      <c r="Q47" s="80">
        <f>+지급비율!G64*$I47</f>
        <v>31185000</v>
      </c>
      <c r="R47" s="80"/>
      <c r="S47" s="80">
        <f>+Q47-R47</f>
        <v>31185000</v>
      </c>
      <c r="T47" s="81"/>
      <c r="U47" s="78">
        <v>46022</v>
      </c>
      <c r="V47" s="78"/>
      <c r="W47" s="79">
        <f>+IFERROR(X47/$I47,"-")</f>
        <v>0.1</v>
      </c>
      <c r="X47" s="70">
        <f>+지급비율!N64*$I47</f>
        <v>10395000</v>
      </c>
      <c r="Y47" s="70"/>
      <c r="Z47" s="70">
        <f>+X47-Y47</f>
        <v>10395000</v>
      </c>
      <c r="AA47" s="161"/>
      <c r="AB47" s="78">
        <v>46053</v>
      </c>
      <c r="AC47" s="78"/>
      <c r="AD47" s="79">
        <f>+IFERROR(AE47/$I47,"-")</f>
        <v>0.5</v>
      </c>
      <c r="AE47" s="70">
        <f>+지급비율!U64*$I47</f>
        <v>51975000</v>
      </c>
      <c r="AF47" s="70"/>
      <c r="AG47" s="70">
        <f>+AE47-AF47</f>
        <v>51975000</v>
      </c>
      <c r="AH47" s="161"/>
      <c r="AI47" s="78"/>
      <c r="AJ47" s="78"/>
      <c r="AK47" s="79">
        <f>+IFERROR(AL47/$I47,"-")</f>
        <v>0</v>
      </c>
      <c r="AL47" s="70">
        <f>+지급비율!AB64*$I47</f>
        <v>0</v>
      </c>
      <c r="AM47" s="70"/>
      <c r="AN47" s="70">
        <f>+AL47-AM47</f>
        <v>0</v>
      </c>
      <c r="AO47" s="161"/>
      <c r="AP47" s="78"/>
      <c r="AQ47" s="78"/>
      <c r="AR47" s="79">
        <f>+IFERROR(AS47/$I47,"-")</f>
        <v>0</v>
      </c>
      <c r="AS47" s="70">
        <f>+지급비율!AI64*$I47</f>
        <v>0</v>
      </c>
      <c r="AT47" s="70"/>
      <c r="AU47" s="70">
        <f>+AS47-AT47</f>
        <v>0</v>
      </c>
      <c r="AV47" s="161"/>
      <c r="AW47" s="78"/>
      <c r="AX47" s="78"/>
      <c r="AY47" s="79">
        <f>+IFERROR(AZ47/$I47,"-")</f>
        <v>0</v>
      </c>
      <c r="AZ47" s="70">
        <f>+지급비율!AP64*$I47</f>
        <v>0</v>
      </c>
      <c r="BA47" s="70"/>
      <c r="BB47" s="70">
        <f>+AZ47-BA47</f>
        <v>0</v>
      </c>
      <c r="BC47" s="161"/>
      <c r="BD47" s="78"/>
      <c r="BE47" s="78"/>
      <c r="BF47" s="79">
        <f>+IFERROR(BG47/$I47,"-")</f>
        <v>0</v>
      </c>
      <c r="BG47" s="70">
        <f>+지급비율!AW64*$I47</f>
        <v>0</v>
      </c>
      <c r="BH47" s="70"/>
      <c r="BI47" s="70">
        <f>+BG47-BH47</f>
        <v>0</v>
      </c>
      <c r="BJ47" s="161"/>
      <c r="BK47" s="78">
        <v>46142</v>
      </c>
      <c r="BL47" s="78"/>
      <c r="BM47" s="79">
        <f>+IFERROR(BN47/$I47,"-")</f>
        <v>0.1</v>
      </c>
      <c r="BN47" s="70">
        <f>+지급비율!BD64*$I47</f>
        <v>10395000</v>
      </c>
      <c r="BO47" s="70"/>
      <c r="BP47" s="70">
        <f t="shared" si="3"/>
        <v>10395000</v>
      </c>
      <c r="BQ47" s="161"/>
      <c r="BR47" s="73"/>
      <c r="BS47" s="74" t="b">
        <f>+Q47+X47+AE47+AS47+AZ47+BG47+BN47=I47</f>
        <v>1</v>
      </c>
      <c r="BT47" s="74" t="b">
        <f>+R47+Y47+AF47+AT47+BA47+BH47+BO47=K47</f>
        <v>1</v>
      </c>
      <c r="BU47" s="74"/>
      <c r="BV47" s="54"/>
      <c r="BW47" s="54"/>
      <c r="BX47" s="54"/>
      <c r="BY47" s="54"/>
      <c r="BZ47" s="54"/>
      <c r="CA47" s="54"/>
      <c r="CB47" s="54"/>
      <c r="CC47" s="54"/>
      <c r="CD47" s="58"/>
      <c r="CE47" s="58"/>
    </row>
    <row r="48" spans="1:83" ht="16.5" customHeight="1">
      <c r="A48" s="62"/>
      <c r="B48" s="1335"/>
      <c r="C48" s="1534"/>
      <c r="D48" s="1341"/>
      <c r="E48" s="1344"/>
      <c r="F48" s="75" t="s">
        <v>390</v>
      </c>
      <c r="G48" s="76">
        <f>+지급비율!F65*$D$46/1000</f>
        <v>63000000</v>
      </c>
      <c r="H48" s="76">
        <f>+G48*10%</f>
        <v>6300000</v>
      </c>
      <c r="I48" s="76">
        <f>SUM(G48:H48)</f>
        <v>69300000</v>
      </c>
      <c r="J48" s="75">
        <f t="shared" si="0"/>
        <v>0</v>
      </c>
      <c r="K48" s="80">
        <f>+IFERROR(R48+Y48+AF48+AT48+BA48+BH48+BO48,"-")</f>
        <v>0</v>
      </c>
      <c r="L48" s="80">
        <f>+I48-K48</f>
        <v>69300000</v>
      </c>
      <c r="M48" s="1332"/>
      <c r="N48" s="78">
        <v>45991</v>
      </c>
      <c r="O48" s="78"/>
      <c r="P48" s="79">
        <f>+IFERROR(Q48/$I48,"-")</f>
        <v>0.3</v>
      </c>
      <c r="Q48" s="80">
        <f>+지급비율!G65*$I48</f>
        <v>20790000</v>
      </c>
      <c r="R48" s="80"/>
      <c r="S48" s="80">
        <f>+Q48-R48</f>
        <v>20790000</v>
      </c>
      <c r="T48" s="81"/>
      <c r="U48" s="78">
        <v>46022</v>
      </c>
      <c r="V48" s="72"/>
      <c r="W48" s="79">
        <f>+IFERROR(X48/$I48,"-")</f>
        <v>0.1</v>
      </c>
      <c r="X48" s="70">
        <f>+지급비율!N65*$I48</f>
        <v>6930000</v>
      </c>
      <c r="Y48" s="70"/>
      <c r="Z48" s="70">
        <f>+X48-Y48</f>
        <v>6930000</v>
      </c>
      <c r="AA48" s="161"/>
      <c r="AB48" s="78">
        <v>46053</v>
      </c>
      <c r="AC48" s="72"/>
      <c r="AD48" s="79">
        <f>+IFERROR(AE48/$I48,"-")</f>
        <v>0.5</v>
      </c>
      <c r="AE48" s="70">
        <f>+지급비율!U65*$I48</f>
        <v>34650000</v>
      </c>
      <c r="AF48" s="70"/>
      <c r="AG48" s="70">
        <f>+AE48-AF48</f>
        <v>34650000</v>
      </c>
      <c r="AH48" s="161"/>
      <c r="AI48" s="72"/>
      <c r="AJ48" s="72"/>
      <c r="AK48" s="79">
        <f>+IFERROR(AL48/$I48,"-")</f>
        <v>0</v>
      </c>
      <c r="AL48" s="70">
        <f>+지급비율!AB65*$I48</f>
        <v>0</v>
      </c>
      <c r="AM48" s="70"/>
      <c r="AN48" s="70">
        <f>+AL48-AM48</f>
        <v>0</v>
      </c>
      <c r="AO48" s="161"/>
      <c r="AP48" s="72"/>
      <c r="AQ48" s="72"/>
      <c r="AR48" s="79">
        <f>+IFERROR(AS48/$I48,"-")</f>
        <v>0</v>
      </c>
      <c r="AS48" s="70">
        <f>+지급비율!AI65*$I48</f>
        <v>0</v>
      </c>
      <c r="AT48" s="70"/>
      <c r="AU48" s="70">
        <f>+AS48-AT48</f>
        <v>0</v>
      </c>
      <c r="AV48" s="161"/>
      <c r="AW48" s="72"/>
      <c r="AX48" s="72"/>
      <c r="AY48" s="79">
        <f>+IFERROR(AZ48/$I48,"-")</f>
        <v>0</v>
      </c>
      <c r="AZ48" s="70">
        <f>+지급비율!AP65*$I48</f>
        <v>0</v>
      </c>
      <c r="BA48" s="70"/>
      <c r="BB48" s="70">
        <f>+AZ48-BA48</f>
        <v>0</v>
      </c>
      <c r="BC48" s="161"/>
      <c r="BD48" s="72"/>
      <c r="BE48" s="72"/>
      <c r="BF48" s="79">
        <f>+IFERROR(BG48/$I48,"-")</f>
        <v>0</v>
      </c>
      <c r="BG48" s="70">
        <f>+지급비율!AW65*$I48</f>
        <v>0</v>
      </c>
      <c r="BH48" s="70"/>
      <c r="BI48" s="70">
        <f>+BG48-BH48</f>
        <v>0</v>
      </c>
      <c r="BJ48" s="161"/>
      <c r="BK48" s="78">
        <v>46142</v>
      </c>
      <c r="BL48" s="72"/>
      <c r="BM48" s="79">
        <f>+IFERROR(BN48/$I48,"-")</f>
        <v>0.1</v>
      </c>
      <c r="BN48" s="70">
        <f>+지급비율!BD65*$I48</f>
        <v>6930000</v>
      </c>
      <c r="BO48" s="70"/>
      <c r="BP48" s="70">
        <f t="shared" si="3"/>
        <v>6930000</v>
      </c>
      <c r="BQ48" s="161"/>
      <c r="BR48" s="73"/>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35"/>
      <c r="C49" s="1534"/>
      <c r="D49" s="1341"/>
      <c r="E49" s="1344"/>
      <c r="F49" s="101" t="s">
        <v>391</v>
      </c>
      <c r="G49" s="102">
        <f>+지급비율!F66*$D$46/1000</f>
        <v>55125000</v>
      </c>
      <c r="H49" s="102">
        <f>+G49*0.1</f>
        <v>5512500</v>
      </c>
      <c r="I49" s="102">
        <f>SUM(G49:H49)</f>
        <v>60637500</v>
      </c>
      <c r="J49" s="101">
        <f t="shared" si="0"/>
        <v>0</v>
      </c>
      <c r="K49" s="106">
        <f>+IFERROR(R49+Y49+AF49+AT49+BA49+BH49+BO49,"-")</f>
        <v>0</v>
      </c>
      <c r="L49" s="106">
        <f>+I49-K49</f>
        <v>60637500</v>
      </c>
      <c r="M49" s="1333"/>
      <c r="N49" s="85"/>
      <c r="O49" s="83"/>
      <c r="P49" s="86"/>
      <c r="Q49" s="70">
        <f>+지급비율!G66*$I49</f>
        <v>0</v>
      </c>
      <c r="R49" s="87"/>
      <c r="S49" s="87"/>
      <c r="T49" s="83"/>
      <c r="U49" s="85"/>
      <c r="V49" s="83"/>
      <c r="W49" s="86"/>
      <c r="X49" s="70">
        <f>+지급비율!N66*$I49</f>
        <v>0</v>
      </c>
      <c r="Y49" s="87"/>
      <c r="Z49" s="87"/>
      <c r="AA49" s="83"/>
      <c r="AB49" s="85"/>
      <c r="AC49" s="83"/>
      <c r="AD49" s="86"/>
      <c r="AE49" s="70">
        <f>+지급비율!U66*$I49</f>
        <v>0</v>
      </c>
      <c r="AF49" s="87"/>
      <c r="AG49" s="87"/>
      <c r="AH49" s="83"/>
      <c r="AI49" s="85"/>
      <c r="AJ49" s="83"/>
      <c r="AK49" s="86"/>
      <c r="AL49" s="70">
        <f>+지급비율!AB66*$I49</f>
        <v>0</v>
      </c>
      <c r="AM49" s="87"/>
      <c r="AN49" s="87"/>
      <c r="AO49" s="83"/>
      <c r="AP49" s="85"/>
      <c r="AQ49" s="83"/>
      <c r="AR49" s="86"/>
      <c r="AS49" s="70">
        <f>+지급비율!AI66*$I49</f>
        <v>0</v>
      </c>
      <c r="AT49" s="87"/>
      <c r="AU49" s="87"/>
      <c r="AV49" s="83"/>
      <c r="AW49" s="85"/>
      <c r="AX49" s="83"/>
      <c r="AY49" s="86"/>
      <c r="AZ49" s="70">
        <f>+지급비율!AP66*$I49</f>
        <v>0</v>
      </c>
      <c r="BA49" s="87"/>
      <c r="BB49" s="87"/>
      <c r="BC49" s="83"/>
      <c r="BD49" s="85"/>
      <c r="BE49" s="83"/>
      <c r="BF49" s="86"/>
      <c r="BG49" s="70">
        <f>+지급비율!AW66*$I49</f>
        <v>0</v>
      </c>
      <c r="BH49" s="87"/>
      <c r="BI49" s="87"/>
      <c r="BJ49" s="83"/>
      <c r="BK49" s="78">
        <v>46142</v>
      </c>
      <c r="BL49" s="101"/>
      <c r="BM49" s="86"/>
      <c r="BN49" s="70">
        <f>+지급비율!BD66*$I49</f>
        <v>60637500</v>
      </c>
      <c r="BO49" s="87"/>
      <c r="BP49" s="70">
        <f t="shared" si="3"/>
        <v>60637500</v>
      </c>
      <c r="BQ49" s="83"/>
      <c r="BR49" s="88"/>
      <c r="BS49" s="89" t="b">
        <f>+Q49+X49+AE49+AS49+AZ49+BG49+BN49=I49</f>
        <v>1</v>
      </c>
      <c r="BT49" s="90" t="b">
        <f>+R49+Y49+AF49+AT49+BA49+BH49+BO49=K49</f>
        <v>1</v>
      </c>
      <c r="BU49" s="90"/>
      <c r="BV49" s="54"/>
      <c r="BW49" s="54"/>
      <c r="BX49" s="54"/>
      <c r="BY49" s="54"/>
      <c r="BZ49" s="54"/>
      <c r="CA49" s="54"/>
      <c r="CB49" s="54"/>
      <c r="CC49" s="54"/>
      <c r="CD49" s="58"/>
      <c r="CE49" s="58"/>
    </row>
    <row r="50" spans="1:83" ht="16.5" customHeight="1">
      <c r="A50" s="62"/>
      <c r="B50" s="1336"/>
      <c r="C50" s="1535"/>
      <c r="D50" s="1342"/>
      <c r="E50" s="1345"/>
      <c r="F50" s="91" t="s">
        <v>392</v>
      </c>
      <c r="G50" s="92">
        <f>SUM(G46:G49)</f>
        <v>559125000</v>
      </c>
      <c r="H50" s="92">
        <f>SUM(H46:H49)</f>
        <v>55912500</v>
      </c>
      <c r="I50" s="92">
        <f>SUM(I46:I49)</f>
        <v>615037500</v>
      </c>
      <c r="J50" s="91">
        <f t="shared" si="0"/>
        <v>0</v>
      </c>
      <c r="K50" s="92">
        <f>SUM(K46:K49)</f>
        <v>0</v>
      </c>
      <c r="L50" s="92">
        <f>SUM(L46:L49)</f>
        <v>615037500</v>
      </c>
      <c r="M50" s="419">
        <f>+Q47+Q48</f>
        <v>51975000</v>
      </c>
      <c r="N50" s="93"/>
      <c r="O50" s="91"/>
      <c r="P50" s="94">
        <f>+IFERROR(Q50/$I50,"-")</f>
        <v>8.4507042253521125E-2</v>
      </c>
      <c r="Q50" s="92">
        <f>SUM(Q46:Q49)</f>
        <v>51975000</v>
      </c>
      <c r="R50" s="92">
        <f>SUM(R46:R49)</f>
        <v>0</v>
      </c>
      <c r="S50" s="95">
        <f t="shared" ref="S50:S73" si="16">+Q50-R50</f>
        <v>51975000</v>
      </c>
      <c r="T50" s="91"/>
      <c r="U50" s="93"/>
      <c r="V50" s="91"/>
      <c r="W50" s="94">
        <f>+IFERROR(X50/$I50,"-")</f>
        <v>2.8169014084507043E-2</v>
      </c>
      <c r="X50" s="92">
        <f>SUM(X46:X49)</f>
        <v>17325000</v>
      </c>
      <c r="Y50" s="92">
        <f>SUM(Y46:Y49)</f>
        <v>0</v>
      </c>
      <c r="Z50" s="95">
        <f t="shared" ref="Z50:Z73" si="17">+X50-Y50</f>
        <v>17325000</v>
      </c>
      <c r="AA50" s="91"/>
      <c r="AB50" s="93"/>
      <c r="AC50" s="91"/>
      <c r="AD50" s="94">
        <f>+IFERROR(AE50/$I50,"-")</f>
        <v>0.45070422535211269</v>
      </c>
      <c r="AE50" s="92">
        <f>SUM(AE46:AE49)</f>
        <v>277200000</v>
      </c>
      <c r="AF50" s="92">
        <f>SUM(AF46:AF49)</f>
        <v>0</v>
      </c>
      <c r="AG50" s="95">
        <f t="shared" ref="AG50:AG73" si="18">+AE50-AF50</f>
        <v>277200000</v>
      </c>
      <c r="AH50" s="91"/>
      <c r="AI50" s="93"/>
      <c r="AJ50" s="91"/>
      <c r="AK50" s="94">
        <f t="shared" ref="AK50:AK75" si="19">+IFERROR(AL50/$I50,"-")</f>
        <v>0</v>
      </c>
      <c r="AL50" s="92">
        <f>SUM(AL46:AL49)</f>
        <v>0</v>
      </c>
      <c r="AM50" s="92">
        <f>SUM(AM46:AM49)</f>
        <v>0</v>
      </c>
      <c r="AN50" s="95">
        <f t="shared" ref="AN50:AN73" si="20">+AL50-AM50</f>
        <v>0</v>
      </c>
      <c r="AO50" s="91"/>
      <c r="AP50" s="93"/>
      <c r="AQ50" s="91"/>
      <c r="AR50" s="94">
        <f>+IFERROR(AS50/$I50,"-")</f>
        <v>0</v>
      </c>
      <c r="AS50" s="92">
        <f>SUM(AS46:AS49)</f>
        <v>0</v>
      </c>
      <c r="AT50" s="92">
        <f>SUM(AT46:AT49)</f>
        <v>0</v>
      </c>
      <c r="AU50" s="95">
        <f t="shared" ref="AU50:AU73" si="21">+AS50-AT50</f>
        <v>0</v>
      </c>
      <c r="AV50" s="91"/>
      <c r="AW50" s="93"/>
      <c r="AX50" s="91"/>
      <c r="AY50" s="94">
        <f>+IFERROR(AZ50/$I50,"-")</f>
        <v>0</v>
      </c>
      <c r="AZ50" s="92">
        <f>SUM(AZ46:AZ49)</f>
        <v>0</v>
      </c>
      <c r="BA50" s="92">
        <f>SUM(BA46:BA49)</f>
        <v>0</v>
      </c>
      <c r="BB50" s="95">
        <f t="shared" ref="BB50:BB73" si="22">+AZ50-BA50</f>
        <v>0</v>
      </c>
      <c r="BC50" s="91"/>
      <c r="BD50" s="93"/>
      <c r="BE50" s="91"/>
      <c r="BF50" s="94">
        <f>+IFERROR(BG50/$I50,"-")</f>
        <v>0.24788732394366197</v>
      </c>
      <c r="BG50" s="92">
        <f>SUM(BG46:BG49)</f>
        <v>152460000</v>
      </c>
      <c r="BH50" s="92">
        <f>SUM(BH46:BH49)</f>
        <v>0</v>
      </c>
      <c r="BI50" s="95">
        <f t="shared" ref="BI50:BI73" si="23">+BG50-BH50</f>
        <v>152460000</v>
      </c>
      <c r="BJ50" s="91"/>
      <c r="BK50" s="93"/>
      <c r="BL50" s="91"/>
      <c r="BM50" s="94">
        <f t="shared" ref="BM50:BM75" si="24">+IFERROR(BN50/$I50,"-")</f>
        <v>0.18873239436619718</v>
      </c>
      <c r="BN50" s="92">
        <f>SUM(BN46:BN49)</f>
        <v>116077500</v>
      </c>
      <c r="BO50" s="92">
        <f>SUM(BO46:BO49)</f>
        <v>0</v>
      </c>
      <c r="BP50" s="95">
        <f t="shared" ref="BP50:BP73" si="25">+BN50-BO50</f>
        <v>116077500</v>
      </c>
      <c r="BQ50" s="91"/>
      <c r="BR50" s="88"/>
      <c r="BS50" s="96"/>
      <c r="BT50" s="97"/>
      <c r="BU50" s="97"/>
      <c r="BV50" s="54"/>
      <c r="BW50" s="54"/>
      <c r="BX50" s="54"/>
      <c r="BY50" s="54"/>
      <c r="BZ50" s="54"/>
      <c r="CA50" s="54"/>
      <c r="CB50" s="54"/>
      <c r="CC50" s="54"/>
      <c r="CD50" s="58"/>
      <c r="CE50" s="58"/>
    </row>
    <row r="51" spans="1:83" ht="16.5" customHeight="1">
      <c r="A51" s="62"/>
      <c r="B51" s="1334">
        <f t="shared" ref="B51" si="26">+B46+1</f>
        <v>9</v>
      </c>
      <c r="C51" s="1533" t="s">
        <v>911</v>
      </c>
      <c r="D51" s="1340">
        <v>156</v>
      </c>
      <c r="E51" s="1343" t="s">
        <v>387</v>
      </c>
      <c r="F51" s="63" t="s">
        <v>388</v>
      </c>
      <c r="G51" s="64">
        <f>+지급비율!F63*$D$51/1000</f>
        <v>171600000</v>
      </c>
      <c r="H51" s="64">
        <f>+G51*10%</f>
        <v>17160000</v>
      </c>
      <c r="I51" s="64">
        <f>SUM(G51:H51)</f>
        <v>188760000</v>
      </c>
      <c r="J51" s="65">
        <f t="shared" ref="J51:J55" si="27">+IFERROR(K51/I51,"-")</f>
        <v>0</v>
      </c>
      <c r="K51" s="70">
        <f>+IFERROR(R51+Y51+AF51+AT51+BA51+BH51+BO51,"-")</f>
        <v>0</v>
      </c>
      <c r="L51" s="70">
        <f>+I51-K51</f>
        <v>188760000</v>
      </c>
      <c r="M51" s="1331" t="s">
        <v>407</v>
      </c>
      <c r="N51" s="67"/>
      <c r="O51" s="72"/>
      <c r="P51" s="69"/>
      <c r="Q51" s="70">
        <f>+지급비율!G63*$I51</f>
        <v>0</v>
      </c>
      <c r="R51" s="70"/>
      <c r="S51" s="70">
        <f>+Q51-R51</f>
        <v>0</v>
      </c>
      <c r="T51" s="81"/>
      <c r="U51" s="67"/>
      <c r="V51" s="68"/>
      <c r="W51" s="69"/>
      <c r="X51" s="70">
        <f>+지급비율!N63*$I51</f>
        <v>0</v>
      </c>
      <c r="Y51" s="70"/>
      <c r="Z51" s="70">
        <f>+X51-Y51</f>
        <v>0</v>
      </c>
      <c r="AA51" s="81"/>
      <c r="AB51" s="67">
        <f>+EDATE(AI51,1)</f>
        <v>46050</v>
      </c>
      <c r="AC51" s="68"/>
      <c r="AD51" s="69"/>
      <c r="AE51" s="70">
        <f>+지급비율!U63*$I51</f>
        <v>94380000</v>
      </c>
      <c r="AF51" s="70"/>
      <c r="AG51" s="70">
        <f>+AE51-AF51</f>
        <v>94380000</v>
      </c>
      <c r="AH51" s="81"/>
      <c r="AI51" s="67">
        <f>+EDATE(AP51,-1)</f>
        <v>46019</v>
      </c>
      <c r="AJ51" s="68"/>
      <c r="AK51" s="69"/>
      <c r="AL51" s="70">
        <f>+지급비율!AB63*$I51</f>
        <v>0</v>
      </c>
      <c r="AM51" s="70"/>
      <c r="AN51" s="70">
        <f>+AL51-AM51</f>
        <v>0</v>
      </c>
      <c r="AO51" s="81"/>
      <c r="AP51" s="67">
        <f>+EDATE(AW51,-1)</f>
        <v>46050</v>
      </c>
      <c r="AQ51" s="68"/>
      <c r="AR51" s="69"/>
      <c r="AS51" s="70">
        <f>+지급비율!AI63*$I51</f>
        <v>0</v>
      </c>
      <c r="AT51" s="70"/>
      <c r="AU51" s="70">
        <f>+AS51-AT51</f>
        <v>0</v>
      </c>
      <c r="AV51" s="81"/>
      <c r="AW51" s="67">
        <f>+EDATE(BD51,-1)</f>
        <v>46081</v>
      </c>
      <c r="AX51" s="68"/>
      <c r="AY51" s="69"/>
      <c r="AZ51" s="70">
        <f>+지급비율!AP63*$I51</f>
        <v>0</v>
      </c>
      <c r="BA51" s="70"/>
      <c r="BB51" s="70">
        <f>+AZ51-BA51</f>
        <v>0</v>
      </c>
      <c r="BC51" s="81"/>
      <c r="BD51" s="67">
        <f>+EDATE(BK51,-1)</f>
        <v>46111</v>
      </c>
      <c r="BE51" s="68"/>
      <c r="BF51" s="69"/>
      <c r="BG51" s="70">
        <f>+지급비율!AW63*$I51</f>
        <v>75504000</v>
      </c>
      <c r="BH51" s="70"/>
      <c r="BI51" s="70">
        <f>+BG51-BH51</f>
        <v>75504000</v>
      </c>
      <c r="BJ51" s="81"/>
      <c r="BK51" s="78">
        <v>46142</v>
      </c>
      <c r="BL51" s="68"/>
      <c r="BM51" s="69"/>
      <c r="BN51" s="70">
        <f>+지급비율!BD63*$I51</f>
        <v>18876000</v>
      </c>
      <c r="BO51" s="70"/>
      <c r="BP51" s="70">
        <f t="shared" si="25"/>
        <v>18876000</v>
      </c>
      <c r="BQ51" s="81"/>
      <c r="BR51" s="73"/>
      <c r="BS51" s="74" t="b">
        <f>+Q51+X51+AE51+AS51+AZ51+BG51+BN51=I51</f>
        <v>1</v>
      </c>
      <c r="BT51" s="74" t="b">
        <f>+R51+Y51+AF51+AT51+BA51+BH51+BO51=K51</f>
        <v>1</v>
      </c>
      <c r="BU51" s="74"/>
      <c r="BV51" s="54"/>
      <c r="BW51" s="54"/>
      <c r="BX51" s="54"/>
      <c r="BY51" s="54"/>
      <c r="BZ51" s="54"/>
      <c r="CA51" s="54"/>
      <c r="CB51" s="54"/>
      <c r="CC51" s="54"/>
      <c r="CD51" s="58"/>
      <c r="CE51" s="58"/>
    </row>
    <row r="52" spans="1:83" ht="16.5" customHeight="1">
      <c r="A52" s="62"/>
      <c r="B52" s="1335"/>
      <c r="C52" s="1534"/>
      <c r="D52" s="1341"/>
      <c r="E52" s="1344"/>
      <c r="F52" s="75" t="s">
        <v>389</v>
      </c>
      <c r="G52" s="76">
        <f>+지급비율!F64*$D$51/1000</f>
        <v>46800000</v>
      </c>
      <c r="H52" s="76">
        <f>+G52*10%</f>
        <v>4680000</v>
      </c>
      <c r="I52" s="76">
        <f>SUM(G52:H52)</f>
        <v>51480000</v>
      </c>
      <c r="J52" s="75">
        <f t="shared" si="27"/>
        <v>0</v>
      </c>
      <c r="K52" s="80">
        <f>+IFERROR(R52+Y52+AF52+AT52+BA52+BH52+BO52,"-")</f>
        <v>0</v>
      </c>
      <c r="L52" s="80">
        <f>+I52-K52</f>
        <v>51480000</v>
      </c>
      <c r="M52" s="1332"/>
      <c r="N52" s="78">
        <v>45991</v>
      </c>
      <c r="O52" s="78"/>
      <c r="P52" s="79">
        <f>+IFERROR(Q52/$I52,"-")</f>
        <v>0.3</v>
      </c>
      <c r="Q52" s="80">
        <f>+지급비율!G64*$I52</f>
        <v>15444000</v>
      </c>
      <c r="R52" s="80"/>
      <c r="S52" s="80">
        <f>+Q52-R52</f>
        <v>15444000</v>
      </c>
      <c r="T52" s="81"/>
      <c r="U52" s="78">
        <v>46022</v>
      </c>
      <c r="V52" s="78"/>
      <c r="W52" s="79">
        <f>+IFERROR(X52/$I52,"-")</f>
        <v>0.1</v>
      </c>
      <c r="X52" s="80">
        <f>+지급비율!N64*$I52</f>
        <v>5148000</v>
      </c>
      <c r="Y52" s="70"/>
      <c r="Z52" s="70">
        <f>+X52-Y52</f>
        <v>5148000</v>
      </c>
      <c r="AA52" s="161"/>
      <c r="AB52" s="78">
        <v>46053</v>
      </c>
      <c r="AC52" s="78"/>
      <c r="AD52" s="79">
        <f>+IFERROR(AE52/$I52,"-")</f>
        <v>0.5</v>
      </c>
      <c r="AE52" s="80">
        <f>+지급비율!U64*$I52</f>
        <v>25740000</v>
      </c>
      <c r="AF52" s="70"/>
      <c r="AG52" s="70">
        <f>+AE52-AF52</f>
        <v>25740000</v>
      </c>
      <c r="AH52" s="161"/>
      <c r="AI52" s="78"/>
      <c r="AJ52" s="78"/>
      <c r="AK52" s="79">
        <f>+IFERROR(AL52/$I52,"-")</f>
        <v>0</v>
      </c>
      <c r="AL52" s="80">
        <f>+지급비율!AB64*$I52</f>
        <v>0</v>
      </c>
      <c r="AM52" s="70"/>
      <c r="AN52" s="70">
        <f>+AL52-AM52</f>
        <v>0</v>
      </c>
      <c r="AO52" s="161"/>
      <c r="AP52" s="78"/>
      <c r="AQ52" s="78"/>
      <c r="AR52" s="79">
        <f>+IFERROR(AS52/$I52,"-")</f>
        <v>0</v>
      </c>
      <c r="AS52" s="80">
        <f>+지급비율!AI64*$I52</f>
        <v>0</v>
      </c>
      <c r="AT52" s="70"/>
      <c r="AU52" s="70">
        <f>+AS52-AT52</f>
        <v>0</v>
      </c>
      <c r="AV52" s="161"/>
      <c r="AW52" s="78"/>
      <c r="AX52" s="78"/>
      <c r="AY52" s="79">
        <f>+IFERROR(AZ52/$I52,"-")</f>
        <v>0</v>
      </c>
      <c r="AZ52" s="80">
        <f>+지급비율!AP64*$I52</f>
        <v>0</v>
      </c>
      <c r="BA52" s="70"/>
      <c r="BB52" s="70">
        <f>+AZ52-BA52</f>
        <v>0</v>
      </c>
      <c r="BC52" s="161"/>
      <c r="BD52" s="78"/>
      <c r="BE52" s="78"/>
      <c r="BF52" s="79">
        <f>+IFERROR(BG52/$I52,"-")</f>
        <v>0</v>
      </c>
      <c r="BG52" s="80">
        <f>+지급비율!AW64*$I52</f>
        <v>0</v>
      </c>
      <c r="BH52" s="70"/>
      <c r="BI52" s="70">
        <f>+BG52-BH52</f>
        <v>0</v>
      </c>
      <c r="BJ52" s="161"/>
      <c r="BK52" s="78">
        <v>46142</v>
      </c>
      <c r="BL52" s="78"/>
      <c r="BM52" s="79">
        <f>+IFERROR(BN52/$I52,"-")</f>
        <v>0.1</v>
      </c>
      <c r="BN52" s="80">
        <f>+지급비율!BD64*$I52</f>
        <v>5148000</v>
      </c>
      <c r="BO52" s="70"/>
      <c r="BP52" s="70">
        <f t="shared" si="25"/>
        <v>5148000</v>
      </c>
      <c r="BQ52" s="161"/>
      <c r="BR52" s="73"/>
      <c r="BS52" s="74" t="b">
        <f>+Q52+X52+AE52+AS52+AZ52+BG52+BN52=I52</f>
        <v>1</v>
      </c>
      <c r="BT52" s="74" t="b">
        <f>+R52+Y52+AF52+AT52+BA52+BH52+BO52=K52</f>
        <v>1</v>
      </c>
      <c r="BU52" s="74"/>
      <c r="BV52" s="54"/>
      <c r="BW52" s="54"/>
      <c r="BX52" s="54"/>
      <c r="BY52" s="54"/>
      <c r="BZ52" s="54"/>
      <c r="CA52" s="54"/>
      <c r="CB52" s="54"/>
      <c r="CC52" s="54"/>
      <c r="CD52" s="58"/>
      <c r="CE52" s="58"/>
    </row>
    <row r="53" spans="1:83" ht="16.5" customHeight="1">
      <c r="A53" s="62"/>
      <c r="B53" s="1335"/>
      <c r="C53" s="1534"/>
      <c r="D53" s="1341"/>
      <c r="E53" s="1344"/>
      <c r="F53" s="75" t="s">
        <v>390</v>
      </c>
      <c r="G53" s="76">
        <f>+지급비율!F65*$D$51/1000</f>
        <v>31200000</v>
      </c>
      <c r="H53" s="76">
        <f>+G53*10%</f>
        <v>3120000</v>
      </c>
      <c r="I53" s="76">
        <f>SUM(G53:H53)</f>
        <v>34320000</v>
      </c>
      <c r="J53" s="75">
        <f t="shared" si="27"/>
        <v>0</v>
      </c>
      <c r="K53" s="80">
        <f>+IFERROR(R53+Y53+AF53+AT53+BA53+BH53+BO53,"-")</f>
        <v>0</v>
      </c>
      <c r="L53" s="80">
        <f>+I53-K53</f>
        <v>34320000</v>
      </c>
      <c r="M53" s="1332"/>
      <c r="N53" s="78">
        <v>45991</v>
      </c>
      <c r="O53" s="78"/>
      <c r="P53" s="79">
        <f>+IFERROR(Q53/$I53,"-")</f>
        <v>0.3</v>
      </c>
      <c r="Q53" s="80">
        <f>+지급비율!G65*$I53</f>
        <v>10296000</v>
      </c>
      <c r="R53" s="80"/>
      <c r="S53" s="80">
        <f>+Q53-R53</f>
        <v>10296000</v>
      </c>
      <c r="T53" s="81"/>
      <c r="U53" s="78">
        <v>46022</v>
      </c>
      <c r="V53" s="72"/>
      <c r="W53" s="79">
        <f>+IFERROR(X53/$I53,"-")</f>
        <v>0.1</v>
      </c>
      <c r="X53" s="80">
        <f>+지급비율!N65*$I53</f>
        <v>3432000</v>
      </c>
      <c r="Y53" s="70"/>
      <c r="Z53" s="70">
        <f>+X53-Y53</f>
        <v>3432000</v>
      </c>
      <c r="AA53" s="161"/>
      <c r="AB53" s="78">
        <v>46053</v>
      </c>
      <c r="AC53" s="72"/>
      <c r="AD53" s="79">
        <f>+IFERROR(AE53/$I53,"-")</f>
        <v>0.5</v>
      </c>
      <c r="AE53" s="80">
        <f>+지급비율!U65*$I53</f>
        <v>17160000</v>
      </c>
      <c r="AF53" s="70"/>
      <c r="AG53" s="70">
        <f>+AE53-AF53</f>
        <v>17160000</v>
      </c>
      <c r="AH53" s="161"/>
      <c r="AI53" s="72"/>
      <c r="AJ53" s="72"/>
      <c r="AK53" s="79">
        <f>+IFERROR(AL53/$I53,"-")</f>
        <v>0</v>
      </c>
      <c r="AL53" s="80">
        <f>+지급비율!AB65*$I53</f>
        <v>0</v>
      </c>
      <c r="AM53" s="70"/>
      <c r="AN53" s="70">
        <f>+AL53-AM53</f>
        <v>0</v>
      </c>
      <c r="AO53" s="161"/>
      <c r="AP53" s="72"/>
      <c r="AQ53" s="72"/>
      <c r="AR53" s="79">
        <f>+IFERROR(AS53/$I53,"-")</f>
        <v>0</v>
      </c>
      <c r="AS53" s="80">
        <f>+지급비율!AI65*$I53</f>
        <v>0</v>
      </c>
      <c r="AT53" s="70"/>
      <c r="AU53" s="70">
        <f>+AS53-AT53</f>
        <v>0</v>
      </c>
      <c r="AV53" s="161"/>
      <c r="AW53" s="72"/>
      <c r="AX53" s="72"/>
      <c r="AY53" s="79">
        <f>+IFERROR(AZ53/$I53,"-")</f>
        <v>0</v>
      </c>
      <c r="AZ53" s="80">
        <f>+지급비율!AP65*$I53</f>
        <v>0</v>
      </c>
      <c r="BA53" s="70"/>
      <c r="BB53" s="70">
        <f>+AZ53-BA53</f>
        <v>0</v>
      </c>
      <c r="BC53" s="161"/>
      <c r="BD53" s="72"/>
      <c r="BE53" s="72"/>
      <c r="BF53" s="79">
        <f>+IFERROR(BG53/$I53,"-")</f>
        <v>0</v>
      </c>
      <c r="BG53" s="80">
        <f>+지급비율!AW65*$I53</f>
        <v>0</v>
      </c>
      <c r="BH53" s="70"/>
      <c r="BI53" s="70">
        <f>+BG53-BH53</f>
        <v>0</v>
      </c>
      <c r="BJ53" s="161"/>
      <c r="BK53" s="78">
        <v>46142</v>
      </c>
      <c r="BL53" s="72"/>
      <c r="BM53" s="79">
        <f>+IFERROR(BN53/$I53,"-")</f>
        <v>0.1</v>
      </c>
      <c r="BN53" s="80">
        <f>+지급비율!BD65*$I53</f>
        <v>3432000</v>
      </c>
      <c r="BO53" s="70"/>
      <c r="BP53" s="70">
        <f t="shared" si="25"/>
        <v>3432000</v>
      </c>
      <c r="BQ53" s="161"/>
      <c r="BR53" s="73"/>
      <c r="BS53" s="74" t="b">
        <f>+Q53+X53+AE53+AS53+AZ53+BG53+BN53=I53</f>
        <v>1</v>
      </c>
      <c r="BT53" s="74" t="b">
        <f>+R53+Y53+AF53+AT53+BA53+BH53+BO53=K53</f>
        <v>1</v>
      </c>
      <c r="BU53" s="74"/>
      <c r="BV53" s="54"/>
      <c r="BW53" s="54"/>
      <c r="BX53" s="54"/>
      <c r="BY53" s="54"/>
      <c r="BZ53" s="54"/>
      <c r="CA53" s="54"/>
      <c r="CB53" s="54"/>
      <c r="CC53" s="54"/>
      <c r="CD53" s="58"/>
      <c r="CE53" s="58"/>
    </row>
    <row r="54" spans="1:83" ht="16.5" customHeight="1">
      <c r="A54" s="62"/>
      <c r="B54" s="1335"/>
      <c r="C54" s="1534"/>
      <c r="D54" s="1341"/>
      <c r="E54" s="1344"/>
      <c r="F54" s="101" t="s">
        <v>391</v>
      </c>
      <c r="G54" s="102">
        <f>+지급비율!F66*$D$51/1000</f>
        <v>27300000</v>
      </c>
      <c r="H54" s="102">
        <f>+G54*0.1</f>
        <v>2730000</v>
      </c>
      <c r="I54" s="102">
        <f>SUM(G54:H54)</f>
        <v>30030000</v>
      </c>
      <c r="J54" s="101">
        <f t="shared" si="27"/>
        <v>0</v>
      </c>
      <c r="K54" s="106">
        <f>+IFERROR(R54+Y54+AF54+AT54+BA54+BH54+BO54,"-")</f>
        <v>0</v>
      </c>
      <c r="L54" s="106">
        <f>+I54-K54</f>
        <v>30030000</v>
      </c>
      <c r="M54" s="1333"/>
      <c r="N54" s="85"/>
      <c r="O54" s="83"/>
      <c r="P54" s="86"/>
      <c r="Q54" s="70">
        <f>+지급비율!G66*$I54</f>
        <v>0</v>
      </c>
      <c r="R54" s="87"/>
      <c r="S54" s="87"/>
      <c r="T54" s="83"/>
      <c r="U54" s="85"/>
      <c r="V54" s="83"/>
      <c r="W54" s="86"/>
      <c r="X54" s="70">
        <f>+지급비율!N66*$I54</f>
        <v>0</v>
      </c>
      <c r="Y54" s="87"/>
      <c r="Z54" s="87"/>
      <c r="AA54" s="83"/>
      <c r="AB54" s="85"/>
      <c r="AC54" s="83"/>
      <c r="AD54" s="86"/>
      <c r="AE54" s="70">
        <f>+지급비율!U66*$I54</f>
        <v>0</v>
      </c>
      <c r="AF54" s="87"/>
      <c r="AG54" s="87"/>
      <c r="AH54" s="83"/>
      <c r="AI54" s="85"/>
      <c r="AJ54" s="83"/>
      <c r="AK54" s="86"/>
      <c r="AL54" s="70">
        <f>+지급비율!AB66*$I54</f>
        <v>0</v>
      </c>
      <c r="AM54" s="87"/>
      <c r="AN54" s="87"/>
      <c r="AO54" s="83"/>
      <c r="AP54" s="85"/>
      <c r="AQ54" s="83"/>
      <c r="AR54" s="86"/>
      <c r="AS54" s="70">
        <f>+지급비율!AI66*$I54</f>
        <v>0</v>
      </c>
      <c r="AT54" s="87"/>
      <c r="AU54" s="87"/>
      <c r="AV54" s="83"/>
      <c r="AW54" s="85"/>
      <c r="AX54" s="83"/>
      <c r="AY54" s="86"/>
      <c r="AZ54" s="70">
        <f>+지급비율!AP66*$I54</f>
        <v>0</v>
      </c>
      <c r="BA54" s="87"/>
      <c r="BB54" s="87"/>
      <c r="BC54" s="83"/>
      <c r="BD54" s="85"/>
      <c r="BE54" s="83"/>
      <c r="BF54" s="86"/>
      <c r="BG54" s="70">
        <f>+지급비율!AW66*$I54</f>
        <v>0</v>
      </c>
      <c r="BH54" s="87"/>
      <c r="BI54" s="87"/>
      <c r="BJ54" s="83"/>
      <c r="BK54" s="78">
        <v>46142</v>
      </c>
      <c r="BL54" s="101"/>
      <c r="BM54" s="86"/>
      <c r="BN54" s="70">
        <f>+지급비율!BD66*$I54</f>
        <v>30030000</v>
      </c>
      <c r="BO54" s="87"/>
      <c r="BP54" s="70">
        <f t="shared" si="25"/>
        <v>30030000</v>
      </c>
      <c r="BQ54" s="83"/>
      <c r="BR54" s="88"/>
      <c r="BS54" s="89" t="b">
        <f>+Q54+X54+AE54+AS54+AZ54+BG54+BN54=I54</f>
        <v>1</v>
      </c>
      <c r="BT54" s="90" t="b">
        <f>+R54+Y54+AF54+AT54+BA54+BH54+BO54=K54</f>
        <v>1</v>
      </c>
      <c r="BU54" s="90"/>
      <c r="BV54" s="54"/>
      <c r="BW54" s="54"/>
      <c r="BX54" s="54"/>
      <c r="BY54" s="54"/>
      <c r="BZ54" s="54"/>
      <c r="CA54" s="54"/>
      <c r="CB54" s="54"/>
      <c r="CC54" s="54"/>
      <c r="CD54" s="58"/>
      <c r="CE54" s="58"/>
    </row>
    <row r="55" spans="1:83" ht="16.5" customHeight="1">
      <c r="A55" s="62"/>
      <c r="B55" s="1336"/>
      <c r="C55" s="1535"/>
      <c r="D55" s="1342"/>
      <c r="E55" s="1345"/>
      <c r="F55" s="91" t="s">
        <v>392</v>
      </c>
      <c r="G55" s="92">
        <f>SUM(G51:G54)</f>
        <v>276900000</v>
      </c>
      <c r="H55" s="92">
        <f>SUM(H51:H54)</f>
        <v>27690000</v>
      </c>
      <c r="I55" s="92">
        <f>SUM(I51:I54)</f>
        <v>304590000</v>
      </c>
      <c r="J55" s="91">
        <f t="shared" si="27"/>
        <v>0</v>
      </c>
      <c r="K55" s="92">
        <f>SUM(K51:K54)</f>
        <v>0</v>
      </c>
      <c r="L55" s="92">
        <f>SUM(L51:L54)</f>
        <v>304590000</v>
      </c>
      <c r="M55" s="419">
        <f>+Q52+Q53</f>
        <v>25740000</v>
      </c>
      <c r="N55" s="93"/>
      <c r="O55" s="91"/>
      <c r="P55" s="94">
        <f>+IFERROR(Q55/$I55,"-")</f>
        <v>8.4507042253521125E-2</v>
      </c>
      <c r="Q55" s="92">
        <f>SUM(Q51:Q54)</f>
        <v>25740000</v>
      </c>
      <c r="R55" s="92">
        <f>SUM(R51:R54)</f>
        <v>0</v>
      </c>
      <c r="S55" s="95">
        <f t="shared" ref="S55" si="28">+Q55-R55</f>
        <v>25740000</v>
      </c>
      <c r="T55" s="91"/>
      <c r="U55" s="93"/>
      <c r="V55" s="91"/>
      <c r="W55" s="94">
        <f>+IFERROR(X55/$I55,"-")</f>
        <v>2.8169014084507043E-2</v>
      </c>
      <c r="X55" s="92">
        <f>SUM(X51:X54)</f>
        <v>8580000</v>
      </c>
      <c r="Y55" s="92">
        <f>SUM(Y51:Y54)</f>
        <v>0</v>
      </c>
      <c r="Z55" s="95">
        <f t="shared" ref="Z55" si="29">+X55-Y55</f>
        <v>8580000</v>
      </c>
      <c r="AA55" s="91"/>
      <c r="AB55" s="93"/>
      <c r="AC55" s="91"/>
      <c r="AD55" s="94">
        <f>+IFERROR(AE55/$I55,"-")</f>
        <v>0.45070422535211269</v>
      </c>
      <c r="AE55" s="92">
        <f>SUM(AE51:AE54)</f>
        <v>137280000</v>
      </c>
      <c r="AF55" s="92">
        <f>SUM(AF51:AF54)</f>
        <v>0</v>
      </c>
      <c r="AG55" s="95">
        <f t="shared" ref="AG55" si="30">+AE55-AF55</f>
        <v>137280000</v>
      </c>
      <c r="AH55" s="91"/>
      <c r="AI55" s="93"/>
      <c r="AJ55" s="91"/>
      <c r="AK55" s="94">
        <f t="shared" ref="AK55" si="31">+IFERROR(AL55/$I55,"-")</f>
        <v>0</v>
      </c>
      <c r="AL55" s="92">
        <f>SUM(AL51:AL54)</f>
        <v>0</v>
      </c>
      <c r="AM55" s="92">
        <f>SUM(AM51:AM54)</f>
        <v>0</v>
      </c>
      <c r="AN55" s="95">
        <f t="shared" ref="AN55" si="32">+AL55-AM55</f>
        <v>0</v>
      </c>
      <c r="AO55" s="91"/>
      <c r="AP55" s="93"/>
      <c r="AQ55" s="91"/>
      <c r="AR55" s="94">
        <f>+IFERROR(AS55/$I55,"-")</f>
        <v>0</v>
      </c>
      <c r="AS55" s="92">
        <f>SUM(AS51:AS54)</f>
        <v>0</v>
      </c>
      <c r="AT55" s="92">
        <f>SUM(AT51:AT54)</f>
        <v>0</v>
      </c>
      <c r="AU55" s="95">
        <f t="shared" ref="AU55" si="33">+AS55-AT55</f>
        <v>0</v>
      </c>
      <c r="AV55" s="91"/>
      <c r="AW55" s="93"/>
      <c r="AX55" s="91"/>
      <c r="AY55" s="94">
        <f>+IFERROR(AZ55/$I55,"-")</f>
        <v>0</v>
      </c>
      <c r="AZ55" s="92">
        <f>SUM(AZ51:AZ54)</f>
        <v>0</v>
      </c>
      <c r="BA55" s="92">
        <f>SUM(BA51:BA54)</f>
        <v>0</v>
      </c>
      <c r="BB55" s="95">
        <f t="shared" ref="BB55" si="34">+AZ55-BA55</f>
        <v>0</v>
      </c>
      <c r="BC55" s="91"/>
      <c r="BD55" s="93"/>
      <c r="BE55" s="91"/>
      <c r="BF55" s="94">
        <f>+IFERROR(BG55/$I55,"-")</f>
        <v>0.24788732394366197</v>
      </c>
      <c r="BG55" s="92">
        <f>SUM(BG51:BG54)</f>
        <v>75504000</v>
      </c>
      <c r="BH55" s="92">
        <f>SUM(BH51:BH54)</f>
        <v>0</v>
      </c>
      <c r="BI55" s="95">
        <f t="shared" ref="BI55" si="35">+BG55-BH55</f>
        <v>75504000</v>
      </c>
      <c r="BJ55" s="91"/>
      <c r="BK55" s="93"/>
      <c r="BL55" s="91"/>
      <c r="BM55" s="94">
        <f t="shared" ref="BM55" si="36">+IFERROR(BN55/$I55,"-")</f>
        <v>0.18873239436619718</v>
      </c>
      <c r="BN55" s="92">
        <f>SUM(BN51:BN54)</f>
        <v>57486000</v>
      </c>
      <c r="BO55" s="92">
        <f>SUM(BO51:BO54)</f>
        <v>0</v>
      </c>
      <c r="BP55" s="95">
        <f t="shared" ref="BP55:BP59" si="37">+BN55-BO55</f>
        <v>57486000</v>
      </c>
      <c r="BQ55" s="91"/>
      <c r="BR55" s="88"/>
      <c r="BS55" s="96"/>
      <c r="BT55" s="97"/>
      <c r="BU55" s="97"/>
      <c r="BV55" s="54"/>
      <c r="BW55" s="54"/>
      <c r="BX55" s="54"/>
      <c r="BY55" s="54"/>
      <c r="BZ55" s="54"/>
      <c r="CA55" s="54"/>
      <c r="CB55" s="54"/>
      <c r="CC55" s="54"/>
      <c r="CD55" s="58"/>
      <c r="CE55" s="58"/>
    </row>
    <row r="56" spans="1:83" ht="16.5" customHeight="1">
      <c r="A56" s="62"/>
      <c r="B56" s="1334">
        <f t="shared" ref="B56" si="38">+B51+1</f>
        <v>10</v>
      </c>
      <c r="C56" s="1533" t="s">
        <v>912</v>
      </c>
      <c r="D56" s="1340">
        <v>1000</v>
      </c>
      <c r="E56" s="1343" t="s">
        <v>387</v>
      </c>
      <c r="F56" s="63" t="s">
        <v>388</v>
      </c>
      <c r="G56" s="64">
        <f>+지급비율!F67*$D$56/1000</f>
        <v>1100000000</v>
      </c>
      <c r="H56" s="64">
        <f>+G56*10%</f>
        <v>110000000</v>
      </c>
      <c r="I56" s="64">
        <f>SUM(G56:H56)</f>
        <v>1210000000</v>
      </c>
      <c r="J56" s="65">
        <f t="shared" ref="J56:J65" si="39">+IFERROR(K56/I56,"-")</f>
        <v>0</v>
      </c>
      <c r="K56" s="70">
        <f>+IFERROR(R56+Y56+AF56+AT56+BA56+BH56+BO56,"-")</f>
        <v>0</v>
      </c>
      <c r="L56" s="70">
        <f>+I56-K56</f>
        <v>1210000000</v>
      </c>
      <c r="M56" s="1331" t="s">
        <v>407</v>
      </c>
      <c r="N56" s="67"/>
      <c r="O56" s="72"/>
      <c r="P56" s="69"/>
      <c r="Q56" s="70">
        <f>+지급비율!G67*$I56</f>
        <v>0</v>
      </c>
      <c r="R56" s="70"/>
      <c r="S56" s="70">
        <f>+Q56-R56</f>
        <v>0</v>
      </c>
      <c r="T56" s="81"/>
      <c r="U56" s="67"/>
      <c r="V56" s="68"/>
      <c r="W56" s="69"/>
      <c r="X56" s="70">
        <f>+지급비율!N67*$I56</f>
        <v>0</v>
      </c>
      <c r="Y56" s="70"/>
      <c r="Z56" s="70">
        <f>+X56-Y56</f>
        <v>0</v>
      </c>
      <c r="AA56" s="81"/>
      <c r="AB56" s="67">
        <f>+EDATE(AI56,1)</f>
        <v>46050</v>
      </c>
      <c r="AC56" s="68"/>
      <c r="AD56" s="69"/>
      <c r="AE56" s="70">
        <f>+지급비율!U67*$I56</f>
        <v>605000000</v>
      </c>
      <c r="AF56" s="70"/>
      <c r="AG56" s="70">
        <f>+AE56-AF56</f>
        <v>605000000</v>
      </c>
      <c r="AH56" s="81"/>
      <c r="AI56" s="67">
        <f>+EDATE(AP56,-1)</f>
        <v>46019</v>
      </c>
      <c r="AJ56" s="68"/>
      <c r="AK56" s="69"/>
      <c r="AL56" s="70">
        <f>+지급비율!AB67*$I56</f>
        <v>0</v>
      </c>
      <c r="AM56" s="70"/>
      <c r="AN56" s="70">
        <f>+AL56-AM56</f>
        <v>0</v>
      </c>
      <c r="AO56" s="81"/>
      <c r="AP56" s="67">
        <f>+EDATE(AW56,-1)</f>
        <v>46050</v>
      </c>
      <c r="AQ56" s="68"/>
      <c r="AR56" s="69"/>
      <c r="AS56" s="70">
        <f>+지급비율!AI67*$I56</f>
        <v>0</v>
      </c>
      <c r="AT56" s="70"/>
      <c r="AU56" s="70">
        <f>+AS56-AT56</f>
        <v>0</v>
      </c>
      <c r="AV56" s="81"/>
      <c r="AW56" s="67">
        <f>+EDATE(BD56,-1)</f>
        <v>46081</v>
      </c>
      <c r="AX56" s="68"/>
      <c r="AY56" s="69"/>
      <c r="AZ56" s="70">
        <f>+지급비율!AP67*$I56</f>
        <v>0</v>
      </c>
      <c r="BA56" s="70"/>
      <c r="BB56" s="70">
        <f>+AZ56-BA56</f>
        <v>0</v>
      </c>
      <c r="BC56" s="81"/>
      <c r="BD56" s="67">
        <f>+EDATE(BK56,-1)</f>
        <v>46111</v>
      </c>
      <c r="BE56" s="68"/>
      <c r="BF56" s="69"/>
      <c r="BG56" s="70">
        <f>+지급비율!AW67*$I56</f>
        <v>484000000</v>
      </c>
      <c r="BH56" s="70"/>
      <c r="BI56" s="70">
        <f>+BG56-BH56</f>
        <v>484000000</v>
      </c>
      <c r="BJ56" s="81"/>
      <c r="BK56" s="78">
        <v>46142</v>
      </c>
      <c r="BL56" s="68"/>
      <c r="BM56" s="69"/>
      <c r="BN56" s="70">
        <f>+지급비율!BD67*$I56</f>
        <v>121000000</v>
      </c>
      <c r="BO56" s="70"/>
      <c r="BP56" s="70">
        <f t="shared" si="37"/>
        <v>121000000</v>
      </c>
      <c r="BQ56" s="81"/>
      <c r="BR56" s="73"/>
      <c r="BS56" s="74" t="b">
        <f>+Q56+X56+AE56+AS56+AZ56+BG56+BN56=I56</f>
        <v>1</v>
      </c>
      <c r="BT56" s="74" t="b">
        <f>+R56+Y56+AF56+AT56+BA56+BH56+BO56=K56</f>
        <v>1</v>
      </c>
      <c r="BU56" s="74"/>
      <c r="BV56" s="54"/>
      <c r="BW56" s="54"/>
      <c r="BX56" s="54"/>
      <c r="BY56" s="54"/>
      <c r="BZ56" s="54"/>
      <c r="CA56" s="54"/>
      <c r="CB56" s="54"/>
      <c r="CC56" s="54"/>
      <c r="CD56" s="58"/>
      <c r="CE56" s="58"/>
    </row>
    <row r="57" spans="1:83" ht="16.5" customHeight="1">
      <c r="A57" s="62"/>
      <c r="B57" s="1335"/>
      <c r="C57" s="1534"/>
      <c r="D57" s="1341"/>
      <c r="E57" s="1344"/>
      <c r="F57" s="75" t="s">
        <v>389</v>
      </c>
      <c r="G57" s="76">
        <f>+지급비율!F68*$D$56/1000</f>
        <v>300000000</v>
      </c>
      <c r="H57" s="76">
        <f>+G57*10%</f>
        <v>30000000</v>
      </c>
      <c r="I57" s="76">
        <f>SUM(G57:H57)</f>
        <v>330000000</v>
      </c>
      <c r="J57" s="75">
        <f t="shared" si="39"/>
        <v>0</v>
      </c>
      <c r="K57" s="80">
        <f>+IFERROR(R57+Y57+AF57+AT57+BA57+BH57+BO57,"-")</f>
        <v>0</v>
      </c>
      <c r="L57" s="80">
        <f>+I57-K57</f>
        <v>330000000</v>
      </c>
      <c r="M57" s="1332"/>
      <c r="N57" s="78">
        <v>45991</v>
      </c>
      <c r="O57" s="78"/>
      <c r="P57" s="79">
        <f>+IFERROR(Q57/$I57,"-")</f>
        <v>0.3</v>
      </c>
      <c r="Q57" s="80">
        <f>+지급비율!G68*$I57</f>
        <v>99000000</v>
      </c>
      <c r="R57" s="80"/>
      <c r="S57" s="80">
        <f>+Q57-R57</f>
        <v>99000000</v>
      </c>
      <c r="T57" s="81"/>
      <c r="U57" s="78">
        <v>46022</v>
      </c>
      <c r="V57" s="78"/>
      <c r="W57" s="79">
        <f>+IFERROR(X57/$I57,"-")</f>
        <v>0.1</v>
      </c>
      <c r="X57" s="80">
        <f>+지급비율!N68*$I57</f>
        <v>33000000</v>
      </c>
      <c r="Y57" s="70"/>
      <c r="Z57" s="70">
        <f>+X57-Y57</f>
        <v>33000000</v>
      </c>
      <c r="AA57" s="161"/>
      <c r="AB57" s="78">
        <v>46053</v>
      </c>
      <c r="AC57" s="78"/>
      <c r="AD57" s="79">
        <f>+IFERROR(AE57/$I57,"-")</f>
        <v>0.5</v>
      </c>
      <c r="AE57" s="80">
        <f>+지급비율!U68*$I57</f>
        <v>165000000</v>
      </c>
      <c r="AF57" s="70"/>
      <c r="AG57" s="70">
        <f>+AE57-AF57</f>
        <v>165000000</v>
      </c>
      <c r="AH57" s="161"/>
      <c r="AI57" s="78"/>
      <c r="AJ57" s="78"/>
      <c r="AK57" s="79">
        <f>+IFERROR(AL57/$I57,"-")</f>
        <v>0</v>
      </c>
      <c r="AL57" s="80">
        <f>+지급비율!AB68*$I57</f>
        <v>0</v>
      </c>
      <c r="AM57" s="70"/>
      <c r="AN57" s="70">
        <f>+AL57-AM57</f>
        <v>0</v>
      </c>
      <c r="AO57" s="161"/>
      <c r="AP57" s="78"/>
      <c r="AQ57" s="78"/>
      <c r="AR57" s="79">
        <f>+IFERROR(AS57/$I57,"-")</f>
        <v>0</v>
      </c>
      <c r="AS57" s="80">
        <f>+지급비율!AI68*$I57</f>
        <v>0</v>
      </c>
      <c r="AT57" s="70"/>
      <c r="AU57" s="70">
        <f>+AS57-AT57</f>
        <v>0</v>
      </c>
      <c r="AV57" s="161"/>
      <c r="AW57" s="78"/>
      <c r="AX57" s="78"/>
      <c r="AY57" s="79">
        <f>+IFERROR(AZ57/$I57,"-")</f>
        <v>0</v>
      </c>
      <c r="AZ57" s="80">
        <f>+지급비율!AP68*$I57</f>
        <v>0</v>
      </c>
      <c r="BA57" s="70"/>
      <c r="BB57" s="70">
        <f>+AZ57-BA57</f>
        <v>0</v>
      </c>
      <c r="BC57" s="161"/>
      <c r="BD57" s="78"/>
      <c r="BE57" s="78"/>
      <c r="BF57" s="79">
        <f>+IFERROR(BG57/$I57,"-")</f>
        <v>0</v>
      </c>
      <c r="BG57" s="80">
        <f>+지급비율!AW68*$I57</f>
        <v>0</v>
      </c>
      <c r="BH57" s="70"/>
      <c r="BI57" s="70">
        <f>+BG57-BH57</f>
        <v>0</v>
      </c>
      <c r="BJ57" s="161"/>
      <c r="BK57" s="78">
        <v>46142</v>
      </c>
      <c r="BL57" s="78"/>
      <c r="BM57" s="79">
        <f>+IFERROR(BN57/$I57,"-")</f>
        <v>0.1</v>
      </c>
      <c r="BN57" s="80">
        <f>+지급비율!BD68*$I57</f>
        <v>33000000</v>
      </c>
      <c r="BO57" s="70"/>
      <c r="BP57" s="70">
        <f t="shared" si="37"/>
        <v>33000000</v>
      </c>
      <c r="BQ57" s="161"/>
      <c r="BR57" s="73"/>
      <c r="BS57" s="74" t="b">
        <f>+Q57+X57+AE57+AS57+AZ57+BG57+BN57=I57</f>
        <v>1</v>
      </c>
      <c r="BT57" s="74" t="b">
        <f>+R57+Y57+AF57+AT57+BA57+BH57+BO57=K57</f>
        <v>1</v>
      </c>
      <c r="BU57" s="74"/>
      <c r="BV57" s="54"/>
      <c r="BW57" s="54"/>
      <c r="BX57" s="54"/>
      <c r="BY57" s="54"/>
      <c r="BZ57" s="54"/>
      <c r="CA57" s="54"/>
      <c r="CB57" s="54"/>
      <c r="CC57" s="54"/>
      <c r="CD57" s="58"/>
      <c r="CE57" s="58"/>
    </row>
    <row r="58" spans="1:83" ht="16.5" customHeight="1">
      <c r="A58" s="62"/>
      <c r="B58" s="1335"/>
      <c r="C58" s="1534"/>
      <c r="D58" s="1341"/>
      <c r="E58" s="1344"/>
      <c r="F58" s="75" t="s">
        <v>390</v>
      </c>
      <c r="G58" s="76">
        <f>+지급비율!F69*$D$56/1000</f>
        <v>200000000</v>
      </c>
      <c r="H58" s="76">
        <f>+G58*10%</f>
        <v>20000000</v>
      </c>
      <c r="I58" s="76">
        <f>SUM(G58:H58)</f>
        <v>220000000</v>
      </c>
      <c r="J58" s="75">
        <f t="shared" si="39"/>
        <v>0</v>
      </c>
      <c r="K58" s="80">
        <f>+IFERROR(R58+Y58+AF58+AT58+BA58+BH58+BO58,"-")</f>
        <v>0</v>
      </c>
      <c r="L58" s="80">
        <f>+I58-K58</f>
        <v>220000000</v>
      </c>
      <c r="M58" s="1332"/>
      <c r="N58" s="78">
        <v>45991</v>
      </c>
      <c r="O58" s="78"/>
      <c r="P58" s="79">
        <f>+IFERROR(Q58/$I58,"-")</f>
        <v>0.3</v>
      </c>
      <c r="Q58" s="80">
        <f>+지급비율!G69*$I58</f>
        <v>66000000</v>
      </c>
      <c r="R58" s="80"/>
      <c r="S58" s="80">
        <f>+Q58-R58</f>
        <v>66000000</v>
      </c>
      <c r="T58" s="81"/>
      <c r="U58" s="78">
        <v>46022</v>
      </c>
      <c r="V58" s="72"/>
      <c r="W58" s="79">
        <f>+IFERROR(X58/$I58,"-")</f>
        <v>0.1</v>
      </c>
      <c r="X58" s="80">
        <f>+지급비율!N69*$I58</f>
        <v>22000000</v>
      </c>
      <c r="Y58" s="70"/>
      <c r="Z58" s="70">
        <f>+X58-Y58</f>
        <v>22000000</v>
      </c>
      <c r="AA58" s="161"/>
      <c r="AB58" s="78">
        <v>46053</v>
      </c>
      <c r="AC58" s="72"/>
      <c r="AD58" s="79">
        <f>+IFERROR(AE58/$I58,"-")</f>
        <v>0.5</v>
      </c>
      <c r="AE58" s="80">
        <f>+지급비율!U69*$I58</f>
        <v>110000000</v>
      </c>
      <c r="AF58" s="70"/>
      <c r="AG58" s="70">
        <f>+AE58-AF58</f>
        <v>110000000</v>
      </c>
      <c r="AH58" s="161"/>
      <c r="AI58" s="72"/>
      <c r="AJ58" s="72"/>
      <c r="AK58" s="79">
        <f>+IFERROR(AL58/$I58,"-")</f>
        <v>0</v>
      </c>
      <c r="AL58" s="80">
        <f>+지급비율!AB69*$I58</f>
        <v>0</v>
      </c>
      <c r="AM58" s="70"/>
      <c r="AN58" s="70">
        <f>+AL58-AM58</f>
        <v>0</v>
      </c>
      <c r="AO58" s="161"/>
      <c r="AP58" s="72"/>
      <c r="AQ58" s="72"/>
      <c r="AR58" s="79">
        <f>+IFERROR(AS58/$I58,"-")</f>
        <v>0</v>
      </c>
      <c r="AS58" s="80">
        <f>+지급비율!AI69*$I58</f>
        <v>0</v>
      </c>
      <c r="AT58" s="70"/>
      <c r="AU58" s="70">
        <f>+AS58-AT58</f>
        <v>0</v>
      </c>
      <c r="AV58" s="161"/>
      <c r="AW58" s="72"/>
      <c r="AX58" s="72"/>
      <c r="AY58" s="79">
        <f>+IFERROR(AZ58/$I58,"-")</f>
        <v>0</v>
      </c>
      <c r="AZ58" s="80">
        <f>+지급비율!AP69*$I58</f>
        <v>0</v>
      </c>
      <c r="BA58" s="70"/>
      <c r="BB58" s="70">
        <f>+AZ58-BA58</f>
        <v>0</v>
      </c>
      <c r="BC58" s="161"/>
      <c r="BD58" s="72"/>
      <c r="BE58" s="72"/>
      <c r="BF58" s="79">
        <f>+IFERROR(BG58/$I58,"-")</f>
        <v>0</v>
      </c>
      <c r="BG58" s="80">
        <f>+지급비율!AW69*$I58</f>
        <v>0</v>
      </c>
      <c r="BH58" s="70"/>
      <c r="BI58" s="70">
        <f>+BG58-BH58</f>
        <v>0</v>
      </c>
      <c r="BJ58" s="161"/>
      <c r="BK58" s="78">
        <v>46142</v>
      </c>
      <c r="BL58" s="72"/>
      <c r="BM58" s="79">
        <f>+IFERROR(BN58/$I58,"-")</f>
        <v>0.1</v>
      </c>
      <c r="BN58" s="80">
        <f>+지급비율!BD69*$I58</f>
        <v>22000000</v>
      </c>
      <c r="BO58" s="70"/>
      <c r="BP58" s="70">
        <f t="shared" si="37"/>
        <v>22000000</v>
      </c>
      <c r="BQ58" s="161"/>
      <c r="BR58" s="73"/>
      <c r="BS58" s="74" t="b">
        <f>+Q58+X58+AE58+AS58+AZ58+BG58+BN58=I58</f>
        <v>1</v>
      </c>
      <c r="BT58" s="74" t="b">
        <f>+R58+Y58+AF58+AT58+BA58+BH58+BO58=K58</f>
        <v>1</v>
      </c>
      <c r="BU58" s="74"/>
      <c r="BV58" s="54"/>
      <c r="BW58" s="54"/>
      <c r="BX58" s="54"/>
      <c r="BY58" s="54"/>
      <c r="BZ58" s="54"/>
      <c r="CA58" s="54"/>
      <c r="CB58" s="54"/>
      <c r="CC58" s="54"/>
      <c r="CD58" s="58"/>
      <c r="CE58" s="58"/>
    </row>
    <row r="59" spans="1:83" ht="16.5" customHeight="1">
      <c r="A59" s="62"/>
      <c r="B59" s="1335"/>
      <c r="C59" s="1534"/>
      <c r="D59" s="1341"/>
      <c r="E59" s="1344"/>
      <c r="F59" s="101" t="s">
        <v>391</v>
      </c>
      <c r="G59" s="102">
        <f>+지급비율!F70*$D$56/1000</f>
        <v>200000000</v>
      </c>
      <c r="H59" s="102">
        <f>+G59*0.1</f>
        <v>20000000</v>
      </c>
      <c r="I59" s="102">
        <f>SUM(G59:H59)</f>
        <v>220000000</v>
      </c>
      <c r="J59" s="101">
        <f t="shared" si="39"/>
        <v>0</v>
      </c>
      <c r="K59" s="106">
        <f>+IFERROR(R59+Y59+AF59+AT59+BA59+BH59+BO59,"-")</f>
        <v>0</v>
      </c>
      <c r="L59" s="106">
        <f>+I59-K59</f>
        <v>220000000</v>
      </c>
      <c r="M59" s="1333"/>
      <c r="N59" s="85"/>
      <c r="O59" s="83"/>
      <c r="P59" s="86"/>
      <c r="Q59" s="70">
        <f>+지급비율!G70*$I59</f>
        <v>0</v>
      </c>
      <c r="R59" s="87"/>
      <c r="S59" s="87"/>
      <c r="T59" s="83"/>
      <c r="U59" s="85"/>
      <c r="V59" s="83"/>
      <c r="W59" s="86"/>
      <c r="X59" s="70">
        <f>+지급비율!N70*$I59</f>
        <v>0</v>
      </c>
      <c r="Y59" s="87"/>
      <c r="Z59" s="87"/>
      <c r="AA59" s="83"/>
      <c r="AB59" s="85"/>
      <c r="AC59" s="83"/>
      <c r="AD59" s="86"/>
      <c r="AE59" s="70">
        <f>+지급비율!U70*$I59</f>
        <v>0</v>
      </c>
      <c r="AF59" s="87"/>
      <c r="AG59" s="87"/>
      <c r="AH59" s="83"/>
      <c r="AI59" s="85"/>
      <c r="AJ59" s="83"/>
      <c r="AK59" s="86"/>
      <c r="AL59" s="70">
        <f>+지급비율!AB70*$I59</f>
        <v>0</v>
      </c>
      <c r="AM59" s="87"/>
      <c r="AN59" s="87"/>
      <c r="AO59" s="83"/>
      <c r="AP59" s="85"/>
      <c r="AQ59" s="83"/>
      <c r="AR59" s="86"/>
      <c r="AS59" s="70">
        <f>+지급비율!AI70*$I59</f>
        <v>0</v>
      </c>
      <c r="AT59" s="87"/>
      <c r="AU59" s="87"/>
      <c r="AV59" s="83"/>
      <c r="AW59" s="85"/>
      <c r="AX59" s="83"/>
      <c r="AY59" s="86"/>
      <c r="AZ59" s="70">
        <f>+지급비율!AP70*$I59</f>
        <v>0</v>
      </c>
      <c r="BA59" s="87"/>
      <c r="BB59" s="87"/>
      <c r="BC59" s="83"/>
      <c r="BD59" s="85"/>
      <c r="BE59" s="83"/>
      <c r="BF59" s="86"/>
      <c r="BG59" s="70">
        <f>+지급비율!AW70*$I59</f>
        <v>0</v>
      </c>
      <c r="BH59" s="87"/>
      <c r="BI59" s="87"/>
      <c r="BJ59" s="83"/>
      <c r="BK59" s="78">
        <v>46142</v>
      </c>
      <c r="BL59" s="101"/>
      <c r="BM59" s="86"/>
      <c r="BN59" s="70">
        <f>+지급비율!BD70*$I59</f>
        <v>220000000</v>
      </c>
      <c r="BO59" s="87"/>
      <c r="BP59" s="70">
        <f t="shared" si="37"/>
        <v>220000000</v>
      </c>
      <c r="BQ59" s="83"/>
      <c r="BR59" s="88"/>
      <c r="BS59" s="89" t="b">
        <f>+Q59+X59+AE59+AS59+AZ59+BG59+BN59=I59</f>
        <v>1</v>
      </c>
      <c r="BT59" s="90" t="b">
        <f>+R59+Y59+AF59+AT59+BA59+BH59+BO59=K59</f>
        <v>1</v>
      </c>
      <c r="BU59" s="90"/>
      <c r="BV59" s="54"/>
      <c r="BW59" s="54"/>
      <c r="BX59" s="54"/>
      <c r="BY59" s="54"/>
      <c r="BZ59" s="54"/>
      <c r="CA59" s="54"/>
      <c r="CB59" s="54"/>
      <c r="CC59" s="54"/>
      <c r="CD59" s="58"/>
      <c r="CE59" s="58"/>
    </row>
    <row r="60" spans="1:83" ht="16.5" customHeight="1">
      <c r="A60" s="62"/>
      <c r="B60" s="1336"/>
      <c r="C60" s="1535"/>
      <c r="D60" s="1342"/>
      <c r="E60" s="1345"/>
      <c r="F60" s="91" t="s">
        <v>392</v>
      </c>
      <c r="G60" s="92">
        <f>SUM(G56:G59)</f>
        <v>1800000000</v>
      </c>
      <c r="H60" s="92">
        <f>SUM(H56:H59)</f>
        <v>180000000</v>
      </c>
      <c r="I60" s="92">
        <f>SUM(I56:I59)</f>
        <v>1980000000</v>
      </c>
      <c r="J60" s="91">
        <f t="shared" si="39"/>
        <v>0</v>
      </c>
      <c r="K60" s="92">
        <f>SUM(K56:K59)</f>
        <v>0</v>
      </c>
      <c r="L60" s="92">
        <f>SUM(L56:L59)</f>
        <v>1980000000</v>
      </c>
      <c r="M60" s="419">
        <f>+Q57+Q58</f>
        <v>165000000</v>
      </c>
      <c r="N60" s="93"/>
      <c r="O60" s="91"/>
      <c r="P60" s="94">
        <f>+IFERROR(Q60/$I60,"-")</f>
        <v>8.3333333333333329E-2</v>
      </c>
      <c r="Q60" s="92">
        <f>SUM(Q56:Q59)</f>
        <v>165000000</v>
      </c>
      <c r="R60" s="92">
        <f>SUM(R56:R59)</f>
        <v>0</v>
      </c>
      <c r="S60" s="95">
        <f t="shared" ref="S60" si="40">+Q60-R60</f>
        <v>165000000</v>
      </c>
      <c r="T60" s="91"/>
      <c r="U60" s="93"/>
      <c r="V60" s="91"/>
      <c r="W60" s="94">
        <f>+IFERROR(X60/$I60,"-")</f>
        <v>2.7777777777777776E-2</v>
      </c>
      <c r="X60" s="92">
        <f>SUM(X56:X59)</f>
        <v>55000000</v>
      </c>
      <c r="Y60" s="92">
        <f>SUM(Y56:Y59)</f>
        <v>0</v>
      </c>
      <c r="Z60" s="95">
        <f t="shared" ref="Z60" si="41">+X60-Y60</f>
        <v>55000000</v>
      </c>
      <c r="AA60" s="91"/>
      <c r="AB60" s="93"/>
      <c r="AC60" s="91"/>
      <c r="AD60" s="94">
        <f>+IFERROR(AE60/$I60,"-")</f>
        <v>0.44444444444444442</v>
      </c>
      <c r="AE60" s="92">
        <f>SUM(AE56:AE59)</f>
        <v>880000000</v>
      </c>
      <c r="AF60" s="92">
        <f>SUM(AF56:AF59)</f>
        <v>0</v>
      </c>
      <c r="AG60" s="95">
        <f t="shared" ref="AG60" si="42">+AE60-AF60</f>
        <v>880000000</v>
      </c>
      <c r="AH60" s="91"/>
      <c r="AI60" s="93"/>
      <c r="AJ60" s="91"/>
      <c r="AK60" s="94">
        <f t="shared" ref="AK60" si="43">+IFERROR(AL60/$I60,"-")</f>
        <v>0</v>
      </c>
      <c r="AL60" s="92">
        <f>SUM(AL56:AL59)</f>
        <v>0</v>
      </c>
      <c r="AM60" s="92">
        <f>SUM(AM56:AM59)</f>
        <v>0</v>
      </c>
      <c r="AN60" s="95">
        <f t="shared" ref="AN60" si="44">+AL60-AM60</f>
        <v>0</v>
      </c>
      <c r="AO60" s="91"/>
      <c r="AP60" s="93"/>
      <c r="AQ60" s="91"/>
      <c r="AR60" s="94">
        <f>+IFERROR(AS60/$I60,"-")</f>
        <v>0</v>
      </c>
      <c r="AS60" s="92">
        <f>SUM(AS56:AS59)</f>
        <v>0</v>
      </c>
      <c r="AT60" s="92">
        <f>SUM(AT56:AT59)</f>
        <v>0</v>
      </c>
      <c r="AU60" s="95">
        <f t="shared" ref="AU60" si="45">+AS60-AT60</f>
        <v>0</v>
      </c>
      <c r="AV60" s="91"/>
      <c r="AW60" s="93"/>
      <c r="AX60" s="91"/>
      <c r="AY60" s="94">
        <f>+IFERROR(AZ60/$I60,"-")</f>
        <v>0</v>
      </c>
      <c r="AZ60" s="92">
        <f>SUM(AZ56:AZ59)</f>
        <v>0</v>
      </c>
      <c r="BA60" s="92">
        <f>SUM(BA56:BA59)</f>
        <v>0</v>
      </c>
      <c r="BB60" s="95">
        <f t="shared" ref="BB60" si="46">+AZ60-BA60</f>
        <v>0</v>
      </c>
      <c r="BC60" s="91"/>
      <c r="BD60" s="93"/>
      <c r="BE60" s="91"/>
      <c r="BF60" s="94">
        <f>+IFERROR(BG60/$I60,"-")</f>
        <v>0.24444444444444444</v>
      </c>
      <c r="BG60" s="92">
        <f>SUM(BG56:BG59)</f>
        <v>484000000</v>
      </c>
      <c r="BH60" s="92">
        <f>SUM(BH56:BH59)</f>
        <v>0</v>
      </c>
      <c r="BI60" s="95">
        <f t="shared" ref="BI60" si="47">+BG60-BH60</f>
        <v>484000000</v>
      </c>
      <c r="BJ60" s="91"/>
      <c r="BK60" s="93"/>
      <c r="BL60" s="91"/>
      <c r="BM60" s="94">
        <f t="shared" ref="BM60" si="48">+IFERROR(BN60/$I60,"-")</f>
        <v>0.2</v>
      </c>
      <c r="BN60" s="92">
        <f>SUM(BN56:BN59)</f>
        <v>396000000</v>
      </c>
      <c r="BO60" s="92">
        <f>SUM(BO56:BO59)</f>
        <v>0</v>
      </c>
      <c r="BP60" s="95">
        <f t="shared" ref="BP60:BP65" si="49">+BN60-BO60</f>
        <v>396000000</v>
      </c>
      <c r="BQ60" s="91"/>
      <c r="BR60" s="88"/>
      <c r="BS60" s="96"/>
      <c r="BT60" s="97"/>
      <c r="BU60" s="97"/>
      <c r="BV60" s="54"/>
      <c r="BW60" s="54"/>
      <c r="BX60" s="54"/>
      <c r="BY60" s="54"/>
      <c r="BZ60" s="54"/>
      <c r="CA60" s="54"/>
      <c r="CB60" s="54"/>
      <c r="CC60" s="54"/>
      <c r="CD60" s="58"/>
      <c r="CE60" s="58"/>
    </row>
    <row r="61" spans="1:83" ht="16.5" customHeight="1">
      <c r="A61" s="62"/>
      <c r="B61" s="1334">
        <f t="shared" ref="B61" si="50">+B56+1</f>
        <v>11</v>
      </c>
      <c r="C61" s="1533" t="s">
        <v>913</v>
      </c>
      <c r="D61" s="1340">
        <v>200</v>
      </c>
      <c r="E61" s="1343" t="s">
        <v>387</v>
      </c>
      <c r="F61" s="63" t="s">
        <v>388</v>
      </c>
      <c r="G61" s="64">
        <f>+지급비율!F67*$D$61/1000</f>
        <v>220000000</v>
      </c>
      <c r="H61" s="64">
        <f>+G61*10%</f>
        <v>22000000</v>
      </c>
      <c r="I61" s="64">
        <f>SUM(G61:H61)</f>
        <v>242000000</v>
      </c>
      <c r="J61" s="65">
        <f t="shared" si="39"/>
        <v>0</v>
      </c>
      <c r="K61" s="70">
        <f>+IFERROR(R61+Y61+AF61+AT61+BA61+BH61+BO61,"-")</f>
        <v>0</v>
      </c>
      <c r="L61" s="70">
        <f>+I61-K61</f>
        <v>242000000</v>
      </c>
      <c r="M61" s="1331" t="s">
        <v>407</v>
      </c>
      <c r="N61" s="67"/>
      <c r="O61" s="72"/>
      <c r="P61" s="69"/>
      <c r="Q61" s="70">
        <f>+지급비율!G67*$I61</f>
        <v>0</v>
      </c>
      <c r="R61" s="70"/>
      <c r="S61" s="70">
        <f>+Q61-R61</f>
        <v>0</v>
      </c>
      <c r="T61" s="81"/>
      <c r="U61" s="67"/>
      <c r="V61" s="68"/>
      <c r="W61" s="69"/>
      <c r="X61" s="70">
        <f>+지급비율!N67*$I61</f>
        <v>0</v>
      </c>
      <c r="Y61" s="70"/>
      <c r="Z61" s="70">
        <f>+X61-Y61</f>
        <v>0</v>
      </c>
      <c r="AA61" s="81"/>
      <c r="AB61" s="67">
        <f>+EDATE(AI61,1)</f>
        <v>46050</v>
      </c>
      <c r="AC61" s="68"/>
      <c r="AD61" s="69"/>
      <c r="AE61" s="70">
        <f>+지급비율!U67*$I61</f>
        <v>121000000</v>
      </c>
      <c r="AF61" s="70"/>
      <c r="AG61" s="70">
        <f>+AE61-AF61</f>
        <v>121000000</v>
      </c>
      <c r="AH61" s="81"/>
      <c r="AI61" s="67">
        <f>+EDATE(AP61,-1)</f>
        <v>46019</v>
      </c>
      <c r="AJ61" s="68"/>
      <c r="AK61" s="69"/>
      <c r="AL61" s="70">
        <f>+지급비율!AB67*$I61</f>
        <v>0</v>
      </c>
      <c r="AM61" s="70"/>
      <c r="AN61" s="70">
        <f>+AL61-AM61</f>
        <v>0</v>
      </c>
      <c r="AO61" s="81"/>
      <c r="AP61" s="67">
        <f>+EDATE(AW61,-1)</f>
        <v>46050</v>
      </c>
      <c r="AQ61" s="68"/>
      <c r="AR61" s="69"/>
      <c r="AS61" s="70">
        <f>+지급비율!AI67*$I61</f>
        <v>0</v>
      </c>
      <c r="AT61" s="70"/>
      <c r="AU61" s="70">
        <f>+AS61-AT61</f>
        <v>0</v>
      </c>
      <c r="AV61" s="81"/>
      <c r="AW61" s="67">
        <f>+EDATE(BD61,-1)</f>
        <v>46081</v>
      </c>
      <c r="AX61" s="68"/>
      <c r="AY61" s="69"/>
      <c r="AZ61" s="70">
        <f>+지급비율!AP67*$I61</f>
        <v>0</v>
      </c>
      <c r="BA61" s="70"/>
      <c r="BB61" s="70">
        <f>+AZ61-BA61</f>
        <v>0</v>
      </c>
      <c r="BC61" s="81"/>
      <c r="BD61" s="67">
        <f>+EDATE(BK61,-1)</f>
        <v>46111</v>
      </c>
      <c r="BE61" s="68"/>
      <c r="BF61" s="69"/>
      <c r="BG61" s="70">
        <f>+지급비율!AW67*$I61</f>
        <v>96800000</v>
      </c>
      <c r="BH61" s="70"/>
      <c r="BI61" s="70">
        <f>+BG61-BH61</f>
        <v>96800000</v>
      </c>
      <c r="BJ61" s="81"/>
      <c r="BK61" s="78">
        <v>46142</v>
      </c>
      <c r="BL61" s="68"/>
      <c r="BM61" s="69"/>
      <c r="BN61" s="70">
        <f>+지급비율!BD67*$I61</f>
        <v>24200000</v>
      </c>
      <c r="BO61" s="70"/>
      <c r="BP61" s="70">
        <f t="shared" si="49"/>
        <v>24200000</v>
      </c>
      <c r="BQ61" s="81"/>
      <c r="BR61" s="73"/>
      <c r="BS61" s="74" t="b">
        <f>+Q61+X61+AE61+AS61+AZ61+BG61+BN61=I61</f>
        <v>1</v>
      </c>
      <c r="BT61" s="74" t="b">
        <f>+R61+Y61+AF61+AT61+BA61+BH61+BO61=K61</f>
        <v>1</v>
      </c>
      <c r="BU61" s="74"/>
      <c r="BV61" s="54"/>
      <c r="BW61" s="54"/>
      <c r="BX61" s="54"/>
      <c r="BY61" s="54"/>
      <c r="BZ61" s="54"/>
      <c r="CA61" s="54"/>
      <c r="CB61" s="54"/>
      <c r="CC61" s="54"/>
      <c r="CD61" s="58"/>
      <c r="CE61" s="58"/>
    </row>
    <row r="62" spans="1:83" ht="16.5" customHeight="1">
      <c r="A62" s="62"/>
      <c r="B62" s="1335"/>
      <c r="C62" s="1534"/>
      <c r="D62" s="1341"/>
      <c r="E62" s="1344"/>
      <c r="F62" s="75" t="s">
        <v>389</v>
      </c>
      <c r="G62" s="76">
        <f>+지급비율!F68*$D$61/1000</f>
        <v>60000000</v>
      </c>
      <c r="H62" s="76">
        <f>+G62*10%</f>
        <v>6000000</v>
      </c>
      <c r="I62" s="76">
        <f>SUM(G62:H62)</f>
        <v>66000000</v>
      </c>
      <c r="J62" s="75">
        <f t="shared" si="39"/>
        <v>0</v>
      </c>
      <c r="K62" s="80">
        <f>+IFERROR(R62+Y62+AF62+AT62+BA62+BH62+BO62,"-")</f>
        <v>0</v>
      </c>
      <c r="L62" s="80">
        <f>+I62-K62</f>
        <v>66000000</v>
      </c>
      <c r="M62" s="1332"/>
      <c r="N62" s="78">
        <v>45991</v>
      </c>
      <c r="O62" s="78"/>
      <c r="P62" s="79">
        <f>+IFERROR(Q62/$I62,"-")</f>
        <v>0.3</v>
      </c>
      <c r="Q62" s="80">
        <f>+지급비율!G68*$I62</f>
        <v>19800000</v>
      </c>
      <c r="R62" s="80"/>
      <c r="S62" s="80">
        <f>+Q62-R62</f>
        <v>19800000</v>
      </c>
      <c r="T62" s="81"/>
      <c r="U62" s="78">
        <v>46022</v>
      </c>
      <c r="V62" s="78"/>
      <c r="W62" s="79">
        <f>+IFERROR(X62/$I62,"-")</f>
        <v>0.1</v>
      </c>
      <c r="X62" s="80">
        <f>+지급비율!N68*$I62</f>
        <v>6600000</v>
      </c>
      <c r="Y62" s="70"/>
      <c r="Z62" s="70">
        <f>+X62-Y62</f>
        <v>6600000</v>
      </c>
      <c r="AA62" s="161"/>
      <c r="AB62" s="78">
        <v>46053</v>
      </c>
      <c r="AC62" s="78"/>
      <c r="AD62" s="79">
        <f>+IFERROR(AE62/$I62,"-")</f>
        <v>0.5</v>
      </c>
      <c r="AE62" s="80">
        <f>+지급비율!U68*$I62</f>
        <v>33000000</v>
      </c>
      <c r="AF62" s="70"/>
      <c r="AG62" s="70">
        <f>+AE62-AF62</f>
        <v>33000000</v>
      </c>
      <c r="AH62" s="161"/>
      <c r="AI62" s="78"/>
      <c r="AJ62" s="78"/>
      <c r="AK62" s="79">
        <f>+IFERROR(AL62/$I62,"-")</f>
        <v>0</v>
      </c>
      <c r="AL62" s="80">
        <f>+지급비율!AB68*$I62</f>
        <v>0</v>
      </c>
      <c r="AM62" s="70"/>
      <c r="AN62" s="70">
        <f>+AL62-AM62</f>
        <v>0</v>
      </c>
      <c r="AO62" s="161"/>
      <c r="AP62" s="78"/>
      <c r="AQ62" s="78"/>
      <c r="AR62" s="79">
        <f>+IFERROR(AS62/$I62,"-")</f>
        <v>0</v>
      </c>
      <c r="AS62" s="80">
        <f>+지급비율!AI68*$I62</f>
        <v>0</v>
      </c>
      <c r="AT62" s="70"/>
      <c r="AU62" s="70">
        <f>+AS62-AT62</f>
        <v>0</v>
      </c>
      <c r="AV62" s="161"/>
      <c r="AW62" s="78"/>
      <c r="AX62" s="78"/>
      <c r="AY62" s="79">
        <f>+IFERROR(AZ62/$I62,"-")</f>
        <v>0</v>
      </c>
      <c r="AZ62" s="80">
        <f>+지급비율!AP68*$I62</f>
        <v>0</v>
      </c>
      <c r="BA62" s="70"/>
      <c r="BB62" s="70">
        <f>+AZ62-BA62</f>
        <v>0</v>
      </c>
      <c r="BC62" s="161"/>
      <c r="BD62" s="78"/>
      <c r="BE62" s="78"/>
      <c r="BF62" s="79">
        <f>+IFERROR(BG62/$I62,"-")</f>
        <v>0</v>
      </c>
      <c r="BG62" s="80">
        <f>+지급비율!AW68*$I62</f>
        <v>0</v>
      </c>
      <c r="BH62" s="70"/>
      <c r="BI62" s="70">
        <f>+BG62-BH62</f>
        <v>0</v>
      </c>
      <c r="BJ62" s="161"/>
      <c r="BK62" s="78">
        <v>46142</v>
      </c>
      <c r="BL62" s="78"/>
      <c r="BM62" s="79">
        <f>+IFERROR(BN62/$I62,"-")</f>
        <v>0.1</v>
      </c>
      <c r="BN62" s="80">
        <f>+지급비율!BD68*$I62</f>
        <v>6600000</v>
      </c>
      <c r="BO62" s="70"/>
      <c r="BP62" s="70">
        <f t="shared" si="49"/>
        <v>6600000</v>
      </c>
      <c r="BQ62" s="161"/>
      <c r="BR62" s="73"/>
      <c r="BS62" s="74" t="b">
        <f>+Q62+X62+AE62+AS62+AZ62+BG62+BN62=I62</f>
        <v>1</v>
      </c>
      <c r="BT62" s="74" t="b">
        <f>+R62+Y62+AF62+AT62+BA62+BH62+BO62=K62</f>
        <v>1</v>
      </c>
      <c r="BU62" s="74"/>
      <c r="BV62" s="54"/>
      <c r="BW62" s="54"/>
      <c r="BX62" s="54"/>
      <c r="BY62" s="54"/>
      <c r="BZ62" s="54"/>
      <c r="CA62" s="54"/>
      <c r="CB62" s="54"/>
      <c r="CC62" s="54"/>
      <c r="CD62" s="58"/>
      <c r="CE62" s="58"/>
    </row>
    <row r="63" spans="1:83" ht="16.5" customHeight="1">
      <c r="A63" s="62"/>
      <c r="B63" s="1335"/>
      <c r="C63" s="1534"/>
      <c r="D63" s="1341"/>
      <c r="E63" s="1344"/>
      <c r="F63" s="75" t="s">
        <v>390</v>
      </c>
      <c r="G63" s="76">
        <f>+지급비율!F69*$D$61/1000</f>
        <v>40000000</v>
      </c>
      <c r="H63" s="76">
        <f>+G63*10%</f>
        <v>4000000</v>
      </c>
      <c r="I63" s="76">
        <f>SUM(G63:H63)</f>
        <v>44000000</v>
      </c>
      <c r="J63" s="75">
        <f t="shared" si="39"/>
        <v>0</v>
      </c>
      <c r="K63" s="80">
        <f>+IFERROR(R63+Y63+AF63+AT63+BA63+BH63+BO63,"-")</f>
        <v>0</v>
      </c>
      <c r="L63" s="80">
        <f>+I63-K63</f>
        <v>44000000</v>
      </c>
      <c r="M63" s="1332"/>
      <c r="N63" s="78">
        <v>45991</v>
      </c>
      <c r="O63" s="78"/>
      <c r="P63" s="79">
        <f>+IFERROR(Q63/$I63,"-")</f>
        <v>0.3</v>
      </c>
      <c r="Q63" s="80">
        <f>+지급비율!G69*$I63</f>
        <v>13200000</v>
      </c>
      <c r="R63" s="80"/>
      <c r="S63" s="80">
        <f>+Q63-R63</f>
        <v>13200000</v>
      </c>
      <c r="T63" s="81"/>
      <c r="U63" s="78">
        <v>46022</v>
      </c>
      <c r="V63" s="72"/>
      <c r="W63" s="79">
        <f>+IFERROR(X63/$I63,"-")</f>
        <v>0.1</v>
      </c>
      <c r="X63" s="80">
        <f>+지급비율!N69*$I63</f>
        <v>4400000</v>
      </c>
      <c r="Y63" s="70"/>
      <c r="Z63" s="70">
        <f>+X63-Y63</f>
        <v>4400000</v>
      </c>
      <c r="AA63" s="161"/>
      <c r="AB63" s="78">
        <v>46053</v>
      </c>
      <c r="AC63" s="72"/>
      <c r="AD63" s="79">
        <f>+IFERROR(AE63/$I63,"-")</f>
        <v>0.5</v>
      </c>
      <c r="AE63" s="80">
        <f>+지급비율!U69*$I63</f>
        <v>22000000</v>
      </c>
      <c r="AF63" s="70"/>
      <c r="AG63" s="70">
        <f>+AE63-AF63</f>
        <v>22000000</v>
      </c>
      <c r="AH63" s="161"/>
      <c r="AI63" s="72"/>
      <c r="AJ63" s="72"/>
      <c r="AK63" s="79">
        <f>+IFERROR(AL63/$I63,"-")</f>
        <v>0</v>
      </c>
      <c r="AL63" s="80">
        <f>+지급비율!AB69*$I63</f>
        <v>0</v>
      </c>
      <c r="AM63" s="70"/>
      <c r="AN63" s="70">
        <f>+AL63-AM63</f>
        <v>0</v>
      </c>
      <c r="AO63" s="161"/>
      <c r="AP63" s="72"/>
      <c r="AQ63" s="72"/>
      <c r="AR63" s="79">
        <f>+IFERROR(AS63/$I63,"-")</f>
        <v>0</v>
      </c>
      <c r="AS63" s="80">
        <f>+지급비율!AI69*$I63</f>
        <v>0</v>
      </c>
      <c r="AT63" s="70"/>
      <c r="AU63" s="70">
        <f>+AS63-AT63</f>
        <v>0</v>
      </c>
      <c r="AV63" s="161"/>
      <c r="AW63" s="72"/>
      <c r="AX63" s="72"/>
      <c r="AY63" s="79">
        <f>+IFERROR(AZ63/$I63,"-")</f>
        <v>0</v>
      </c>
      <c r="AZ63" s="80">
        <f>+지급비율!AP69*$I63</f>
        <v>0</v>
      </c>
      <c r="BA63" s="70"/>
      <c r="BB63" s="70">
        <f>+AZ63-BA63</f>
        <v>0</v>
      </c>
      <c r="BC63" s="161"/>
      <c r="BD63" s="72"/>
      <c r="BE63" s="72"/>
      <c r="BF63" s="79">
        <f>+IFERROR(BG63/$I63,"-")</f>
        <v>0</v>
      </c>
      <c r="BG63" s="80">
        <f>+지급비율!AW69*$I63</f>
        <v>0</v>
      </c>
      <c r="BH63" s="70"/>
      <c r="BI63" s="70">
        <f>+BG63-BH63</f>
        <v>0</v>
      </c>
      <c r="BJ63" s="161"/>
      <c r="BK63" s="78">
        <v>46142</v>
      </c>
      <c r="BL63" s="72"/>
      <c r="BM63" s="79">
        <f>+IFERROR(BN63/$I63,"-")</f>
        <v>0.1</v>
      </c>
      <c r="BN63" s="80">
        <f>+지급비율!BD69*$I63</f>
        <v>4400000</v>
      </c>
      <c r="BO63" s="70"/>
      <c r="BP63" s="70">
        <f t="shared" si="49"/>
        <v>4400000</v>
      </c>
      <c r="BQ63" s="161"/>
      <c r="BR63" s="73"/>
      <c r="BS63" s="74" t="b">
        <f>+Q63+X63+AE63+AS63+AZ63+BG63+BN63=I63</f>
        <v>1</v>
      </c>
      <c r="BT63" s="74" t="b">
        <f>+R63+Y63+AF63+AT63+BA63+BH63+BO63=K63</f>
        <v>1</v>
      </c>
      <c r="BU63" s="74"/>
      <c r="BV63" s="54"/>
      <c r="BW63" s="54"/>
      <c r="BX63" s="54"/>
      <c r="BY63" s="54"/>
      <c r="BZ63" s="54"/>
      <c r="CA63" s="54"/>
      <c r="CB63" s="54"/>
      <c r="CC63" s="54"/>
      <c r="CD63" s="58"/>
      <c r="CE63" s="58"/>
    </row>
    <row r="64" spans="1:83" ht="16.5" customHeight="1">
      <c r="A64" s="62"/>
      <c r="B64" s="1335"/>
      <c r="C64" s="1534"/>
      <c r="D64" s="1341"/>
      <c r="E64" s="1344"/>
      <c r="F64" s="101" t="s">
        <v>391</v>
      </c>
      <c r="G64" s="102">
        <f>+지급비율!F70*$D$61/1000</f>
        <v>40000000</v>
      </c>
      <c r="H64" s="102">
        <f>+G64*0.1</f>
        <v>4000000</v>
      </c>
      <c r="I64" s="102">
        <f>SUM(G64:H64)</f>
        <v>44000000</v>
      </c>
      <c r="J64" s="101">
        <f t="shared" si="39"/>
        <v>0</v>
      </c>
      <c r="K64" s="106">
        <f>+IFERROR(R64+Y64+AF64+AT64+BA64+BH64+BO64,"-")</f>
        <v>0</v>
      </c>
      <c r="L64" s="106">
        <f>+I64-K64</f>
        <v>44000000</v>
      </c>
      <c r="M64" s="1333"/>
      <c r="N64" s="85"/>
      <c r="O64" s="83"/>
      <c r="P64" s="86"/>
      <c r="Q64" s="70">
        <f>+지급비율!G70*$I64</f>
        <v>0</v>
      </c>
      <c r="R64" s="87"/>
      <c r="S64" s="87"/>
      <c r="T64" s="83"/>
      <c r="U64" s="85"/>
      <c r="V64" s="83"/>
      <c r="W64" s="86"/>
      <c r="X64" s="70">
        <f>+지급비율!N70*$I64</f>
        <v>0</v>
      </c>
      <c r="Y64" s="87"/>
      <c r="Z64" s="87"/>
      <c r="AA64" s="83"/>
      <c r="AB64" s="85"/>
      <c r="AC64" s="83"/>
      <c r="AD64" s="86"/>
      <c r="AE64" s="70">
        <f>+지급비율!U70*$I64</f>
        <v>0</v>
      </c>
      <c r="AF64" s="87"/>
      <c r="AG64" s="87"/>
      <c r="AH64" s="83"/>
      <c r="AI64" s="85"/>
      <c r="AJ64" s="83"/>
      <c r="AK64" s="86"/>
      <c r="AL64" s="70">
        <f>+지급비율!AB70*$I64</f>
        <v>0</v>
      </c>
      <c r="AM64" s="87"/>
      <c r="AN64" s="87"/>
      <c r="AO64" s="83"/>
      <c r="AP64" s="85"/>
      <c r="AQ64" s="83"/>
      <c r="AR64" s="86"/>
      <c r="AS64" s="70">
        <f>+지급비율!AI70*$I64</f>
        <v>0</v>
      </c>
      <c r="AT64" s="87"/>
      <c r="AU64" s="87"/>
      <c r="AV64" s="83"/>
      <c r="AW64" s="85"/>
      <c r="AX64" s="83"/>
      <c r="AY64" s="86"/>
      <c r="AZ64" s="70">
        <f>+지급비율!AP70*$I64</f>
        <v>0</v>
      </c>
      <c r="BA64" s="87"/>
      <c r="BB64" s="87"/>
      <c r="BC64" s="83"/>
      <c r="BD64" s="85"/>
      <c r="BE64" s="83"/>
      <c r="BF64" s="86"/>
      <c r="BG64" s="70">
        <f>+지급비율!AW70*$I64</f>
        <v>0</v>
      </c>
      <c r="BH64" s="87"/>
      <c r="BI64" s="87"/>
      <c r="BJ64" s="83"/>
      <c r="BK64" s="78">
        <v>46142</v>
      </c>
      <c r="BL64" s="101"/>
      <c r="BM64" s="86"/>
      <c r="BN64" s="70">
        <f>+지급비율!BD70*$I64</f>
        <v>44000000</v>
      </c>
      <c r="BO64" s="87"/>
      <c r="BP64" s="70">
        <f t="shared" si="49"/>
        <v>44000000</v>
      </c>
      <c r="BQ64" s="83"/>
      <c r="BR64" s="88"/>
      <c r="BS64" s="89" t="b">
        <f>+Q64+X64+AE64+AS64+AZ64+BG64+BN64=I64</f>
        <v>1</v>
      </c>
      <c r="BT64" s="90" t="b">
        <f>+R64+Y64+AF64+AT64+BA64+BH64+BO64=K64</f>
        <v>1</v>
      </c>
      <c r="BU64" s="90"/>
      <c r="BV64" s="54"/>
      <c r="BW64" s="54"/>
      <c r="BX64" s="54"/>
      <c r="BY64" s="54"/>
      <c r="BZ64" s="54"/>
      <c r="CA64" s="54"/>
      <c r="CB64" s="54"/>
      <c r="CC64" s="54"/>
      <c r="CD64" s="58"/>
      <c r="CE64" s="58"/>
    </row>
    <row r="65" spans="1:83" ht="16.5" customHeight="1">
      <c r="A65" s="62"/>
      <c r="B65" s="1336"/>
      <c r="C65" s="1535"/>
      <c r="D65" s="1342"/>
      <c r="E65" s="1345"/>
      <c r="F65" s="91" t="s">
        <v>392</v>
      </c>
      <c r="G65" s="92">
        <f>SUM(G61:G64)</f>
        <v>360000000</v>
      </c>
      <c r="H65" s="92">
        <f>SUM(H61:H64)</f>
        <v>36000000</v>
      </c>
      <c r="I65" s="92">
        <f>SUM(I61:I64)</f>
        <v>396000000</v>
      </c>
      <c r="J65" s="91">
        <f t="shared" si="39"/>
        <v>0</v>
      </c>
      <c r="K65" s="92">
        <f>SUM(K61:K64)</f>
        <v>0</v>
      </c>
      <c r="L65" s="92">
        <f>SUM(L61:L64)</f>
        <v>396000000</v>
      </c>
      <c r="M65" s="419">
        <f>+Q62+Q63</f>
        <v>33000000</v>
      </c>
      <c r="N65" s="93"/>
      <c r="O65" s="91"/>
      <c r="P65" s="94">
        <f>+IFERROR(Q65/$I65,"-")</f>
        <v>8.3333333333333329E-2</v>
      </c>
      <c r="Q65" s="92">
        <f>SUM(Q61:Q64)</f>
        <v>33000000</v>
      </c>
      <c r="R65" s="92">
        <f>SUM(R61:R64)</f>
        <v>0</v>
      </c>
      <c r="S65" s="95">
        <f t="shared" ref="S65" si="51">+Q65-R65</f>
        <v>33000000</v>
      </c>
      <c r="T65" s="91"/>
      <c r="U65" s="93"/>
      <c r="V65" s="91"/>
      <c r="W65" s="94">
        <f>+IFERROR(X65/$I65,"-")</f>
        <v>2.7777777777777776E-2</v>
      </c>
      <c r="X65" s="92">
        <f>SUM(X61:X64)</f>
        <v>11000000</v>
      </c>
      <c r="Y65" s="92">
        <f>SUM(Y61:Y64)</f>
        <v>0</v>
      </c>
      <c r="Z65" s="95">
        <f t="shared" ref="Z65" si="52">+X65-Y65</f>
        <v>11000000</v>
      </c>
      <c r="AA65" s="91"/>
      <c r="AB65" s="93"/>
      <c r="AC65" s="91"/>
      <c r="AD65" s="94">
        <f>+IFERROR(AE65/$I65,"-")</f>
        <v>0.44444444444444442</v>
      </c>
      <c r="AE65" s="92">
        <f>SUM(AE61:AE64)</f>
        <v>176000000</v>
      </c>
      <c r="AF65" s="92">
        <f>SUM(AF61:AF64)</f>
        <v>0</v>
      </c>
      <c r="AG65" s="95">
        <f t="shared" ref="AG65" si="53">+AE65-AF65</f>
        <v>176000000</v>
      </c>
      <c r="AH65" s="91"/>
      <c r="AI65" s="93"/>
      <c r="AJ65" s="91"/>
      <c r="AK65" s="94">
        <f t="shared" ref="AK65" si="54">+IFERROR(AL65/$I65,"-")</f>
        <v>0</v>
      </c>
      <c r="AL65" s="92">
        <f>SUM(AL61:AL64)</f>
        <v>0</v>
      </c>
      <c r="AM65" s="92">
        <f>SUM(AM61:AM64)</f>
        <v>0</v>
      </c>
      <c r="AN65" s="95">
        <f t="shared" ref="AN65" si="55">+AL65-AM65</f>
        <v>0</v>
      </c>
      <c r="AO65" s="91"/>
      <c r="AP65" s="93"/>
      <c r="AQ65" s="91"/>
      <c r="AR65" s="94">
        <f>+IFERROR(AS65/$I65,"-")</f>
        <v>0</v>
      </c>
      <c r="AS65" s="92">
        <f>SUM(AS61:AS64)</f>
        <v>0</v>
      </c>
      <c r="AT65" s="92">
        <f>SUM(AT61:AT64)</f>
        <v>0</v>
      </c>
      <c r="AU65" s="95">
        <f t="shared" ref="AU65" si="56">+AS65-AT65</f>
        <v>0</v>
      </c>
      <c r="AV65" s="91"/>
      <c r="AW65" s="93"/>
      <c r="AX65" s="91"/>
      <c r="AY65" s="94">
        <f>+IFERROR(AZ65/$I65,"-")</f>
        <v>0</v>
      </c>
      <c r="AZ65" s="92">
        <f>SUM(AZ61:AZ64)</f>
        <v>0</v>
      </c>
      <c r="BA65" s="92">
        <f>SUM(BA61:BA64)</f>
        <v>0</v>
      </c>
      <c r="BB65" s="95">
        <f t="shared" ref="BB65" si="57">+AZ65-BA65</f>
        <v>0</v>
      </c>
      <c r="BC65" s="91"/>
      <c r="BD65" s="93"/>
      <c r="BE65" s="91"/>
      <c r="BF65" s="94">
        <f>+IFERROR(BG65/$I65,"-")</f>
        <v>0.24444444444444444</v>
      </c>
      <c r="BG65" s="92">
        <f>SUM(BG61:BG64)</f>
        <v>96800000</v>
      </c>
      <c r="BH65" s="92">
        <f>SUM(BH61:BH64)</f>
        <v>0</v>
      </c>
      <c r="BI65" s="95">
        <f t="shared" ref="BI65" si="58">+BG65-BH65</f>
        <v>96800000</v>
      </c>
      <c r="BJ65" s="91"/>
      <c r="BK65" s="93"/>
      <c r="BL65" s="91"/>
      <c r="BM65" s="94">
        <f t="shared" ref="BM65" si="59">+IFERROR(BN65/$I65,"-")</f>
        <v>0.2</v>
      </c>
      <c r="BN65" s="92">
        <f>SUM(BN61:BN64)</f>
        <v>79200000</v>
      </c>
      <c r="BO65" s="92">
        <f>SUM(BO61:BO64)</f>
        <v>0</v>
      </c>
      <c r="BP65" s="95">
        <f t="shared" si="49"/>
        <v>79200000</v>
      </c>
      <c r="BQ65" s="91"/>
      <c r="BR65" s="88"/>
      <c r="BS65" s="96"/>
      <c r="BT65" s="97"/>
      <c r="BU65" s="97"/>
      <c r="BV65" s="54"/>
      <c r="BW65" s="54"/>
      <c r="BX65" s="54"/>
      <c r="BY65" s="54"/>
      <c r="BZ65" s="54"/>
      <c r="CA65" s="54"/>
      <c r="CB65" s="54"/>
      <c r="CC65" s="54"/>
      <c r="CD65" s="58"/>
      <c r="CE65" s="58"/>
    </row>
    <row r="66" spans="1:83" ht="16.5" customHeight="1">
      <c r="A66" s="62"/>
      <c r="B66" s="1334">
        <f t="shared" ref="B66" si="60">+B61+1</f>
        <v>12</v>
      </c>
      <c r="C66" s="1533" t="s">
        <v>914</v>
      </c>
      <c r="D66" s="1340">
        <v>173</v>
      </c>
      <c r="E66" s="1343" t="s">
        <v>387</v>
      </c>
      <c r="F66" s="63" t="s">
        <v>388</v>
      </c>
      <c r="G66" s="64">
        <f>+지급비율!F63*$D$66/1000</f>
        <v>190300000</v>
      </c>
      <c r="H66" s="64">
        <f>+G66*10%</f>
        <v>19030000</v>
      </c>
      <c r="I66" s="64">
        <f>SUM(G66:H66)</f>
        <v>209330000</v>
      </c>
      <c r="J66" s="65">
        <f t="shared" ref="J66:J70" si="61">+IFERROR(K66/I66,"-")</f>
        <v>0</v>
      </c>
      <c r="K66" s="70">
        <f>+IFERROR(R66+Y66+AF66+AT66+BA66+BH66+BO66,"-")</f>
        <v>0</v>
      </c>
      <c r="L66" s="70">
        <f>+I66-K66</f>
        <v>209330000</v>
      </c>
      <c r="M66" s="1331" t="s">
        <v>407</v>
      </c>
      <c r="N66" s="67"/>
      <c r="O66" s="72"/>
      <c r="P66" s="69"/>
      <c r="Q66" s="70">
        <f>+지급비율!G63*$I66</f>
        <v>0</v>
      </c>
      <c r="R66" s="70"/>
      <c r="S66" s="70">
        <f>+Q66-R66</f>
        <v>0</v>
      </c>
      <c r="T66" s="81"/>
      <c r="U66" s="67"/>
      <c r="V66" s="68"/>
      <c r="W66" s="69"/>
      <c r="X66" s="70">
        <f>+지급비율!N63*$I66</f>
        <v>0</v>
      </c>
      <c r="Y66" s="70"/>
      <c r="Z66" s="70">
        <f>+X66-Y66</f>
        <v>0</v>
      </c>
      <c r="AA66" s="81"/>
      <c r="AB66" s="67">
        <f>+EDATE(AI66,1)</f>
        <v>46050</v>
      </c>
      <c r="AC66" s="68"/>
      <c r="AD66" s="69"/>
      <c r="AE66" s="70">
        <f>+지급비율!U63*$I66</f>
        <v>104665000</v>
      </c>
      <c r="AF66" s="70"/>
      <c r="AG66" s="70">
        <f>+AE66-AF66</f>
        <v>104665000</v>
      </c>
      <c r="AH66" s="81"/>
      <c r="AI66" s="67">
        <f>+EDATE(AP66,-1)</f>
        <v>46019</v>
      </c>
      <c r="AJ66" s="68"/>
      <c r="AK66" s="69"/>
      <c r="AL66" s="70">
        <f>+지급비율!AB63*$I66</f>
        <v>0</v>
      </c>
      <c r="AM66" s="70"/>
      <c r="AN66" s="70">
        <f>+AL66-AM66</f>
        <v>0</v>
      </c>
      <c r="AO66" s="81"/>
      <c r="AP66" s="67">
        <f>+EDATE(AW66,-1)</f>
        <v>46050</v>
      </c>
      <c r="AQ66" s="68"/>
      <c r="AR66" s="69"/>
      <c r="AS66" s="70">
        <f>+지급비율!AI63*$I66</f>
        <v>0</v>
      </c>
      <c r="AT66" s="70"/>
      <c r="AU66" s="70">
        <f>+AS66-AT66</f>
        <v>0</v>
      </c>
      <c r="AV66" s="81"/>
      <c r="AW66" s="67">
        <f>+EDATE(BD66,-1)</f>
        <v>46081</v>
      </c>
      <c r="AX66" s="68"/>
      <c r="AY66" s="69"/>
      <c r="AZ66" s="70">
        <f>+지급비율!AP63*$I66</f>
        <v>0</v>
      </c>
      <c r="BA66" s="70"/>
      <c r="BB66" s="70">
        <f>+AZ66-BA66</f>
        <v>0</v>
      </c>
      <c r="BC66" s="81"/>
      <c r="BD66" s="67">
        <f>+EDATE(BK66,-1)</f>
        <v>46111</v>
      </c>
      <c r="BE66" s="68"/>
      <c r="BF66" s="69"/>
      <c r="BG66" s="70">
        <f>+지급비율!AW63*$I66</f>
        <v>83732000</v>
      </c>
      <c r="BH66" s="70"/>
      <c r="BI66" s="70">
        <f>+BG66-BH66</f>
        <v>83732000</v>
      </c>
      <c r="BJ66" s="81"/>
      <c r="BK66" s="78">
        <v>46142</v>
      </c>
      <c r="BL66" s="68"/>
      <c r="BM66" s="69"/>
      <c r="BN66" s="70">
        <f>+지급비율!BD63*$I66</f>
        <v>20933000</v>
      </c>
      <c r="BO66" s="70"/>
      <c r="BP66" s="70">
        <f t="shared" ref="BP66:BP70" si="62">+BN66-BO66</f>
        <v>20933000</v>
      </c>
      <c r="BQ66" s="81"/>
      <c r="BR66" s="73"/>
      <c r="BS66" s="74" t="b">
        <f>+Q66+X66+AE66+AS66+AZ66+BG66+BN66=I66</f>
        <v>1</v>
      </c>
      <c r="BT66" s="74" t="b">
        <f>+R66+Y66+AF66+AT66+BA66+BH66+BO66=K66</f>
        <v>1</v>
      </c>
      <c r="BU66" s="74"/>
      <c r="BV66" s="54"/>
      <c r="BW66" s="54"/>
      <c r="BX66" s="54"/>
      <c r="BY66" s="54"/>
      <c r="BZ66" s="54"/>
      <c r="CA66" s="54"/>
      <c r="CB66" s="54"/>
      <c r="CC66" s="54"/>
      <c r="CD66" s="58"/>
      <c r="CE66" s="58"/>
    </row>
    <row r="67" spans="1:83" ht="16.5" customHeight="1">
      <c r="A67" s="62"/>
      <c r="B67" s="1335"/>
      <c r="C67" s="1534"/>
      <c r="D67" s="1341"/>
      <c r="E67" s="1344"/>
      <c r="F67" s="75" t="s">
        <v>389</v>
      </c>
      <c r="G67" s="76">
        <f>+지급비율!F64*$D$66/1000</f>
        <v>51900000</v>
      </c>
      <c r="H67" s="76">
        <f>+G67*10%</f>
        <v>5190000</v>
      </c>
      <c r="I67" s="76">
        <f>SUM(G67:H67)</f>
        <v>57090000</v>
      </c>
      <c r="J67" s="75">
        <f t="shared" si="61"/>
        <v>0</v>
      </c>
      <c r="K67" s="80">
        <f>+IFERROR(R67+Y67+AF67+AT67+BA67+BH67+BO67,"-")</f>
        <v>0</v>
      </c>
      <c r="L67" s="80">
        <f>+I67-K67</f>
        <v>57090000</v>
      </c>
      <c r="M67" s="1332"/>
      <c r="N67" s="78">
        <v>45991</v>
      </c>
      <c r="O67" s="78"/>
      <c r="P67" s="79">
        <f>+IFERROR(Q67/$I67,"-")</f>
        <v>0.3</v>
      </c>
      <c r="Q67" s="80">
        <f>+지급비율!G64*$I67</f>
        <v>17127000</v>
      </c>
      <c r="R67" s="80"/>
      <c r="S67" s="80">
        <f>+Q67-R67</f>
        <v>17127000</v>
      </c>
      <c r="T67" s="81"/>
      <c r="U67" s="78">
        <v>46022</v>
      </c>
      <c r="V67" s="78"/>
      <c r="W67" s="79">
        <f>+IFERROR(X67/$I67,"-")</f>
        <v>0.1</v>
      </c>
      <c r="X67" s="80">
        <f>+지급비율!N64*$I67</f>
        <v>5709000</v>
      </c>
      <c r="Y67" s="70"/>
      <c r="Z67" s="70">
        <f>+X67-Y67</f>
        <v>5709000</v>
      </c>
      <c r="AA67" s="161"/>
      <c r="AB67" s="78">
        <v>46053</v>
      </c>
      <c r="AC67" s="78"/>
      <c r="AD67" s="79">
        <f>+IFERROR(AE67/$I67,"-")</f>
        <v>0.5</v>
      </c>
      <c r="AE67" s="80">
        <f>+지급비율!U64*$I67</f>
        <v>28545000</v>
      </c>
      <c r="AF67" s="70"/>
      <c r="AG67" s="70">
        <f>+AE67-AF67</f>
        <v>28545000</v>
      </c>
      <c r="AH67" s="161"/>
      <c r="AI67" s="78"/>
      <c r="AJ67" s="78"/>
      <c r="AK67" s="79">
        <f>+IFERROR(AL67/$I67,"-")</f>
        <v>0</v>
      </c>
      <c r="AL67" s="80">
        <f>+지급비율!AB64*$I67</f>
        <v>0</v>
      </c>
      <c r="AM67" s="70"/>
      <c r="AN67" s="70">
        <f>+AL67-AM67</f>
        <v>0</v>
      </c>
      <c r="AO67" s="161"/>
      <c r="AP67" s="78"/>
      <c r="AQ67" s="78"/>
      <c r="AR67" s="79">
        <f>+IFERROR(AS67/$I67,"-")</f>
        <v>0</v>
      </c>
      <c r="AS67" s="80">
        <f>+지급비율!AI64*$I67</f>
        <v>0</v>
      </c>
      <c r="AT67" s="70"/>
      <c r="AU67" s="70">
        <f>+AS67-AT67</f>
        <v>0</v>
      </c>
      <c r="AV67" s="161"/>
      <c r="AW67" s="78"/>
      <c r="AX67" s="78"/>
      <c r="AY67" s="79">
        <f>+IFERROR(AZ67/$I67,"-")</f>
        <v>0</v>
      </c>
      <c r="AZ67" s="80">
        <f>+지급비율!AP64*$I67</f>
        <v>0</v>
      </c>
      <c r="BA67" s="70"/>
      <c r="BB67" s="70">
        <f>+AZ67-BA67</f>
        <v>0</v>
      </c>
      <c r="BC67" s="161"/>
      <c r="BD67" s="78"/>
      <c r="BE67" s="78"/>
      <c r="BF67" s="79">
        <f>+IFERROR(BG67/$I67,"-")</f>
        <v>0</v>
      </c>
      <c r="BG67" s="80">
        <f>+지급비율!AW64*$I67</f>
        <v>0</v>
      </c>
      <c r="BH67" s="70"/>
      <c r="BI67" s="70">
        <f>+BG67-BH67</f>
        <v>0</v>
      </c>
      <c r="BJ67" s="161"/>
      <c r="BK67" s="78">
        <v>46142</v>
      </c>
      <c r="BL67" s="78"/>
      <c r="BM67" s="79">
        <f>+IFERROR(BN67/$I67,"-")</f>
        <v>0.1</v>
      </c>
      <c r="BN67" s="80">
        <f>+지급비율!BD64*$I67</f>
        <v>5709000</v>
      </c>
      <c r="BO67" s="70"/>
      <c r="BP67" s="70">
        <f t="shared" si="62"/>
        <v>5709000</v>
      </c>
      <c r="BQ67" s="161"/>
      <c r="BR67" s="73"/>
      <c r="BS67" s="74" t="b">
        <f>+Q67+X67+AE67+AS67+AZ67+BG67+BN67=I67</f>
        <v>1</v>
      </c>
      <c r="BT67" s="74" t="b">
        <f>+R67+Y67+AF67+AT67+BA67+BH67+BO67=K67</f>
        <v>1</v>
      </c>
      <c r="BU67" s="74"/>
      <c r="BV67" s="54"/>
      <c r="BW67" s="54"/>
      <c r="BX67" s="54"/>
      <c r="BY67" s="54"/>
      <c r="BZ67" s="54"/>
      <c r="CA67" s="54"/>
      <c r="CB67" s="54"/>
      <c r="CC67" s="54"/>
      <c r="CD67" s="58"/>
      <c r="CE67" s="58"/>
    </row>
    <row r="68" spans="1:83" ht="16.5" customHeight="1">
      <c r="A68" s="62"/>
      <c r="B68" s="1335"/>
      <c r="C68" s="1534"/>
      <c r="D68" s="1341"/>
      <c r="E68" s="1344"/>
      <c r="F68" s="75" t="s">
        <v>390</v>
      </c>
      <c r="G68" s="76">
        <f>+지급비율!F65*$D$66/1000</f>
        <v>34600000</v>
      </c>
      <c r="H68" s="76">
        <f>+G68*10%</f>
        <v>3460000</v>
      </c>
      <c r="I68" s="76">
        <f>SUM(G68:H68)</f>
        <v>38060000</v>
      </c>
      <c r="J68" s="75">
        <f t="shared" si="61"/>
        <v>0</v>
      </c>
      <c r="K68" s="80">
        <f>+IFERROR(R68+Y68+AF68+AT68+BA68+BH68+BO68,"-")</f>
        <v>0</v>
      </c>
      <c r="L68" s="80">
        <f>+I68-K68</f>
        <v>38060000</v>
      </c>
      <c r="M68" s="1332"/>
      <c r="N68" s="78">
        <v>45991</v>
      </c>
      <c r="O68" s="78"/>
      <c r="P68" s="79">
        <f>+IFERROR(Q68/$I68,"-")</f>
        <v>0.3</v>
      </c>
      <c r="Q68" s="80">
        <f>+지급비율!G65*$I68</f>
        <v>11418000</v>
      </c>
      <c r="R68" s="80"/>
      <c r="S68" s="80">
        <f>+Q68-R68</f>
        <v>11418000</v>
      </c>
      <c r="T68" s="81"/>
      <c r="U68" s="78">
        <v>46022</v>
      </c>
      <c r="V68" s="72"/>
      <c r="W68" s="79">
        <f>+IFERROR(X68/$I68,"-")</f>
        <v>0.1</v>
      </c>
      <c r="X68" s="80">
        <f>+지급비율!N65*$I68</f>
        <v>3806000</v>
      </c>
      <c r="Y68" s="70"/>
      <c r="Z68" s="70">
        <f>+X68-Y68</f>
        <v>3806000</v>
      </c>
      <c r="AA68" s="161"/>
      <c r="AB68" s="78">
        <v>46053</v>
      </c>
      <c r="AC68" s="72"/>
      <c r="AD68" s="79">
        <f>+IFERROR(AE68/$I68,"-")</f>
        <v>0.5</v>
      </c>
      <c r="AE68" s="80">
        <f>+지급비율!U65*$I68</f>
        <v>19030000</v>
      </c>
      <c r="AF68" s="70"/>
      <c r="AG68" s="70">
        <f>+AE68-AF68</f>
        <v>19030000</v>
      </c>
      <c r="AH68" s="161"/>
      <c r="AI68" s="72"/>
      <c r="AJ68" s="72"/>
      <c r="AK68" s="79">
        <f>+IFERROR(AL68/$I68,"-")</f>
        <v>0</v>
      </c>
      <c r="AL68" s="80">
        <f>+지급비율!AB65*$I68</f>
        <v>0</v>
      </c>
      <c r="AM68" s="70"/>
      <c r="AN68" s="70">
        <f>+AL68-AM68</f>
        <v>0</v>
      </c>
      <c r="AO68" s="161"/>
      <c r="AP68" s="72"/>
      <c r="AQ68" s="72"/>
      <c r="AR68" s="79">
        <f>+IFERROR(AS68/$I68,"-")</f>
        <v>0</v>
      </c>
      <c r="AS68" s="80">
        <f>+지급비율!AI65*$I68</f>
        <v>0</v>
      </c>
      <c r="AT68" s="70"/>
      <c r="AU68" s="70">
        <f>+AS68-AT68</f>
        <v>0</v>
      </c>
      <c r="AV68" s="161"/>
      <c r="AW68" s="72"/>
      <c r="AX68" s="72"/>
      <c r="AY68" s="79">
        <f>+IFERROR(AZ68/$I68,"-")</f>
        <v>0</v>
      </c>
      <c r="AZ68" s="80">
        <f>+지급비율!AP65*$I68</f>
        <v>0</v>
      </c>
      <c r="BA68" s="70"/>
      <c r="BB68" s="70">
        <f>+AZ68-BA68</f>
        <v>0</v>
      </c>
      <c r="BC68" s="161"/>
      <c r="BD68" s="72"/>
      <c r="BE68" s="72"/>
      <c r="BF68" s="79">
        <f>+IFERROR(BG68/$I68,"-")</f>
        <v>0</v>
      </c>
      <c r="BG68" s="80">
        <f>+지급비율!AW65*$I68</f>
        <v>0</v>
      </c>
      <c r="BH68" s="70"/>
      <c r="BI68" s="70">
        <f>+BG68-BH68</f>
        <v>0</v>
      </c>
      <c r="BJ68" s="161"/>
      <c r="BK68" s="78">
        <v>46142</v>
      </c>
      <c r="BL68" s="72"/>
      <c r="BM68" s="79">
        <f>+IFERROR(BN68/$I68,"-")</f>
        <v>0.1</v>
      </c>
      <c r="BN68" s="80">
        <f>+지급비율!BD65*$I68</f>
        <v>3806000</v>
      </c>
      <c r="BO68" s="70"/>
      <c r="BP68" s="70">
        <f t="shared" si="62"/>
        <v>3806000</v>
      </c>
      <c r="BQ68" s="161"/>
      <c r="BR68" s="73"/>
      <c r="BS68" s="74" t="b">
        <f>+Q68+X68+AE68+AS68+AZ68+BG68+BN68=I68</f>
        <v>1</v>
      </c>
      <c r="BT68" s="74" t="b">
        <f>+R68+Y68+AF68+AT68+BA68+BH68+BO68=K68</f>
        <v>1</v>
      </c>
      <c r="BU68" s="74"/>
      <c r="BV68" s="54"/>
      <c r="BW68" s="54"/>
      <c r="BX68" s="54"/>
      <c r="BY68" s="54"/>
      <c r="BZ68" s="54"/>
      <c r="CA68" s="54"/>
      <c r="CB68" s="54"/>
      <c r="CC68" s="54"/>
      <c r="CD68" s="58"/>
      <c r="CE68" s="58"/>
    </row>
    <row r="69" spans="1:83" ht="16.5" customHeight="1">
      <c r="A69" s="62"/>
      <c r="B69" s="1335"/>
      <c r="C69" s="1534"/>
      <c r="D69" s="1341"/>
      <c r="E69" s="1344"/>
      <c r="F69" s="101" t="s">
        <v>391</v>
      </c>
      <c r="G69" s="102">
        <f>+지급비율!F66*$D$66/1000</f>
        <v>30275000</v>
      </c>
      <c r="H69" s="102">
        <f>+G69*0.1</f>
        <v>3027500</v>
      </c>
      <c r="I69" s="102">
        <f>SUM(G69:H69)</f>
        <v>33302500</v>
      </c>
      <c r="J69" s="101">
        <f t="shared" si="61"/>
        <v>0</v>
      </c>
      <c r="K69" s="106">
        <f>+IFERROR(R69+Y69+AF69+AT69+BA69+BH69+BO69,"-")</f>
        <v>0</v>
      </c>
      <c r="L69" s="106">
        <f>+I69-K69</f>
        <v>33302500</v>
      </c>
      <c r="M69" s="1333"/>
      <c r="N69" s="85"/>
      <c r="O69" s="83"/>
      <c r="P69" s="86"/>
      <c r="Q69" s="70">
        <f>+지급비율!G66*$I69</f>
        <v>0</v>
      </c>
      <c r="R69" s="87"/>
      <c r="S69" s="87"/>
      <c r="T69" s="83"/>
      <c r="U69" s="85"/>
      <c r="V69" s="83"/>
      <c r="W69" s="86"/>
      <c r="X69" s="70">
        <f>+지급비율!N66*$I69</f>
        <v>0</v>
      </c>
      <c r="Y69" s="87"/>
      <c r="Z69" s="87"/>
      <c r="AA69" s="83"/>
      <c r="AB69" s="85"/>
      <c r="AC69" s="83"/>
      <c r="AD69" s="86"/>
      <c r="AE69" s="70">
        <f>+지급비율!U66*$I69</f>
        <v>0</v>
      </c>
      <c r="AF69" s="87"/>
      <c r="AG69" s="87"/>
      <c r="AH69" s="83"/>
      <c r="AI69" s="85"/>
      <c r="AJ69" s="83"/>
      <c r="AK69" s="86"/>
      <c r="AL69" s="70">
        <f>+지급비율!AB66*$I69</f>
        <v>0</v>
      </c>
      <c r="AM69" s="87"/>
      <c r="AN69" s="87"/>
      <c r="AO69" s="83"/>
      <c r="AP69" s="85"/>
      <c r="AQ69" s="83"/>
      <c r="AR69" s="86"/>
      <c r="AS69" s="70">
        <f>+지급비율!AI66*$I69</f>
        <v>0</v>
      </c>
      <c r="AT69" s="87"/>
      <c r="AU69" s="87"/>
      <c r="AV69" s="83"/>
      <c r="AW69" s="85"/>
      <c r="AX69" s="83"/>
      <c r="AY69" s="86"/>
      <c r="AZ69" s="70">
        <f>+지급비율!AP66*$I69</f>
        <v>0</v>
      </c>
      <c r="BA69" s="87"/>
      <c r="BB69" s="87"/>
      <c r="BC69" s="83"/>
      <c r="BD69" s="85"/>
      <c r="BE69" s="83"/>
      <c r="BF69" s="86"/>
      <c r="BG69" s="70">
        <f>+지급비율!AW66*$I69</f>
        <v>0</v>
      </c>
      <c r="BH69" s="87"/>
      <c r="BI69" s="87"/>
      <c r="BJ69" s="83"/>
      <c r="BK69" s="78">
        <v>46142</v>
      </c>
      <c r="BL69" s="101"/>
      <c r="BM69" s="86"/>
      <c r="BN69" s="70">
        <f>+지급비율!BD66*$I69</f>
        <v>33302500</v>
      </c>
      <c r="BO69" s="87"/>
      <c r="BP69" s="70">
        <f t="shared" si="62"/>
        <v>33302500</v>
      </c>
      <c r="BQ69" s="83"/>
      <c r="BR69" s="88"/>
      <c r="BS69" s="89" t="b">
        <f>+Q69+X69+AE69+AS69+AZ69+BG69+BN69=I69</f>
        <v>1</v>
      </c>
      <c r="BT69" s="90" t="b">
        <f>+R69+Y69+AF69+AT69+BA69+BH69+BO69=K69</f>
        <v>1</v>
      </c>
      <c r="BU69" s="90"/>
      <c r="BV69" s="54"/>
      <c r="BW69" s="54"/>
      <c r="BX69" s="54"/>
      <c r="BY69" s="54"/>
      <c r="BZ69" s="54"/>
      <c r="CA69" s="54"/>
      <c r="CB69" s="54"/>
      <c r="CC69" s="54"/>
      <c r="CD69" s="58"/>
      <c r="CE69" s="58"/>
    </row>
    <row r="70" spans="1:83" ht="16.5" customHeight="1">
      <c r="A70" s="62"/>
      <c r="B70" s="1336"/>
      <c r="C70" s="1535"/>
      <c r="D70" s="1342"/>
      <c r="E70" s="1345"/>
      <c r="F70" s="91" t="s">
        <v>392</v>
      </c>
      <c r="G70" s="92">
        <f>SUM(G66:G69)</f>
        <v>307075000</v>
      </c>
      <c r="H70" s="92">
        <f>SUM(H66:H69)</f>
        <v>30707500</v>
      </c>
      <c r="I70" s="92">
        <f>SUM(I66:I69)</f>
        <v>337782500</v>
      </c>
      <c r="J70" s="91">
        <f t="shared" si="61"/>
        <v>0</v>
      </c>
      <c r="K70" s="92">
        <f>SUM(K66:K69)</f>
        <v>0</v>
      </c>
      <c r="L70" s="92">
        <f>SUM(L66:L69)</f>
        <v>337782500</v>
      </c>
      <c r="M70" s="419">
        <f>+Q67+Q68</f>
        <v>28545000</v>
      </c>
      <c r="N70" s="93"/>
      <c r="O70" s="91"/>
      <c r="P70" s="94">
        <f>+IFERROR(Q70/$I70,"-")</f>
        <v>8.4507042253521125E-2</v>
      </c>
      <c r="Q70" s="92">
        <f>SUM(Q66:Q69)</f>
        <v>28545000</v>
      </c>
      <c r="R70" s="92">
        <f>SUM(R66:R69)</f>
        <v>0</v>
      </c>
      <c r="S70" s="95">
        <f t="shared" ref="S70" si="63">+Q70-R70</f>
        <v>28545000</v>
      </c>
      <c r="T70" s="91"/>
      <c r="U70" s="93"/>
      <c r="V70" s="91"/>
      <c r="W70" s="94">
        <f>+IFERROR(X70/$I70,"-")</f>
        <v>2.8169014084507043E-2</v>
      </c>
      <c r="X70" s="92">
        <f>SUM(X66:X69)</f>
        <v>9515000</v>
      </c>
      <c r="Y70" s="92">
        <f>SUM(Y66:Y69)</f>
        <v>0</v>
      </c>
      <c r="Z70" s="95">
        <f t="shared" ref="Z70" si="64">+X70-Y70</f>
        <v>9515000</v>
      </c>
      <c r="AA70" s="91"/>
      <c r="AB70" s="93"/>
      <c r="AC70" s="91"/>
      <c r="AD70" s="94">
        <f>+IFERROR(AE70/$I70,"-")</f>
        <v>0.45070422535211269</v>
      </c>
      <c r="AE70" s="92">
        <f>SUM(AE66:AE69)</f>
        <v>152240000</v>
      </c>
      <c r="AF70" s="92">
        <f>SUM(AF66:AF69)</f>
        <v>0</v>
      </c>
      <c r="AG70" s="95">
        <f t="shared" ref="AG70" si="65">+AE70-AF70</f>
        <v>152240000</v>
      </c>
      <c r="AH70" s="91"/>
      <c r="AI70" s="93"/>
      <c r="AJ70" s="91"/>
      <c r="AK70" s="94">
        <f t="shared" ref="AK70" si="66">+IFERROR(AL70/$I70,"-")</f>
        <v>0</v>
      </c>
      <c r="AL70" s="92">
        <f>SUM(AL66:AL69)</f>
        <v>0</v>
      </c>
      <c r="AM70" s="92">
        <f>SUM(AM66:AM69)</f>
        <v>0</v>
      </c>
      <c r="AN70" s="95">
        <f t="shared" ref="AN70" si="67">+AL70-AM70</f>
        <v>0</v>
      </c>
      <c r="AO70" s="91"/>
      <c r="AP70" s="93"/>
      <c r="AQ70" s="91"/>
      <c r="AR70" s="94">
        <f>+IFERROR(AS70/$I70,"-")</f>
        <v>0</v>
      </c>
      <c r="AS70" s="92">
        <f>SUM(AS66:AS69)</f>
        <v>0</v>
      </c>
      <c r="AT70" s="92">
        <f>SUM(AT66:AT69)</f>
        <v>0</v>
      </c>
      <c r="AU70" s="95">
        <f t="shared" ref="AU70" si="68">+AS70-AT70</f>
        <v>0</v>
      </c>
      <c r="AV70" s="91"/>
      <c r="AW70" s="93"/>
      <c r="AX70" s="91"/>
      <c r="AY70" s="94">
        <f>+IFERROR(AZ70/$I70,"-")</f>
        <v>0</v>
      </c>
      <c r="AZ70" s="92">
        <f>SUM(AZ66:AZ69)</f>
        <v>0</v>
      </c>
      <c r="BA70" s="92">
        <f>SUM(BA66:BA69)</f>
        <v>0</v>
      </c>
      <c r="BB70" s="95">
        <f t="shared" ref="BB70" si="69">+AZ70-BA70</f>
        <v>0</v>
      </c>
      <c r="BC70" s="91"/>
      <c r="BD70" s="93"/>
      <c r="BE70" s="91"/>
      <c r="BF70" s="94">
        <f>+IFERROR(BG70/$I70,"-")</f>
        <v>0.24788732394366197</v>
      </c>
      <c r="BG70" s="92">
        <f>SUM(BG66:BG69)</f>
        <v>83732000</v>
      </c>
      <c r="BH70" s="92">
        <f>SUM(BH66:BH69)</f>
        <v>0</v>
      </c>
      <c r="BI70" s="95">
        <f t="shared" ref="BI70" si="70">+BG70-BH70</f>
        <v>83732000</v>
      </c>
      <c r="BJ70" s="91"/>
      <c r="BK70" s="93"/>
      <c r="BL70" s="91"/>
      <c r="BM70" s="94">
        <f t="shared" ref="BM70" si="71">+IFERROR(BN70/$I70,"-")</f>
        <v>0.18873239436619718</v>
      </c>
      <c r="BN70" s="92">
        <f>SUM(BN66:BN69)</f>
        <v>63750500</v>
      </c>
      <c r="BO70" s="92">
        <f>SUM(BO66:BO69)</f>
        <v>0</v>
      </c>
      <c r="BP70" s="95">
        <f t="shared" si="62"/>
        <v>63750500</v>
      </c>
      <c r="BQ70" s="91"/>
      <c r="BR70" s="88"/>
      <c r="BS70" s="96"/>
      <c r="BT70" s="97"/>
      <c r="BU70" s="97"/>
      <c r="BV70" s="54"/>
      <c r="BW70" s="54"/>
      <c r="BX70" s="54"/>
      <c r="BY70" s="54"/>
      <c r="BZ70" s="54"/>
      <c r="CA70" s="54"/>
      <c r="CB70" s="54"/>
      <c r="CC70" s="54"/>
      <c r="CD70" s="58"/>
      <c r="CE70" s="58"/>
    </row>
    <row r="71" spans="1:83" ht="16.5" customHeight="1">
      <c r="A71" s="146"/>
      <c r="B71" s="1529" t="s">
        <v>392</v>
      </c>
      <c r="C71" s="1529"/>
      <c r="D71" s="1536">
        <f>+SUM(D11:D50)</f>
        <v>6535.55</v>
      </c>
      <c r="E71" s="1529"/>
      <c r="F71" s="147" t="s">
        <v>388</v>
      </c>
      <c r="G71" s="148">
        <f>+G11+G16+G21+G26+G31+G36+G41+G46+G51+G56+G61+G66</f>
        <v>8871005000</v>
      </c>
      <c r="H71" s="148">
        <f>+G71*10%</f>
        <v>887100500</v>
      </c>
      <c r="I71" s="148">
        <f t="shared" ref="I71:I73" si="72">SUM(G71:H71)</f>
        <v>9758105500</v>
      </c>
      <c r="J71" s="147">
        <f t="shared" ref="J71:J73" si="73">+IFERROR(K71/I71,"-")</f>
        <v>0</v>
      </c>
      <c r="K71" s="148">
        <f>+K11+K16+K21+K26+K31+K36+K41+K46+K51+K56+K61+K66</f>
        <v>0</v>
      </c>
      <c r="L71" s="148">
        <f>+I71-K71</f>
        <v>9758105500</v>
      </c>
      <c r="M71" s="421"/>
      <c r="N71" s="149"/>
      <c r="O71" s="149"/>
      <c r="P71" s="141">
        <f t="shared" ref="P71:P75" si="74">+IFERROR(Q71/$I71,"-")</f>
        <v>0</v>
      </c>
      <c r="Q71" s="148">
        <f t="shared" ref="Q71:R74" si="75">+Q11+Q16+Q21+Q26+Q31+Q36+Q41+Q46+Q51+Q56+Q61+Q66</f>
        <v>0</v>
      </c>
      <c r="R71" s="148">
        <f t="shared" si="75"/>
        <v>0</v>
      </c>
      <c r="S71" s="150">
        <f t="shared" si="16"/>
        <v>0</v>
      </c>
      <c r="T71" s="151"/>
      <c r="U71" s="149"/>
      <c r="V71" s="149"/>
      <c r="W71" s="141">
        <f t="shared" ref="W71:W75" si="76">+IFERROR(X71/$I71,"-")</f>
        <v>0</v>
      </c>
      <c r="X71" s="148">
        <f t="shared" ref="X71:Y71" si="77">+X11+X16+X21+X26+X31+X36+X41+X46+X51+X56+X61+X66</f>
        <v>0</v>
      </c>
      <c r="Y71" s="148">
        <f t="shared" si="77"/>
        <v>0</v>
      </c>
      <c r="Z71" s="150">
        <f t="shared" si="17"/>
        <v>0</v>
      </c>
      <c r="AA71" s="151"/>
      <c r="AB71" s="149"/>
      <c r="AC71" s="149"/>
      <c r="AD71" s="141">
        <f t="shared" ref="AD71:AD75" si="78">+IFERROR(AE71/$I71,"-")</f>
        <v>0.5</v>
      </c>
      <c r="AE71" s="148">
        <f t="shared" ref="AE71:AF71" si="79">+AE11+AE16+AE21+AE26+AE31+AE36+AE41+AE46+AE51+AE56+AE61+AE66</f>
        <v>4879052750</v>
      </c>
      <c r="AF71" s="148">
        <f t="shared" si="79"/>
        <v>0</v>
      </c>
      <c r="AG71" s="150">
        <f t="shared" si="18"/>
        <v>4879052750</v>
      </c>
      <c r="AH71" s="151"/>
      <c r="AI71" s="149"/>
      <c r="AJ71" s="149"/>
      <c r="AK71" s="141">
        <f t="shared" si="19"/>
        <v>0</v>
      </c>
      <c r="AL71" s="148">
        <f t="shared" ref="AL71:AM71" si="80">+AL11+AL16+AL21+AL26+AL31+AL36+AL41+AL46+AL51+AL56+AL61+AL66</f>
        <v>0</v>
      </c>
      <c r="AM71" s="148">
        <f t="shared" si="80"/>
        <v>0</v>
      </c>
      <c r="AN71" s="150">
        <f t="shared" si="20"/>
        <v>0</v>
      </c>
      <c r="AO71" s="151"/>
      <c r="AP71" s="149"/>
      <c r="AQ71" s="149"/>
      <c r="AR71" s="141">
        <f t="shared" ref="AR71:AR75" si="81">+IFERROR(AS71/$I71,"-")</f>
        <v>0</v>
      </c>
      <c r="AS71" s="148">
        <f t="shared" ref="AS71:AT71" si="82">+AS11+AS16+AS21+AS26+AS31+AS36+AS41+AS46+AS51+AS56+AS61+AS66</f>
        <v>0</v>
      </c>
      <c r="AT71" s="148">
        <f t="shared" si="82"/>
        <v>0</v>
      </c>
      <c r="AU71" s="150">
        <f t="shared" si="21"/>
        <v>0</v>
      </c>
      <c r="AV71" s="151"/>
      <c r="AW71" s="149"/>
      <c r="AX71" s="149"/>
      <c r="AY71" s="141">
        <f t="shared" ref="AY71:AY75" si="83">+IFERROR(AZ71/$I71,"-")</f>
        <v>0</v>
      </c>
      <c r="AZ71" s="148">
        <f t="shared" ref="AZ71:BA71" si="84">+AZ11+AZ16+AZ21+AZ26+AZ31+AZ36+AZ41+AZ46+AZ51+AZ56+AZ61+AZ66</f>
        <v>0</v>
      </c>
      <c r="BA71" s="148">
        <f t="shared" si="84"/>
        <v>0</v>
      </c>
      <c r="BB71" s="150">
        <f t="shared" si="22"/>
        <v>0</v>
      </c>
      <c r="BC71" s="151"/>
      <c r="BD71" s="149"/>
      <c r="BE71" s="149"/>
      <c r="BF71" s="141">
        <f t="shared" ref="BF71:BF75" si="85">+IFERROR(BG71/$I71,"-")</f>
        <v>0.4</v>
      </c>
      <c r="BG71" s="148">
        <f t="shared" ref="BG71:BH71" si="86">+BG11+BG16+BG21+BG26+BG31+BG36+BG41+BG46+BG51+BG56+BG61+BG66</f>
        <v>3903242200</v>
      </c>
      <c r="BH71" s="148">
        <f t="shared" si="86"/>
        <v>0</v>
      </c>
      <c r="BI71" s="150">
        <f t="shared" si="23"/>
        <v>3903242200</v>
      </c>
      <c r="BJ71" s="151"/>
      <c r="BK71" s="149"/>
      <c r="BL71" s="149"/>
      <c r="BM71" s="141">
        <f t="shared" si="24"/>
        <v>0.1</v>
      </c>
      <c r="BN71" s="148">
        <f t="shared" ref="BN71:BO71" si="87">+BN11+BN16+BN21+BN26+BN31+BN36+BN41+BN46+BN51+BN56+BN61+BN66</f>
        <v>975810550</v>
      </c>
      <c r="BO71" s="148">
        <f t="shared" si="87"/>
        <v>0</v>
      </c>
      <c r="BP71" s="150">
        <f t="shared" si="25"/>
        <v>975810550</v>
      </c>
      <c r="BQ71" s="151"/>
      <c r="BR71" s="73"/>
      <c r="BS71" s="113" t="b">
        <f>+Q71+X71+AE71+AS71+AZ71+BG71+BN71=I71</f>
        <v>1</v>
      </c>
      <c r="BT71" s="113" t="b">
        <f>+R71+Y71+AF71+AT71+BA71+BH71+BO71=K71</f>
        <v>1</v>
      </c>
      <c r="BU71" s="113"/>
      <c r="BV71" s="54"/>
      <c r="BW71" s="54"/>
      <c r="BX71" s="54"/>
      <c r="BY71" s="54"/>
      <c r="BZ71" s="54"/>
      <c r="CA71" s="54"/>
      <c r="CB71" s="54"/>
      <c r="CC71" s="54"/>
      <c r="CD71" s="58"/>
      <c r="CE71" s="58"/>
    </row>
    <row r="72" spans="1:83" ht="16.5" customHeight="1">
      <c r="A72" s="146"/>
      <c r="B72" s="1529"/>
      <c r="C72" s="1529"/>
      <c r="D72" s="1536"/>
      <c r="E72" s="1529"/>
      <c r="F72" s="114" t="s">
        <v>389</v>
      </c>
      <c r="G72" s="115">
        <f t="shared" ref="G72:G74" si="88">+G12+G17+G22+G27+G32+G37+G42+G47+G52+G57+G62+G67</f>
        <v>2419365000</v>
      </c>
      <c r="H72" s="115">
        <f>+G72*10%</f>
        <v>241936500</v>
      </c>
      <c r="I72" s="115">
        <f t="shared" si="72"/>
        <v>2661301500</v>
      </c>
      <c r="J72" s="114">
        <f t="shared" si="73"/>
        <v>3.6865045166810301E-2</v>
      </c>
      <c r="K72" s="115">
        <f t="shared" ref="K72:K74" si="89">+K12+K17+K22+K27+K32+K37+K42+K47+K52+K57+K62+K67</f>
        <v>98109000</v>
      </c>
      <c r="L72" s="115">
        <f t="shared" ref="L72:L74" si="90">+I72-K72</f>
        <v>2563192500</v>
      </c>
      <c r="M72" s="422"/>
      <c r="N72" s="152"/>
      <c r="O72" s="152"/>
      <c r="P72" s="117">
        <f t="shared" si="74"/>
        <v>0.3</v>
      </c>
      <c r="Q72" s="115">
        <f t="shared" si="75"/>
        <v>798390450</v>
      </c>
      <c r="R72" s="115">
        <f t="shared" si="75"/>
        <v>98109000</v>
      </c>
      <c r="S72" s="153">
        <f t="shared" si="16"/>
        <v>700281450</v>
      </c>
      <c r="T72" s="118"/>
      <c r="U72" s="152"/>
      <c r="V72" s="152"/>
      <c r="W72" s="117">
        <f t="shared" si="76"/>
        <v>0.1</v>
      </c>
      <c r="X72" s="115">
        <f t="shared" ref="X72:Y72" si="91">+X12+X17+X22+X27+X32+X37+X42+X47+X52+X57+X62+X67</f>
        <v>266130150</v>
      </c>
      <c r="Y72" s="115">
        <f t="shared" si="91"/>
        <v>0</v>
      </c>
      <c r="Z72" s="153">
        <f t="shared" si="17"/>
        <v>266130150</v>
      </c>
      <c r="AA72" s="118"/>
      <c r="AB72" s="152"/>
      <c r="AC72" s="152"/>
      <c r="AD72" s="117">
        <f t="shared" si="78"/>
        <v>0.5</v>
      </c>
      <c r="AE72" s="115">
        <f t="shared" ref="AE72:AF72" si="92">+AE12+AE17+AE22+AE27+AE32+AE37+AE42+AE47+AE52+AE57+AE62+AE67</f>
        <v>1330650750</v>
      </c>
      <c r="AF72" s="115">
        <f t="shared" si="92"/>
        <v>0</v>
      </c>
      <c r="AG72" s="153">
        <f t="shared" si="18"/>
        <v>1330650750</v>
      </c>
      <c r="AH72" s="118"/>
      <c r="AI72" s="152"/>
      <c r="AJ72" s="152"/>
      <c r="AK72" s="117">
        <f t="shared" si="19"/>
        <v>0</v>
      </c>
      <c r="AL72" s="115">
        <f t="shared" ref="AL72:AM72" si="93">+AL12+AL17+AL22+AL27+AL32+AL37+AL42+AL47+AL52+AL57+AL62+AL67</f>
        <v>0</v>
      </c>
      <c r="AM72" s="115">
        <f t="shared" si="93"/>
        <v>0</v>
      </c>
      <c r="AN72" s="153">
        <f t="shared" si="20"/>
        <v>0</v>
      </c>
      <c r="AO72" s="118"/>
      <c r="AP72" s="152"/>
      <c r="AQ72" s="152"/>
      <c r="AR72" s="117">
        <f t="shared" si="81"/>
        <v>0</v>
      </c>
      <c r="AS72" s="115">
        <f t="shared" ref="AS72:AT72" si="94">+AS12+AS17+AS22+AS27+AS32+AS37+AS42+AS47+AS52+AS57+AS62+AS67</f>
        <v>0</v>
      </c>
      <c r="AT72" s="115">
        <f t="shared" si="94"/>
        <v>0</v>
      </c>
      <c r="AU72" s="153">
        <f t="shared" si="21"/>
        <v>0</v>
      </c>
      <c r="AV72" s="118"/>
      <c r="AW72" s="152"/>
      <c r="AX72" s="152"/>
      <c r="AY72" s="117">
        <f t="shared" si="83"/>
        <v>0</v>
      </c>
      <c r="AZ72" s="115">
        <f t="shared" ref="AZ72:BA72" si="95">+AZ12+AZ17+AZ22+AZ27+AZ32+AZ37+AZ42+AZ47+AZ52+AZ57+AZ62+AZ67</f>
        <v>0</v>
      </c>
      <c r="BA72" s="115">
        <f t="shared" si="95"/>
        <v>0</v>
      </c>
      <c r="BB72" s="153">
        <f t="shared" si="22"/>
        <v>0</v>
      </c>
      <c r="BC72" s="118"/>
      <c r="BD72" s="152"/>
      <c r="BE72" s="152"/>
      <c r="BF72" s="117">
        <f t="shared" si="85"/>
        <v>0</v>
      </c>
      <c r="BG72" s="115">
        <f t="shared" ref="BG72:BH72" si="96">+BG12+BG17+BG22+BG27+BG32+BG37+BG42+BG47+BG52+BG57+BG62+BG67</f>
        <v>0</v>
      </c>
      <c r="BH72" s="115">
        <f t="shared" si="96"/>
        <v>0</v>
      </c>
      <c r="BI72" s="153">
        <f t="shared" si="23"/>
        <v>0</v>
      </c>
      <c r="BJ72" s="118"/>
      <c r="BK72" s="152"/>
      <c r="BL72" s="152"/>
      <c r="BM72" s="117">
        <f t="shared" si="24"/>
        <v>0.1</v>
      </c>
      <c r="BN72" s="115">
        <f t="shared" ref="BN72:BO72" si="97">+BN12+BN17+BN22+BN27+BN32+BN37+BN42+BN47+BN52+BN57+BN62+BN67</f>
        <v>266130150</v>
      </c>
      <c r="BO72" s="115">
        <f t="shared" si="97"/>
        <v>0</v>
      </c>
      <c r="BP72" s="153">
        <f t="shared" si="25"/>
        <v>266130150</v>
      </c>
      <c r="BQ72" s="118"/>
      <c r="BR72" s="73"/>
      <c r="BS72" s="113" t="b">
        <f>+Q72+X72+AE72+AS72+AZ72+BG72+BN72=I72</f>
        <v>1</v>
      </c>
      <c r="BT72" s="113" t="b">
        <f>+R72+Y72+AF72+AT72+BA72+BH72+BO72=K72</f>
        <v>1</v>
      </c>
      <c r="BU72" s="113" t="b">
        <f>+BG72+BG73+AZ72+AZ73+AS72+AS73+AE72+AE73+X72+X73+Q72+Q73+BN72+BN73=([5]지급비율!$F$21+[5]지급비율!$F$22)*1.1*D71/1000</f>
        <v>0</v>
      </c>
      <c r="BV72" s="54"/>
      <c r="BW72" s="54"/>
      <c r="BX72" s="54"/>
      <c r="BY72" s="54"/>
      <c r="BZ72" s="54"/>
      <c r="CA72" s="54"/>
      <c r="CB72" s="54"/>
      <c r="CC72" s="54"/>
      <c r="CD72" s="58"/>
      <c r="CE72" s="58"/>
    </row>
    <row r="73" spans="1:83" ht="16.5" customHeight="1">
      <c r="A73" s="146"/>
      <c r="B73" s="1529"/>
      <c r="C73" s="1529"/>
      <c r="D73" s="1536"/>
      <c r="E73" s="1529"/>
      <c r="F73" s="114" t="s">
        <v>390</v>
      </c>
      <c r="G73" s="115">
        <f t="shared" si="88"/>
        <v>1612910000</v>
      </c>
      <c r="H73" s="115">
        <f t="shared" ref="H73" si="98">+G73*10%</f>
        <v>161291000</v>
      </c>
      <c r="I73" s="115">
        <f t="shared" si="72"/>
        <v>1774201000</v>
      </c>
      <c r="J73" s="114">
        <f t="shared" si="73"/>
        <v>3.6865045166810301E-2</v>
      </c>
      <c r="K73" s="115">
        <f t="shared" si="89"/>
        <v>65406000</v>
      </c>
      <c r="L73" s="115">
        <f t="shared" si="90"/>
        <v>1708795000</v>
      </c>
      <c r="M73" s="422"/>
      <c r="N73" s="152"/>
      <c r="O73" s="152"/>
      <c r="P73" s="117">
        <f t="shared" si="74"/>
        <v>0.3</v>
      </c>
      <c r="Q73" s="115">
        <f t="shared" si="75"/>
        <v>532260300</v>
      </c>
      <c r="R73" s="115">
        <f t="shared" si="75"/>
        <v>65406000</v>
      </c>
      <c r="S73" s="153">
        <f t="shared" si="16"/>
        <v>466854300</v>
      </c>
      <c r="T73" s="118"/>
      <c r="U73" s="152"/>
      <c r="V73" s="152"/>
      <c r="W73" s="117">
        <f t="shared" si="76"/>
        <v>0.1</v>
      </c>
      <c r="X73" s="115">
        <f t="shared" ref="X73:Y73" si="99">+X13+X18+X23+X28+X33+X38+X43+X48+X53+X58+X63+X68</f>
        <v>177420100</v>
      </c>
      <c r="Y73" s="115">
        <f t="shared" si="99"/>
        <v>0</v>
      </c>
      <c r="Z73" s="153">
        <f t="shared" si="17"/>
        <v>177420100</v>
      </c>
      <c r="AA73" s="118"/>
      <c r="AB73" s="152"/>
      <c r="AC73" s="152"/>
      <c r="AD73" s="117">
        <f t="shared" si="78"/>
        <v>0.5</v>
      </c>
      <c r="AE73" s="115">
        <f t="shared" ref="AE73:AF73" si="100">+AE13+AE18+AE23+AE28+AE33+AE38+AE43+AE48+AE53+AE58+AE63+AE68</f>
        <v>887100500</v>
      </c>
      <c r="AF73" s="115">
        <f t="shared" si="100"/>
        <v>0</v>
      </c>
      <c r="AG73" s="153">
        <f t="shared" si="18"/>
        <v>887100500</v>
      </c>
      <c r="AH73" s="118"/>
      <c r="AI73" s="152"/>
      <c r="AJ73" s="152"/>
      <c r="AK73" s="117">
        <f t="shared" si="19"/>
        <v>0</v>
      </c>
      <c r="AL73" s="115">
        <f t="shared" ref="AL73:AM73" si="101">+AL13+AL18+AL23+AL28+AL33+AL38+AL43+AL48+AL53+AL58+AL63+AL68</f>
        <v>0</v>
      </c>
      <c r="AM73" s="115">
        <f t="shared" si="101"/>
        <v>0</v>
      </c>
      <c r="AN73" s="153">
        <f t="shared" si="20"/>
        <v>0</v>
      </c>
      <c r="AO73" s="118"/>
      <c r="AP73" s="152"/>
      <c r="AQ73" s="152"/>
      <c r="AR73" s="117">
        <f t="shared" si="81"/>
        <v>0</v>
      </c>
      <c r="AS73" s="115">
        <f t="shared" ref="AS73:AT73" si="102">+AS13+AS18+AS23+AS28+AS33+AS38+AS43+AS48+AS53+AS58+AS63+AS68</f>
        <v>0</v>
      </c>
      <c r="AT73" s="115">
        <f t="shared" si="102"/>
        <v>0</v>
      </c>
      <c r="AU73" s="153">
        <f t="shared" si="21"/>
        <v>0</v>
      </c>
      <c r="AV73" s="118"/>
      <c r="AW73" s="152"/>
      <c r="AX73" s="152"/>
      <c r="AY73" s="117">
        <f t="shared" si="83"/>
        <v>0</v>
      </c>
      <c r="AZ73" s="115">
        <f t="shared" ref="AZ73:BA73" si="103">+AZ13+AZ18+AZ23+AZ28+AZ33+AZ38+AZ43+AZ48+AZ53+AZ58+AZ63+AZ68</f>
        <v>0</v>
      </c>
      <c r="BA73" s="115">
        <f t="shared" si="103"/>
        <v>0</v>
      </c>
      <c r="BB73" s="153">
        <f t="shared" si="22"/>
        <v>0</v>
      </c>
      <c r="BC73" s="118"/>
      <c r="BD73" s="152"/>
      <c r="BE73" s="152"/>
      <c r="BF73" s="117">
        <f t="shared" si="85"/>
        <v>0</v>
      </c>
      <c r="BG73" s="115">
        <f t="shared" ref="BG73:BH73" si="104">+BG13+BG18+BG23+BG28+BG33+BG38+BG43+BG48+BG53+BG58+BG63+BG68</f>
        <v>0</v>
      </c>
      <c r="BH73" s="115">
        <f t="shared" si="104"/>
        <v>0</v>
      </c>
      <c r="BI73" s="153">
        <f t="shared" si="23"/>
        <v>0</v>
      </c>
      <c r="BJ73" s="118"/>
      <c r="BK73" s="152"/>
      <c r="BL73" s="152"/>
      <c r="BM73" s="117">
        <f t="shared" si="24"/>
        <v>0.1</v>
      </c>
      <c r="BN73" s="115">
        <f t="shared" ref="BN73:BO73" si="105">+BN13+BN18+BN23+BN28+BN33+BN38+BN43+BN48+BN53+BN58+BN63+BN68</f>
        <v>177420100</v>
      </c>
      <c r="BO73" s="115">
        <f t="shared" si="105"/>
        <v>0</v>
      </c>
      <c r="BP73" s="153">
        <f t="shared" si="25"/>
        <v>177420100</v>
      </c>
      <c r="BQ73" s="118"/>
      <c r="BR73" s="73"/>
      <c r="BS73" s="113" t="b">
        <f>+Q73+X73+AE73+AS73+AZ73+BG73+BN73=I73</f>
        <v>1</v>
      </c>
      <c r="BT73" s="113" t="b">
        <f>+R73+Y73+AF73+AT73+BA73+BH73+BO73=K73</f>
        <v>1</v>
      </c>
      <c r="BU73" s="113"/>
      <c r="BV73" s="54"/>
      <c r="BW73" s="54"/>
      <c r="BX73" s="54"/>
      <c r="BY73" s="54"/>
      <c r="BZ73" s="54"/>
      <c r="CA73" s="54"/>
      <c r="CB73" s="54"/>
      <c r="CC73" s="54"/>
      <c r="CD73" s="58"/>
      <c r="CE73" s="58"/>
    </row>
    <row r="74" spans="1:83" ht="16.5" customHeight="1">
      <c r="A74" s="146"/>
      <c r="B74" s="1529"/>
      <c r="C74" s="1529"/>
      <c r="D74" s="1536"/>
      <c r="E74" s="1529"/>
      <c r="F74" s="119" t="s">
        <v>391</v>
      </c>
      <c r="G74" s="120">
        <f t="shared" si="88"/>
        <v>1640835000</v>
      </c>
      <c r="H74" s="120">
        <f>+G74*0.1</f>
        <v>164083500</v>
      </c>
      <c r="I74" s="120">
        <f>SUM(G74:H74)</f>
        <v>1804918500</v>
      </c>
      <c r="J74" s="154"/>
      <c r="K74" s="120">
        <f t="shared" si="89"/>
        <v>0</v>
      </c>
      <c r="L74" s="120">
        <f t="shared" si="90"/>
        <v>1804918500</v>
      </c>
      <c r="M74" s="423"/>
      <c r="N74" s="155"/>
      <c r="O74" s="155"/>
      <c r="P74" s="121">
        <f t="shared" si="74"/>
        <v>0</v>
      </c>
      <c r="Q74" s="120">
        <f t="shared" si="75"/>
        <v>0</v>
      </c>
      <c r="R74" s="120">
        <f t="shared" si="75"/>
        <v>0</v>
      </c>
      <c r="S74" s="156">
        <f>+Q74-R74</f>
        <v>0</v>
      </c>
      <c r="T74" s="157"/>
      <c r="U74" s="155"/>
      <c r="V74" s="155"/>
      <c r="W74" s="121">
        <f t="shared" si="76"/>
        <v>0</v>
      </c>
      <c r="X74" s="120">
        <f t="shared" ref="X74:Y74" si="106">+X14+X19+X24+X29+X34+X39+X44+X49+X54+X59+X64+X69</f>
        <v>0</v>
      </c>
      <c r="Y74" s="120">
        <f t="shared" si="106"/>
        <v>0</v>
      </c>
      <c r="Z74" s="156">
        <f>+X74-Y74</f>
        <v>0</v>
      </c>
      <c r="AA74" s="157"/>
      <c r="AB74" s="155"/>
      <c r="AC74" s="155"/>
      <c r="AD74" s="121">
        <f t="shared" si="78"/>
        <v>0</v>
      </c>
      <c r="AE74" s="120">
        <f t="shared" ref="AE74:AF74" si="107">+AE14+AE19+AE24+AE29+AE34+AE39+AE44+AE49+AE54+AE59+AE64+AE69</f>
        <v>0</v>
      </c>
      <c r="AF74" s="120">
        <f t="shared" si="107"/>
        <v>0</v>
      </c>
      <c r="AG74" s="156">
        <f>+AE74-AF74</f>
        <v>0</v>
      </c>
      <c r="AH74" s="157"/>
      <c r="AI74" s="155"/>
      <c r="AJ74" s="155"/>
      <c r="AK74" s="121">
        <f t="shared" si="19"/>
        <v>0</v>
      </c>
      <c r="AL74" s="120">
        <f t="shared" ref="AL74:AM74" si="108">+AL14+AL19+AL24+AL29+AL34+AL39+AL44+AL49+AL54+AL59+AL64+AL69</f>
        <v>0</v>
      </c>
      <c r="AM74" s="120">
        <f t="shared" si="108"/>
        <v>0</v>
      </c>
      <c r="AN74" s="156">
        <f>+AL74-AM74</f>
        <v>0</v>
      </c>
      <c r="AO74" s="157"/>
      <c r="AP74" s="155"/>
      <c r="AQ74" s="155"/>
      <c r="AR74" s="121">
        <f t="shared" si="81"/>
        <v>0</v>
      </c>
      <c r="AS74" s="120">
        <f t="shared" ref="AS74:AT74" si="109">+AS14+AS19+AS24+AS29+AS34+AS39+AS44+AS49+AS54+AS59+AS64+AS69</f>
        <v>0</v>
      </c>
      <c r="AT74" s="120">
        <f t="shared" si="109"/>
        <v>0</v>
      </c>
      <c r="AU74" s="156">
        <f>+AS74-AT74</f>
        <v>0</v>
      </c>
      <c r="AV74" s="157"/>
      <c r="AW74" s="155"/>
      <c r="AX74" s="155"/>
      <c r="AY74" s="121">
        <f t="shared" si="83"/>
        <v>0</v>
      </c>
      <c r="AZ74" s="120">
        <f t="shared" ref="AZ74:BA74" si="110">+AZ14+AZ19+AZ24+AZ29+AZ34+AZ39+AZ44+AZ49+AZ54+AZ59+AZ64+AZ69</f>
        <v>0</v>
      </c>
      <c r="BA74" s="120">
        <f t="shared" si="110"/>
        <v>0</v>
      </c>
      <c r="BB74" s="156">
        <f>+AZ74-BA74</f>
        <v>0</v>
      </c>
      <c r="BC74" s="157"/>
      <c r="BD74" s="155"/>
      <c r="BE74" s="155"/>
      <c r="BF74" s="121">
        <f t="shared" si="85"/>
        <v>0</v>
      </c>
      <c r="BG74" s="120">
        <f t="shared" ref="BG74:BH74" si="111">+BG14+BG19+BG24+BG29+BG34+BG39+BG44+BG49+BG54+BG59+BG64+BG69</f>
        <v>0</v>
      </c>
      <c r="BH74" s="120">
        <f t="shared" si="111"/>
        <v>0</v>
      </c>
      <c r="BI74" s="156">
        <f>+BG74-BH74</f>
        <v>0</v>
      </c>
      <c r="BJ74" s="157"/>
      <c r="BK74" s="155"/>
      <c r="BL74" s="155"/>
      <c r="BM74" s="121">
        <f t="shared" si="24"/>
        <v>1</v>
      </c>
      <c r="BN74" s="120">
        <f t="shared" ref="BN74:BO74" si="112">+BN14+BN19+BN24+BN29+BN34+BN39+BN44+BN49+BN54+BN59+BN64+BN69</f>
        <v>1804918500</v>
      </c>
      <c r="BO74" s="120">
        <f t="shared" si="112"/>
        <v>0</v>
      </c>
      <c r="BP74" s="156">
        <f>+BN74-BO74</f>
        <v>1804918500</v>
      </c>
      <c r="BQ74" s="157"/>
      <c r="BR74" s="158"/>
      <c r="BS74" s="122" t="b">
        <f>+Q74+X74+AE74+AS74+AZ74+BG74+BN74=I74</f>
        <v>1</v>
      </c>
      <c r="BT74" s="123" t="b">
        <f>+R74+Y74+AF74+AT74+BA74+BH74+BO74=K74</f>
        <v>1</v>
      </c>
      <c r="BU74" s="122"/>
      <c r="BV74" s="54"/>
      <c r="BW74" s="54"/>
      <c r="BX74" s="54"/>
      <c r="BY74" s="54"/>
      <c r="BZ74" s="54"/>
      <c r="CA74" s="54"/>
      <c r="CB74" s="54"/>
      <c r="CC74" s="54"/>
      <c r="CD74" s="54"/>
      <c r="CE74" s="54"/>
    </row>
    <row r="75" spans="1:83" ht="16.5" customHeight="1">
      <c r="A75" s="62"/>
      <c r="B75" s="1529"/>
      <c r="C75" s="1529"/>
      <c r="D75" s="1536"/>
      <c r="E75" s="1529"/>
      <c r="F75" s="124" t="s">
        <v>392</v>
      </c>
      <c r="G75" s="125">
        <f>SUM(G71:G74)</f>
        <v>14544115000</v>
      </c>
      <c r="H75" s="125">
        <f>SUM(H71:H74)</f>
        <v>1454411500</v>
      </c>
      <c r="I75" s="125">
        <f>SUM(I71:I74)</f>
        <v>15998526500</v>
      </c>
      <c r="J75" s="124">
        <f t="shared" ref="J75" si="113">+IFERROR(K75/I75,"-")</f>
        <v>1.02206287560295E-2</v>
      </c>
      <c r="K75" s="125">
        <f>SUM(K71:K74)</f>
        <v>163515000</v>
      </c>
      <c r="L75" s="125">
        <f>SUM(L71:L74)</f>
        <v>15835011500</v>
      </c>
      <c r="M75" s="424"/>
      <c r="N75" s="126"/>
      <c r="O75" s="124"/>
      <c r="P75" s="127">
        <f t="shared" si="74"/>
        <v>8.3173331619008792E-2</v>
      </c>
      <c r="Q75" s="125">
        <f>SUM(Q71:Q74)</f>
        <v>1330650750</v>
      </c>
      <c r="R75" s="125">
        <f>SUM(R71:R74)</f>
        <v>163515000</v>
      </c>
      <c r="S75" s="128">
        <f t="shared" ref="S75" si="114">+Q75-R75</f>
        <v>1167135750</v>
      </c>
      <c r="T75" s="124"/>
      <c r="U75" s="126"/>
      <c r="V75" s="124"/>
      <c r="W75" s="127">
        <f t="shared" si="76"/>
        <v>2.7724443873002928E-2</v>
      </c>
      <c r="X75" s="125">
        <f>SUM(X71:X74)</f>
        <v>443550250</v>
      </c>
      <c r="Y75" s="125">
        <f>SUM(Y71:Y74)</f>
        <v>0</v>
      </c>
      <c r="Z75" s="128">
        <f t="shared" ref="Z75" si="115">+X75-Y75</f>
        <v>443550250</v>
      </c>
      <c r="AA75" s="124"/>
      <c r="AB75" s="126"/>
      <c r="AC75" s="124"/>
      <c r="AD75" s="127">
        <f t="shared" si="78"/>
        <v>0.44359110196804685</v>
      </c>
      <c r="AE75" s="125">
        <f>SUM(AE71:AE74)</f>
        <v>7096804000</v>
      </c>
      <c r="AF75" s="125">
        <f>SUM(AF71:AF74)</f>
        <v>0</v>
      </c>
      <c r="AG75" s="128">
        <f t="shared" ref="AG75" si="116">+AE75-AF75</f>
        <v>7096804000</v>
      </c>
      <c r="AH75" s="124"/>
      <c r="AI75" s="126"/>
      <c r="AJ75" s="124"/>
      <c r="AK75" s="127">
        <f t="shared" si="19"/>
        <v>0</v>
      </c>
      <c r="AL75" s="125">
        <f>SUM(AL71:AL74)</f>
        <v>0</v>
      </c>
      <c r="AM75" s="125">
        <f>SUM(AM71:AM74)</f>
        <v>0</v>
      </c>
      <c r="AN75" s="128">
        <f t="shared" ref="AN75" si="117">+AL75-AM75</f>
        <v>0</v>
      </c>
      <c r="AO75" s="124"/>
      <c r="AP75" s="126"/>
      <c r="AQ75" s="124"/>
      <c r="AR75" s="127">
        <f t="shared" si="81"/>
        <v>0</v>
      </c>
      <c r="AS75" s="125">
        <f>SUM(AS71:AS74)</f>
        <v>0</v>
      </c>
      <c r="AT75" s="125">
        <f>SUM(AT71:AT74)</f>
        <v>0</v>
      </c>
      <c r="AU75" s="128">
        <f t="shared" ref="AU75" si="118">+AS75-AT75</f>
        <v>0</v>
      </c>
      <c r="AV75" s="124"/>
      <c r="AW75" s="126"/>
      <c r="AX75" s="124"/>
      <c r="AY75" s="127">
        <f t="shared" si="83"/>
        <v>0</v>
      </c>
      <c r="AZ75" s="125">
        <f>SUM(AZ71:AZ74)</f>
        <v>0</v>
      </c>
      <c r="BA75" s="125">
        <f>SUM(BA71:BA74)</f>
        <v>0</v>
      </c>
      <c r="BB75" s="128">
        <f t="shared" ref="BB75" si="119">+AZ75-BA75</f>
        <v>0</v>
      </c>
      <c r="BC75" s="124"/>
      <c r="BD75" s="126"/>
      <c r="BE75" s="124"/>
      <c r="BF75" s="127">
        <f t="shared" si="85"/>
        <v>0.24397510608242579</v>
      </c>
      <c r="BG75" s="125">
        <f>SUM(BG71:BG74)</f>
        <v>3903242200</v>
      </c>
      <c r="BH75" s="125">
        <f>SUM(BH71:BH74)</f>
        <v>0</v>
      </c>
      <c r="BI75" s="128">
        <f t="shared" ref="BI75" si="120">+BG75-BH75</f>
        <v>3903242200</v>
      </c>
      <c r="BJ75" s="124"/>
      <c r="BK75" s="126"/>
      <c r="BL75" s="124"/>
      <c r="BM75" s="127">
        <f t="shared" si="24"/>
        <v>0.20153601645751562</v>
      </c>
      <c r="BN75" s="125">
        <f>SUM(BN71:BN74)</f>
        <v>3224279300</v>
      </c>
      <c r="BO75" s="125">
        <f>SUM(BO71:BO74)</f>
        <v>0</v>
      </c>
      <c r="BP75" s="128">
        <f t="shared" ref="BP75" si="121">+BN75-BO75</f>
        <v>3224279300</v>
      </c>
      <c r="BQ75" s="124"/>
      <c r="BR75" s="88"/>
      <c r="BS75" s="129"/>
      <c r="BT75" s="129"/>
      <c r="BU75" s="129"/>
      <c r="BV75" s="54"/>
      <c r="BW75" s="54"/>
      <c r="BX75" s="54"/>
      <c r="BY75" s="54"/>
      <c r="BZ75" s="54"/>
      <c r="CA75" s="54"/>
      <c r="CB75" s="54"/>
      <c r="CC75" s="54"/>
      <c r="CD75" s="58"/>
      <c r="CE75" s="58"/>
    </row>
    <row r="76" spans="1:83">
      <c r="R76" s="132"/>
      <c r="T76" s="132"/>
      <c r="Y76" s="132"/>
      <c r="AA76" s="132"/>
      <c r="AF76" s="132"/>
      <c r="AH76" s="132"/>
      <c r="AM76" s="132"/>
      <c r="AO76" s="132"/>
      <c r="AT76" s="132"/>
      <c r="AV76" s="132"/>
      <c r="BA76" s="132"/>
      <c r="BC76" s="132"/>
      <c r="BH76" s="132"/>
      <c r="BJ76" s="132"/>
      <c r="BO76" s="132"/>
      <c r="BQ76" s="132"/>
      <c r="BR76" s="133"/>
    </row>
    <row r="77" spans="1:83">
      <c r="G77" s="832"/>
      <c r="N77" s="143"/>
      <c r="O77" s="143"/>
      <c r="Q77" s="449"/>
      <c r="R77" s="132"/>
      <c r="T77" s="132"/>
      <c r="U77" s="143"/>
      <c r="V77" s="143"/>
      <c r="Y77" s="132"/>
      <c r="AA77" s="132"/>
      <c r="AB77" s="143"/>
      <c r="AC77" s="143"/>
      <c r="AF77" s="132"/>
      <c r="AH77" s="132"/>
      <c r="AI77" s="143"/>
      <c r="AJ77" s="143"/>
      <c r="AM77" s="132"/>
      <c r="AO77" s="132"/>
      <c r="AP77" s="143"/>
      <c r="AQ77" s="143"/>
      <c r="AT77" s="132"/>
      <c r="AV77" s="132"/>
      <c r="AW77" s="143"/>
      <c r="AX77" s="143"/>
      <c r="BA77" s="132"/>
      <c r="BC77" s="132"/>
      <c r="BD77" s="143"/>
      <c r="BE77" s="143"/>
      <c r="BH77" s="132"/>
      <c r="BJ77" s="132"/>
      <c r="BK77" s="143"/>
      <c r="BL77" s="143"/>
      <c r="BO77" s="132"/>
      <c r="BQ77" s="132"/>
      <c r="BR77" s="133"/>
    </row>
    <row r="78" spans="1:83">
      <c r="G78" s="832"/>
      <c r="I78" s="131">
        <f>+I73+I72</f>
        <v>4435502500</v>
      </c>
      <c r="R78" s="449"/>
      <c r="S78" s="449"/>
    </row>
    <row r="79" spans="1:83">
      <c r="D79" s="834">
        <f>+D66+D61+D56+D51+D46+D36</f>
        <v>2835</v>
      </c>
      <c r="G79" s="832"/>
      <c r="I79" s="833">
        <f>+I78/1470</f>
        <v>3017348.6394557822</v>
      </c>
      <c r="Q79" s="131">
        <f>+Q70+Q65+Q60+Q55+Q50+Q40</f>
        <v>467775000</v>
      </c>
      <c r="R79" s="132"/>
      <c r="S79" s="449"/>
      <c r="T79" s="132"/>
      <c r="Y79" s="132"/>
      <c r="AA79" s="132"/>
      <c r="AF79" s="132"/>
      <c r="AH79" s="132"/>
      <c r="AM79" s="132"/>
      <c r="AO79" s="132"/>
      <c r="AT79" s="132"/>
      <c r="AV79" s="132"/>
      <c r="BA79" s="132"/>
      <c r="BC79" s="132"/>
      <c r="BH79" s="132"/>
      <c r="BJ79" s="132"/>
      <c r="BO79" s="132"/>
      <c r="BQ79" s="132"/>
      <c r="BR79" s="133"/>
    </row>
    <row r="80" spans="1:83">
      <c r="G80" s="832"/>
      <c r="I80" s="53">
        <f>+I72/1470</f>
        <v>1810409.1836734693</v>
      </c>
      <c r="Q80" s="833">
        <f>+Q79/1470</f>
        <v>318214.28571428574</v>
      </c>
      <c r="R80" s="144"/>
      <c r="S80" s="449"/>
      <c r="T80" s="144"/>
      <c r="Y80" s="144"/>
      <c r="AA80" s="144"/>
      <c r="AF80" s="144"/>
      <c r="AH80" s="144"/>
      <c r="AM80" s="144"/>
      <c r="AO80" s="144"/>
      <c r="AT80" s="144"/>
      <c r="AV80" s="144"/>
      <c r="BA80" s="144"/>
      <c r="BC80" s="144"/>
      <c r="BH80" s="144"/>
      <c r="BJ80" s="144"/>
      <c r="BO80" s="144"/>
      <c r="BQ80" s="144"/>
      <c r="BR80" s="144"/>
    </row>
    <row r="81" spans="8:70">
      <c r="R81" s="132"/>
      <c r="T81" s="132"/>
      <c r="Y81" s="132"/>
      <c r="AA81" s="132"/>
      <c r="AF81" s="132"/>
      <c r="AH81" s="132"/>
      <c r="AM81" s="132"/>
      <c r="AO81" s="132"/>
      <c r="AT81" s="132"/>
      <c r="AV81" s="132"/>
      <c r="BA81" s="132"/>
      <c r="BC81" s="132"/>
      <c r="BH81" s="132"/>
      <c r="BJ81" s="132"/>
      <c r="BO81" s="132"/>
      <c r="BQ81" s="132"/>
      <c r="BR81" s="133"/>
    </row>
    <row r="82" spans="8:70">
      <c r="I82" s="53">
        <v>2336022.11</v>
      </c>
      <c r="Q82" s="53">
        <v>113132.24</v>
      </c>
      <c r="R82" s="132"/>
      <c r="T82" s="132"/>
      <c r="Y82" s="132"/>
      <c r="AA82" s="132"/>
      <c r="AF82" s="132"/>
      <c r="AH82" s="132"/>
      <c r="AM82" s="132"/>
      <c r="AO82" s="132"/>
      <c r="AT82" s="132"/>
      <c r="AV82" s="132"/>
      <c r="BA82" s="132"/>
      <c r="BC82" s="132"/>
      <c r="BH82" s="132"/>
      <c r="BJ82" s="132"/>
      <c r="BO82" s="132"/>
      <c r="BQ82" s="132"/>
      <c r="BR82" s="133"/>
    </row>
    <row r="83" spans="8:70">
      <c r="I83" s="131">
        <f>+I82*1470</f>
        <v>3433952501.6999998</v>
      </c>
      <c r="Q83" s="131">
        <f>+Q82*1470</f>
        <v>166304392.80000001</v>
      </c>
    </row>
    <row r="84" spans="8:70">
      <c r="I84" s="131">
        <f>+I78-I83</f>
        <v>1001549998.3000002</v>
      </c>
    </row>
    <row r="85" spans="8:70">
      <c r="Q85" s="53">
        <v>380846.94</v>
      </c>
    </row>
    <row r="86" spans="8:70">
      <c r="Q86" s="1054">
        <f>+Q85*1470</f>
        <v>559845001.79999995</v>
      </c>
    </row>
    <row r="87" spans="8:70">
      <c r="H87" s="131"/>
      <c r="I87" s="131"/>
      <c r="J87" s="131"/>
      <c r="K87" s="131"/>
      <c r="O87" s="53">
        <v>228</v>
      </c>
    </row>
    <row r="88" spans="8:70">
      <c r="H88" s="131"/>
      <c r="I88" s="131"/>
      <c r="J88" s="131"/>
      <c r="K88" s="131"/>
      <c r="O88" s="53">
        <v>241</v>
      </c>
    </row>
    <row r="89" spans="8:70">
      <c r="I89" s="131"/>
      <c r="J89" s="131"/>
      <c r="K89" s="131"/>
      <c r="O89" s="53">
        <f>+O87+O88</f>
        <v>469</v>
      </c>
      <c r="Q89" s="53">
        <f>+O89*550000000/1000*30%</f>
        <v>77385000</v>
      </c>
    </row>
    <row r="90" spans="8:70">
      <c r="H90" s="131"/>
      <c r="I90" s="131"/>
      <c r="J90" s="131"/>
      <c r="K90" s="131"/>
      <c r="Q90" s="131">
        <f>+Q89+Q79</f>
        <v>545160000</v>
      </c>
    </row>
    <row r="91" spans="8:70">
      <c r="H91" s="131"/>
      <c r="I91" s="131"/>
      <c r="J91" s="131"/>
      <c r="K91" s="131"/>
      <c r="Q91" s="53">
        <f>+Q90/1470</f>
        <v>370857.14285714284</v>
      </c>
      <c r="R91" s="132"/>
      <c r="T91" s="132"/>
      <c r="Y91" s="132"/>
      <c r="AA91" s="132"/>
      <c r="AF91" s="132"/>
      <c r="AH91" s="132"/>
      <c r="AM91" s="132"/>
      <c r="AO91" s="132"/>
      <c r="AT91" s="132"/>
      <c r="AV91" s="132"/>
      <c r="BA91" s="132"/>
      <c r="BC91" s="132"/>
      <c r="BH91" s="132"/>
      <c r="BJ91" s="132"/>
      <c r="BO91" s="132"/>
      <c r="BQ91" s="132"/>
      <c r="BR91" s="133"/>
    </row>
    <row r="92" spans="8:70">
      <c r="H92" s="131"/>
      <c r="I92" s="131"/>
      <c r="J92" s="131"/>
      <c r="K92" s="131"/>
    </row>
    <row r="93" spans="8:70">
      <c r="H93" s="131"/>
      <c r="I93" s="131"/>
      <c r="J93" s="131"/>
      <c r="K93" s="131"/>
    </row>
    <row r="94" spans="8:70">
      <c r="O94" s="53">
        <v>315</v>
      </c>
    </row>
    <row r="95" spans="8:70">
      <c r="O95" s="53">
        <v>156</v>
      </c>
    </row>
    <row r="96" spans="8:70">
      <c r="O96" s="53">
        <v>1000</v>
      </c>
    </row>
    <row r="97" spans="15:17">
      <c r="O97" s="53">
        <v>200</v>
      </c>
    </row>
    <row r="98" spans="15:17">
      <c r="O98" s="53">
        <v>173</v>
      </c>
      <c r="Q98" s="53">
        <v>550000000</v>
      </c>
    </row>
    <row r="99" spans="15:17">
      <c r="O99" s="53">
        <v>228</v>
      </c>
      <c r="Q99" s="53">
        <v>1000</v>
      </c>
    </row>
    <row r="100" spans="15:17">
      <c r="O100" s="53">
        <v>241</v>
      </c>
      <c r="Q100" s="1055">
        <v>0.3</v>
      </c>
    </row>
    <row r="101" spans="15:17">
      <c r="O101" s="53">
        <v>991</v>
      </c>
    </row>
    <row r="102" spans="15:17">
      <c r="O102" s="53">
        <f>SUM(O94:O101)</f>
        <v>3304</v>
      </c>
      <c r="Q102" s="131">
        <f>+O102*Q98/Q99*Q100</f>
        <v>545160000</v>
      </c>
    </row>
    <row r="103" spans="15:17">
      <c r="Q103" s="131">
        <f>+Q102/1470</f>
        <v>370857.14285714284</v>
      </c>
    </row>
    <row r="104" spans="15:17">
      <c r="Q104" s="131">
        <f>+Q86-Q102</f>
        <v>14685001.799999952</v>
      </c>
    </row>
  </sheetData>
  <mergeCells count="82">
    <mergeCell ref="M66:M69"/>
    <mergeCell ref="U9:AA9"/>
    <mergeCell ref="B9:B10"/>
    <mergeCell ref="C9:C10"/>
    <mergeCell ref="D9:D10"/>
    <mergeCell ref="E9:E10"/>
    <mergeCell ref="F9:F10"/>
    <mergeCell ref="G9:G10"/>
    <mergeCell ref="H9:H10"/>
    <mergeCell ref="I9:I10"/>
    <mergeCell ref="J9:L9"/>
    <mergeCell ref="M9:M10"/>
    <mergeCell ref="N9:T9"/>
    <mergeCell ref="M11:M14"/>
    <mergeCell ref="B16:B20"/>
    <mergeCell ref="C16:C20"/>
    <mergeCell ref="BS9:BU10"/>
    <mergeCell ref="AB9:AH9"/>
    <mergeCell ref="AI9:AO9"/>
    <mergeCell ref="AP9:AV9"/>
    <mergeCell ref="AW9:BC9"/>
    <mergeCell ref="BD9:BJ9"/>
    <mergeCell ref="BK9:BQ9"/>
    <mergeCell ref="D16:D20"/>
    <mergeCell ref="E16:E20"/>
    <mergeCell ref="M16:M19"/>
    <mergeCell ref="B11:B15"/>
    <mergeCell ref="C11:C15"/>
    <mergeCell ref="D11:D15"/>
    <mergeCell ref="E11:E15"/>
    <mergeCell ref="B26:B30"/>
    <mergeCell ref="C26:C30"/>
    <mergeCell ref="D26:D30"/>
    <mergeCell ref="E26:E30"/>
    <mergeCell ref="M26:M29"/>
    <mergeCell ref="B21:B25"/>
    <mergeCell ref="C21:C25"/>
    <mergeCell ref="D21:D25"/>
    <mergeCell ref="E21:E25"/>
    <mergeCell ref="M21:M24"/>
    <mergeCell ref="B36:B40"/>
    <mergeCell ref="C36:C40"/>
    <mergeCell ref="D36:D40"/>
    <mergeCell ref="E36:E40"/>
    <mergeCell ref="M36:M39"/>
    <mergeCell ref="B31:B35"/>
    <mergeCell ref="C31:C35"/>
    <mergeCell ref="D31:D35"/>
    <mergeCell ref="E31:E35"/>
    <mergeCell ref="M31:M34"/>
    <mergeCell ref="M41:M44"/>
    <mergeCell ref="B46:B50"/>
    <mergeCell ref="C46:C50"/>
    <mergeCell ref="D46:D50"/>
    <mergeCell ref="E46:E50"/>
    <mergeCell ref="M46:M49"/>
    <mergeCell ref="B71:C75"/>
    <mergeCell ref="D71:D75"/>
    <mergeCell ref="E71:E75"/>
    <mergeCell ref="B41:B45"/>
    <mergeCell ref="C41:C45"/>
    <mergeCell ref="D41:D45"/>
    <mergeCell ref="E41:E45"/>
    <mergeCell ref="B51:B55"/>
    <mergeCell ref="C51:C55"/>
    <mergeCell ref="D51:D55"/>
    <mergeCell ref="E51:E55"/>
    <mergeCell ref="B66:B70"/>
    <mergeCell ref="C66:C70"/>
    <mergeCell ref="D66:D70"/>
    <mergeCell ref="E66:E70"/>
    <mergeCell ref="M51:M54"/>
    <mergeCell ref="B61:B65"/>
    <mergeCell ref="C61:C65"/>
    <mergeCell ref="D61:D65"/>
    <mergeCell ref="E61:E65"/>
    <mergeCell ref="M61:M64"/>
    <mergeCell ref="B56:B60"/>
    <mergeCell ref="C56:C60"/>
    <mergeCell ref="D56:D60"/>
    <mergeCell ref="E56:E60"/>
    <mergeCell ref="M56:M59"/>
  </mergeCells>
  <phoneticPr fontId="9" type="noConversion"/>
  <printOptions horizontalCentered="1"/>
  <pageMargins left="0" right="0" top="0.39370078740157483" bottom="0" header="0" footer="0"/>
  <pageSetup paperSize="8" scale="24" orientation="landscape"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AD4B8-06AD-43C8-A4B6-A8088B6B2C81}">
  <sheetPr>
    <pageSetUpPr fitToPage="1"/>
  </sheetPr>
  <dimension ref="A1:CE76"/>
  <sheetViews>
    <sheetView showGridLines="0" zoomScaleNormal="100" zoomScaleSheetLayoutView="55" workbookViewId="0">
      <pane xSplit="12" ySplit="10" topLeftCell="M11" activePane="bottomRight" state="frozen"/>
      <selection pane="topRight" activeCell="I35" sqref="I35"/>
      <selection pane="bottomLeft" activeCell="I35" sqref="I35"/>
      <selection pane="bottomRight" activeCell="M16" sqref="M16"/>
    </sheetView>
  </sheetViews>
  <sheetFormatPr defaultColWidth="10.28515625" defaultRowHeight="12.75" outlineLevelCol="1"/>
  <cols>
    <col min="1" max="1" width="1.85546875" style="53" customWidth="1"/>
    <col min="2" max="2" width="5.5703125" style="53" customWidth="1"/>
    <col min="3" max="3" width="19.85546875" style="53" customWidth="1"/>
    <col min="4" max="4" width="10.140625" style="53" customWidth="1"/>
    <col min="5" max="5" width="14.140625" style="53" customWidth="1"/>
    <col min="6" max="6" width="18.85546875" style="53" customWidth="1"/>
    <col min="7" max="7" width="15.140625" style="53" bestFit="1" customWidth="1"/>
    <col min="8" max="8" width="13.28515625" style="53" customWidth="1"/>
    <col min="9" max="9" width="15.140625" style="53" bestFit="1" customWidth="1"/>
    <col min="10" max="10" width="7.5703125" style="53" customWidth="1"/>
    <col min="11" max="11" width="13.28515625" style="53" customWidth="1"/>
    <col min="12" max="12" width="15.140625" style="53" bestFit="1" customWidth="1"/>
    <col min="13" max="13" width="13.28515625" style="425" customWidth="1"/>
    <col min="14" max="15" width="11.5703125" style="53" customWidth="1"/>
    <col min="16" max="16" width="7.5703125" style="53" customWidth="1"/>
    <col min="17" max="19" width="13.28515625" style="53" customWidth="1"/>
    <col min="20" max="20" width="13.85546875" style="53" customWidth="1"/>
    <col min="21" max="22" width="11.5703125" style="53" customWidth="1"/>
    <col min="23" max="23" width="7.5703125" style="53" customWidth="1"/>
    <col min="24"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customWidth="1" outlineLevel="1"/>
    <col min="37" max="37" width="7.5703125" style="53" customWidth="1" outlineLevel="1"/>
    <col min="38" max="40" width="13.28515625" style="53" customWidth="1" outlineLevel="1"/>
    <col min="41" max="41" width="13.85546875" style="53" customWidth="1" outlineLevel="1"/>
    <col min="42" max="43" width="11.5703125" style="53" customWidth="1"/>
    <col min="44" max="44" width="7.5703125" style="53" customWidth="1"/>
    <col min="45" max="47" width="13.28515625" style="53" customWidth="1"/>
    <col min="48" max="48" width="13.85546875" style="53" customWidth="1"/>
    <col min="49" max="50" width="11.5703125" style="53" customWidth="1"/>
    <col min="51" max="51" width="7.5703125" style="53" customWidth="1"/>
    <col min="52" max="54" width="13.28515625" style="53" customWidth="1"/>
    <col min="55" max="55" width="13.85546875" style="53" customWidth="1"/>
    <col min="56" max="57" width="11.5703125" style="53" customWidth="1"/>
    <col min="58" max="58" width="7.5703125" style="53" customWidth="1"/>
    <col min="59" max="61" width="13.28515625" style="53" customWidth="1"/>
    <col min="62" max="62" width="13.85546875" style="53"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7" style="53" customWidth="1"/>
    <col min="74" max="16384" width="10.28515625" style="53"/>
  </cols>
  <sheetData>
    <row r="1" spans="1:83" s="52" customFormat="1">
      <c r="M1" s="415"/>
      <c r="BR1" s="53"/>
    </row>
    <row r="2" spans="1:83" s="52" customFormat="1">
      <c r="B2" s="52" t="s">
        <v>346</v>
      </c>
      <c r="D2" s="52" t="s">
        <v>915</v>
      </c>
      <c r="G2" s="401">
        <v>1100000000</v>
      </c>
      <c r="M2" s="415"/>
      <c r="BR2" s="53"/>
    </row>
    <row r="3" spans="1:83" s="52" customFormat="1">
      <c r="B3" s="52" t="s">
        <v>348</v>
      </c>
      <c r="D3" s="52" t="s">
        <v>916</v>
      </c>
      <c r="M3" s="415"/>
      <c r="BR3" s="53"/>
    </row>
    <row r="4" spans="1:83" s="52" customFormat="1">
      <c r="B4" s="52" t="s">
        <v>350</v>
      </c>
      <c r="D4" s="52" t="s">
        <v>917</v>
      </c>
      <c r="M4" s="415"/>
      <c r="BR4" s="53"/>
    </row>
    <row r="5" spans="1:83">
      <c r="B5" s="52" t="s">
        <v>352</v>
      </c>
      <c r="C5" s="52"/>
      <c r="D5" s="53" t="s">
        <v>918</v>
      </c>
      <c r="I5" s="456"/>
      <c r="K5" s="457"/>
      <c r="S5" s="53">
        <f>+S30/1470</f>
        <v>274416.32653061225</v>
      </c>
    </row>
    <row r="6" spans="1:83" s="52" customFormat="1">
      <c r="B6" s="52" t="s">
        <v>354</v>
      </c>
      <c r="D6" s="52" t="s">
        <v>355</v>
      </c>
      <c r="I6" s="199"/>
      <c r="M6" s="415"/>
      <c r="BR6" s="53"/>
    </row>
    <row r="7" spans="1:83" s="52" customFormat="1">
      <c r="B7" s="52" t="s">
        <v>356</v>
      </c>
      <c r="D7" s="52" t="s">
        <v>919</v>
      </c>
      <c r="M7" s="415"/>
      <c r="BR7" s="53"/>
    </row>
    <row r="8" spans="1:83">
      <c r="A8" s="54"/>
      <c r="B8" s="55"/>
      <c r="C8" s="5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885</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886</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28.15" customHeight="1">
      <c r="A10" s="54"/>
      <c r="B10" s="1318"/>
      <c r="C10" s="1318"/>
      <c r="D10" s="1320"/>
      <c r="E10" s="1315"/>
      <c r="F10" s="1320"/>
      <c r="G10" s="1320"/>
      <c r="H10" s="1320"/>
      <c r="I10" s="1320"/>
      <c r="J10" s="59" t="s">
        <v>377</v>
      </c>
      <c r="K10" s="59" t="s">
        <v>378</v>
      </c>
      <c r="L10" s="59" t="s">
        <v>379</v>
      </c>
      <c r="M10" s="1315"/>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107"/>
      <c r="B11" s="1322">
        <v>1</v>
      </c>
      <c r="C11" s="1532" t="s">
        <v>920</v>
      </c>
      <c r="D11" s="1340">
        <v>150</v>
      </c>
      <c r="E11" s="1324" t="s">
        <v>888</v>
      </c>
      <c r="F11" s="63" t="s">
        <v>388</v>
      </c>
      <c r="G11" s="64">
        <f>+지급비율!F20*$D$11/1000</f>
        <v>165000000</v>
      </c>
      <c r="H11" s="64">
        <f>+G11*10%</f>
        <v>16500000</v>
      </c>
      <c r="I11" s="64">
        <f>SUM(G11:H11)</f>
        <v>181500000</v>
      </c>
      <c r="J11" s="63">
        <f>+IFERROR(K11/I11,"-")</f>
        <v>0</v>
      </c>
      <c r="K11" s="134">
        <f>+IFERROR(R11+Y11+AF11+AM11+BA11+BH11,"-")</f>
        <v>0</v>
      </c>
      <c r="L11" s="134">
        <f>+I11-K11</f>
        <v>181500000</v>
      </c>
      <c r="M11" s="416"/>
      <c r="N11" s="67"/>
      <c r="O11" s="67"/>
      <c r="P11" s="135"/>
      <c r="Q11" s="134">
        <f>+$I11*지급비율!G20</f>
        <v>0</v>
      </c>
      <c r="R11" s="134"/>
      <c r="S11" s="134">
        <f t="shared" ref="S11:S25" si="0">+Q11-R11</f>
        <v>0</v>
      </c>
      <c r="T11" s="145"/>
      <c r="U11" s="67"/>
      <c r="V11" s="67"/>
      <c r="W11" s="135"/>
      <c r="X11" s="134">
        <f>+$I11*지급비율!N20</f>
        <v>0</v>
      </c>
      <c r="Y11" s="134"/>
      <c r="Z11" s="134">
        <f>+X11-Y11</f>
        <v>0</v>
      </c>
      <c r="AA11" s="145"/>
      <c r="AB11" s="67">
        <f>+EDATE(AI11,-1)</f>
        <v>46019</v>
      </c>
      <c r="AC11" s="67"/>
      <c r="AD11" s="135">
        <f>+IFERROR(AE11/$I11,"-")</f>
        <v>0.5</v>
      </c>
      <c r="AE11" s="134">
        <f>+$I11*지급비율!U20</f>
        <v>90750000</v>
      </c>
      <c r="AF11" s="134">
        <v>0</v>
      </c>
      <c r="AG11" s="134">
        <f>+AE11-AF11</f>
        <v>90750000</v>
      </c>
      <c r="AH11" s="145"/>
      <c r="AI11" s="67">
        <f>+EDATE(AP11,-1)</f>
        <v>46050</v>
      </c>
      <c r="AJ11" s="67"/>
      <c r="AK11" s="135">
        <f>+IFERROR(AL11/$I11,"-")</f>
        <v>0</v>
      </c>
      <c r="AL11" s="134">
        <f>+$I11*지급비율!AB20</f>
        <v>0</v>
      </c>
      <c r="AM11" s="134">
        <v>0</v>
      </c>
      <c r="AN11" s="134">
        <f>+AL11-AM11</f>
        <v>0</v>
      </c>
      <c r="AO11" s="145"/>
      <c r="AP11" s="67">
        <f>+EDATE(AW11,-1)</f>
        <v>46081</v>
      </c>
      <c r="AQ11" s="67"/>
      <c r="AR11" s="135">
        <f>+IFERROR(AS11/$I11,"-")</f>
        <v>0</v>
      </c>
      <c r="AS11" s="134">
        <f>+$I11*지급비율!AI20</f>
        <v>0</v>
      </c>
      <c r="AT11" s="134">
        <v>0</v>
      </c>
      <c r="AU11" s="134">
        <f>+AS11-AT11</f>
        <v>0</v>
      </c>
      <c r="AV11" s="145"/>
      <c r="AW11" s="67">
        <f>+EDATE(BD11,-1)</f>
        <v>46111</v>
      </c>
      <c r="AX11" s="67"/>
      <c r="AY11" s="135">
        <f>+IFERROR(AZ11/$I11,"-")</f>
        <v>0</v>
      </c>
      <c r="AZ11" s="134">
        <f>+$I11*지급비율!AP20</f>
        <v>0</v>
      </c>
      <c r="BA11" s="134">
        <v>0</v>
      </c>
      <c r="BB11" s="134">
        <f>+AZ11-BA11</f>
        <v>0</v>
      </c>
      <c r="BC11" s="145"/>
      <c r="BD11" s="67">
        <f>+EDATE(BK11,-1)</f>
        <v>46142</v>
      </c>
      <c r="BE11" s="67"/>
      <c r="BF11" s="135">
        <f>+IFERROR(BG11/$I11,"-")</f>
        <v>0.4</v>
      </c>
      <c r="BG11" s="134">
        <f>+$I11*지급비율!AW20</f>
        <v>72600000</v>
      </c>
      <c r="BH11" s="134">
        <v>0</v>
      </c>
      <c r="BI11" s="134">
        <f>+BG11-BH11</f>
        <v>72600000</v>
      </c>
      <c r="BJ11" s="145"/>
      <c r="BK11" s="67">
        <v>46173</v>
      </c>
      <c r="BL11" s="67"/>
      <c r="BM11" s="135">
        <f>+IFERROR(BN11/$I11,"-")</f>
        <v>0.1</v>
      </c>
      <c r="BN11" s="134">
        <f>+$I11*지급비율!BD20</f>
        <v>18150000</v>
      </c>
      <c r="BO11" s="134">
        <v>0</v>
      </c>
      <c r="BP11" s="134">
        <f>+BN11-BO11</f>
        <v>18150000</v>
      </c>
      <c r="BQ11" s="145"/>
      <c r="BR11" s="73"/>
      <c r="BS11" s="74" t="b">
        <f>+Q11+X11+AE11+AS11+AZ11+BG11+BN11=I11</f>
        <v>1</v>
      </c>
      <c r="BT11" s="74" t="b">
        <f>+R11+Y11+AF11+AT11+BA11+BH11+BO11=K11</f>
        <v>1</v>
      </c>
      <c r="BU11" s="74"/>
      <c r="BV11" s="58"/>
      <c r="BW11" s="58"/>
      <c r="BX11" s="58"/>
      <c r="BY11" s="58"/>
      <c r="BZ11" s="58"/>
      <c r="CA11" s="58"/>
      <c r="CB11" s="58"/>
      <c r="CC11" s="58"/>
      <c r="CD11" s="58"/>
      <c r="CE11" s="58"/>
    </row>
    <row r="12" spans="1:83" ht="16.5" customHeight="1">
      <c r="A12" s="107"/>
      <c r="B12" s="1322"/>
      <c r="C12" s="1532"/>
      <c r="D12" s="1341"/>
      <c r="E12" s="1324"/>
      <c r="F12" s="75" t="s">
        <v>389</v>
      </c>
      <c r="G12" s="76">
        <f>+지급비율!F21*$D$11/1000</f>
        <v>45000000</v>
      </c>
      <c r="H12" s="76">
        <f>+G12*10%</f>
        <v>4500000</v>
      </c>
      <c r="I12" s="76">
        <f>SUM(G12:H12)</f>
        <v>49500000</v>
      </c>
      <c r="J12" s="75">
        <f>+IFERROR(K12/I12,"-")</f>
        <v>0.2</v>
      </c>
      <c r="K12" s="80">
        <f>+IFERROR(R12+Y12+AF12+AM12+BA12+BH12,"-")</f>
        <v>9900000</v>
      </c>
      <c r="L12" s="80">
        <f>+I12-K12</f>
        <v>39600000</v>
      </c>
      <c r="M12" s="417"/>
      <c r="N12" s="78">
        <f>+O12</f>
        <v>45631</v>
      </c>
      <c r="O12" s="78">
        <v>45631</v>
      </c>
      <c r="P12" s="79">
        <f>+IFERROR(Q12/$I12,"-")</f>
        <v>0.2</v>
      </c>
      <c r="Q12" s="80">
        <f>+$I12*지급비율!G21</f>
        <v>9900000</v>
      </c>
      <c r="R12" s="80">
        <v>9900000</v>
      </c>
      <c r="S12" s="80">
        <f t="shared" si="0"/>
        <v>0</v>
      </c>
      <c r="T12" s="81"/>
      <c r="U12" s="152">
        <v>46022</v>
      </c>
      <c r="V12" s="152"/>
      <c r="W12" s="117">
        <f>+IFERROR(X12/$I12,"-")</f>
        <v>0.2</v>
      </c>
      <c r="X12" s="153">
        <f>+$I12*지급비율!N21</f>
        <v>9900000</v>
      </c>
      <c r="Y12" s="153">
        <v>0</v>
      </c>
      <c r="Z12" s="153">
        <f>+X12-Y12</f>
        <v>9900000</v>
      </c>
      <c r="AA12" s="118"/>
      <c r="AB12" s="78">
        <v>46053</v>
      </c>
      <c r="AC12" s="78"/>
      <c r="AD12" s="79">
        <f>+IFERROR(AE12/$I12,"-")</f>
        <v>0.5</v>
      </c>
      <c r="AE12" s="80">
        <f>+$I12*지급비율!U21</f>
        <v>24750000</v>
      </c>
      <c r="AF12" s="80">
        <v>0</v>
      </c>
      <c r="AG12" s="80">
        <f>+AE12-AF12</f>
        <v>24750000</v>
      </c>
      <c r="AH12" s="81"/>
      <c r="AI12" s="78"/>
      <c r="AJ12" s="78"/>
      <c r="AK12" s="79">
        <f>+IFERROR(AL12/$I12,"-")</f>
        <v>0</v>
      </c>
      <c r="AL12" s="80">
        <f>+$I12*지급비율!AB21</f>
        <v>0</v>
      </c>
      <c r="AM12" s="80">
        <v>0</v>
      </c>
      <c r="AN12" s="80">
        <f>+AL12-AM12</f>
        <v>0</v>
      </c>
      <c r="AO12" s="81"/>
      <c r="AP12" s="78"/>
      <c r="AQ12" s="78"/>
      <c r="AR12" s="79"/>
      <c r="AS12" s="80">
        <f>+$I12*지급비율!AI21</f>
        <v>0</v>
      </c>
      <c r="AT12" s="80"/>
      <c r="AU12" s="80"/>
      <c r="AV12" s="81"/>
      <c r="AW12" s="78"/>
      <c r="AX12" s="78"/>
      <c r="AY12" s="79"/>
      <c r="AZ12" s="80">
        <f>+$I12*지급비율!AP21</f>
        <v>0</v>
      </c>
      <c r="BA12" s="80"/>
      <c r="BB12" s="80">
        <f>+AZ12-BA12</f>
        <v>0</v>
      </c>
      <c r="BC12" s="81"/>
      <c r="BD12" s="78"/>
      <c r="BE12" s="78"/>
      <c r="BF12" s="79"/>
      <c r="BG12" s="80">
        <f>+$I12*지급비율!AW21</f>
        <v>0</v>
      </c>
      <c r="BH12" s="80"/>
      <c r="BI12" s="80">
        <f>+BG12-BH12</f>
        <v>0</v>
      </c>
      <c r="BJ12" s="81"/>
      <c r="BK12" s="78">
        <v>46173</v>
      </c>
      <c r="BL12" s="78"/>
      <c r="BM12" s="79">
        <f>+IFERROR(BN12/$I12,"-")</f>
        <v>0.1</v>
      </c>
      <c r="BN12" s="80">
        <f>+$I12*지급비율!BD21</f>
        <v>4950000</v>
      </c>
      <c r="BO12" s="80">
        <v>0</v>
      </c>
      <c r="BP12" s="80">
        <f>+BN12-BO12</f>
        <v>4950000</v>
      </c>
      <c r="BQ12" s="81"/>
      <c r="BR12" s="73"/>
      <c r="BS12" s="74" t="b">
        <f>+Q12+X12+AE12+AS12+AZ12+BG12+BN12=I12</f>
        <v>1</v>
      </c>
      <c r="BT12" s="74" t="b">
        <f>+R12+Y12+AF12+AT12+BA12+BH12+BO12=K12</f>
        <v>1</v>
      </c>
      <c r="BU12" s="74" t="b">
        <f>+BG12+BG13+AZ12+AZ13+AS12+AS13+AE12+AE13+X12+X13+Q12+Q13+BN12+BN13=([5]지급비율!$F$21+[5]지급비율!$F$22)*1.1*D11/1000</f>
        <v>1</v>
      </c>
      <c r="BV12" s="58"/>
      <c r="BW12" s="58"/>
      <c r="BX12" s="58"/>
      <c r="BY12" s="58"/>
      <c r="BZ12" s="58"/>
      <c r="CA12" s="58"/>
      <c r="CB12" s="58"/>
      <c r="CC12" s="58"/>
      <c r="CD12" s="58"/>
      <c r="CE12" s="58"/>
    </row>
    <row r="13" spans="1:83" ht="16.5" customHeight="1">
      <c r="A13" s="107"/>
      <c r="B13" s="1322"/>
      <c r="C13" s="1532"/>
      <c r="D13" s="1341"/>
      <c r="E13" s="1324"/>
      <c r="F13" s="75" t="s">
        <v>390</v>
      </c>
      <c r="G13" s="76">
        <f>+지급비율!F22*$D$11/1000</f>
        <v>30000000</v>
      </c>
      <c r="H13" s="76">
        <f>+G13*10%</f>
        <v>3000000</v>
      </c>
      <c r="I13" s="76">
        <f>SUM(G13:H13)</f>
        <v>33000000</v>
      </c>
      <c r="J13" s="75">
        <f>+IFERROR(K13/I13,"-")</f>
        <v>0.2</v>
      </c>
      <c r="K13" s="80">
        <f>+IFERROR(R13+Y13+AF13+AM13+BA13+BH13,"-")</f>
        <v>6600000</v>
      </c>
      <c r="L13" s="80">
        <f>+I13-K13</f>
        <v>26400000</v>
      </c>
      <c r="M13" s="417"/>
      <c r="N13" s="78">
        <f>+O13</f>
        <v>45631</v>
      </c>
      <c r="O13" s="72">
        <v>45631</v>
      </c>
      <c r="P13" s="79">
        <f>+IFERROR(Q13/$I13,"-")</f>
        <v>0.2</v>
      </c>
      <c r="Q13" s="80">
        <f>+$I13*지급비율!G22</f>
        <v>6600000</v>
      </c>
      <c r="R13" s="80">
        <v>6600000</v>
      </c>
      <c r="S13" s="80">
        <f t="shared" si="0"/>
        <v>0</v>
      </c>
      <c r="T13" s="81"/>
      <c r="U13" s="152">
        <v>46022</v>
      </c>
      <c r="V13" s="152"/>
      <c r="W13" s="117">
        <f>+IFERROR(X13/$I13,"-")</f>
        <v>0.2</v>
      </c>
      <c r="X13" s="153">
        <f>+$I13*지급비율!N22</f>
        <v>6600000</v>
      </c>
      <c r="Y13" s="153">
        <v>0</v>
      </c>
      <c r="Z13" s="153">
        <f>+X13-Y13</f>
        <v>6600000</v>
      </c>
      <c r="AA13" s="118"/>
      <c r="AB13" s="78">
        <v>46053</v>
      </c>
      <c r="AC13" s="72"/>
      <c r="AD13" s="79">
        <f>+IFERROR(AE13/$I13,"-")</f>
        <v>0.5</v>
      </c>
      <c r="AE13" s="80">
        <f>+$I13*지급비율!U22</f>
        <v>16500000</v>
      </c>
      <c r="AF13" s="80">
        <v>0</v>
      </c>
      <c r="AG13" s="80">
        <f>+AE13-AF13</f>
        <v>16500000</v>
      </c>
      <c r="AH13" s="81"/>
      <c r="AI13" s="72"/>
      <c r="AJ13" s="72"/>
      <c r="AK13" s="79">
        <f>+IFERROR(AL13/$I13,"-")</f>
        <v>0</v>
      </c>
      <c r="AL13" s="80">
        <f>+$I13*지급비율!AB22</f>
        <v>0</v>
      </c>
      <c r="AM13" s="80">
        <v>0</v>
      </c>
      <c r="AN13" s="80">
        <f>+AL13-AM13</f>
        <v>0</v>
      </c>
      <c r="AO13" s="81"/>
      <c r="AP13" s="72"/>
      <c r="AQ13" s="72"/>
      <c r="AR13" s="79"/>
      <c r="AS13" s="80">
        <f>+$I13*지급비율!AI22</f>
        <v>0</v>
      </c>
      <c r="AT13" s="80"/>
      <c r="AU13" s="80"/>
      <c r="AV13" s="81"/>
      <c r="AW13" s="72"/>
      <c r="AX13" s="72"/>
      <c r="AY13" s="79"/>
      <c r="AZ13" s="80">
        <f>+$I13*지급비율!AP22</f>
        <v>0</v>
      </c>
      <c r="BA13" s="80"/>
      <c r="BB13" s="80">
        <f>+AZ13-BA13</f>
        <v>0</v>
      </c>
      <c r="BC13" s="81"/>
      <c r="BD13" s="72"/>
      <c r="BE13" s="72"/>
      <c r="BF13" s="79"/>
      <c r="BG13" s="80">
        <f>+$I13*지급비율!AW22</f>
        <v>0</v>
      </c>
      <c r="BH13" s="80"/>
      <c r="BI13" s="80">
        <f>+BG13-BH13</f>
        <v>0</v>
      </c>
      <c r="BJ13" s="81"/>
      <c r="BK13" s="78">
        <v>46173</v>
      </c>
      <c r="BL13" s="72"/>
      <c r="BM13" s="79">
        <f>+IFERROR(BN13/$I13,"-")</f>
        <v>0.1</v>
      </c>
      <c r="BN13" s="80">
        <f>+$I13*지급비율!BD22</f>
        <v>3300000</v>
      </c>
      <c r="BO13" s="80">
        <v>0</v>
      </c>
      <c r="BP13" s="80">
        <f>+BN13-BO13</f>
        <v>3300000</v>
      </c>
      <c r="BQ13" s="81"/>
      <c r="BR13" s="73"/>
      <c r="BS13" s="74" t="b">
        <f>+Q13+X13+AE13+AS13+AZ13+BG13+BN13=I13</f>
        <v>1</v>
      </c>
      <c r="BT13" s="74" t="b">
        <f>+R13+Y13+AF13+AT13+BA13+BH13+BO13=K13</f>
        <v>1</v>
      </c>
      <c r="BU13" s="74"/>
      <c r="BV13" s="58"/>
      <c r="BW13" s="58"/>
      <c r="BX13" s="58"/>
      <c r="BY13" s="58"/>
      <c r="BZ13" s="58"/>
      <c r="CA13" s="58"/>
      <c r="CB13" s="58"/>
      <c r="CC13" s="58"/>
      <c r="CD13" s="58"/>
      <c r="CE13" s="58"/>
    </row>
    <row r="14" spans="1:83" ht="16.5" customHeight="1">
      <c r="A14" s="107"/>
      <c r="B14" s="1322"/>
      <c r="C14" s="1532"/>
      <c r="D14" s="1341"/>
      <c r="E14" s="1324"/>
      <c r="F14" s="101" t="s">
        <v>391</v>
      </c>
      <c r="G14" s="102">
        <f>+지급비율!F23*$D$11/1000</f>
        <v>30000000</v>
      </c>
      <c r="H14" s="102">
        <f>+G14*0.1</f>
        <v>3000000</v>
      </c>
      <c r="I14" s="102">
        <f>SUM(G14:H14)</f>
        <v>33000000</v>
      </c>
      <c r="J14" s="101">
        <f>+IFERROR(K14/I14,"-")</f>
        <v>0</v>
      </c>
      <c r="K14" s="106">
        <f>+IFERROR(R14+Y14+AF14+AM14+BA14+BH14,"-")</f>
        <v>0</v>
      </c>
      <c r="L14" s="106">
        <f>+I14-K14</f>
        <v>33000000</v>
      </c>
      <c r="M14" s="418"/>
      <c r="N14" s="85"/>
      <c r="O14" s="101"/>
      <c r="P14" s="105"/>
      <c r="Q14" s="106">
        <f>+$I14*지급비율!G23</f>
        <v>0</v>
      </c>
      <c r="R14" s="106"/>
      <c r="S14" s="106">
        <f t="shared" si="0"/>
        <v>0</v>
      </c>
      <c r="T14" s="101"/>
      <c r="U14" s="85"/>
      <c r="V14" s="101"/>
      <c r="W14" s="105"/>
      <c r="X14" s="106">
        <f>+$I14*지급비율!N23</f>
        <v>0</v>
      </c>
      <c r="Y14" s="106"/>
      <c r="Z14" s="106">
        <f>+X14-Y14</f>
        <v>0</v>
      </c>
      <c r="AA14" s="101"/>
      <c r="AB14" s="85"/>
      <c r="AC14" s="101"/>
      <c r="AD14" s="105"/>
      <c r="AE14" s="106">
        <f>+$I14*지급비율!U23</f>
        <v>0</v>
      </c>
      <c r="AF14" s="106"/>
      <c r="AG14" s="106">
        <f>+AE14-AF14</f>
        <v>0</v>
      </c>
      <c r="AH14" s="101"/>
      <c r="AI14" s="85"/>
      <c r="AJ14" s="101"/>
      <c r="AK14" s="105">
        <f>+IFERROR(AL14/$I14,"-")</f>
        <v>0</v>
      </c>
      <c r="AL14" s="106">
        <f>+$I14*지급비율!AB23</f>
        <v>0</v>
      </c>
      <c r="AM14" s="106">
        <v>0</v>
      </c>
      <c r="AN14" s="106">
        <f>+AL14-AM14</f>
        <v>0</v>
      </c>
      <c r="AO14" s="101"/>
      <c r="AP14" s="85"/>
      <c r="AQ14" s="101"/>
      <c r="AR14" s="105"/>
      <c r="AS14" s="106">
        <f>+$I14*지급비율!AI23</f>
        <v>0</v>
      </c>
      <c r="AT14" s="106"/>
      <c r="AU14" s="106"/>
      <c r="AV14" s="101"/>
      <c r="AW14" s="85"/>
      <c r="AX14" s="101"/>
      <c r="AY14" s="105"/>
      <c r="AZ14" s="106">
        <f>+$I14*지급비율!AP23</f>
        <v>0</v>
      </c>
      <c r="BA14" s="106"/>
      <c r="BB14" s="106">
        <f>+AZ14-BA14</f>
        <v>0</v>
      </c>
      <c r="BC14" s="101"/>
      <c r="BD14" s="85"/>
      <c r="BE14" s="101"/>
      <c r="BF14" s="105"/>
      <c r="BG14" s="106">
        <f>+$I14*지급비율!AW23</f>
        <v>0</v>
      </c>
      <c r="BH14" s="106"/>
      <c r="BI14" s="106">
        <f>+BG14-BH14</f>
        <v>0</v>
      </c>
      <c r="BJ14" s="101"/>
      <c r="BK14" s="78">
        <v>46173</v>
      </c>
      <c r="BL14" s="101"/>
      <c r="BM14" s="105">
        <f>+IFERROR(BN14/$I14,"-")</f>
        <v>1</v>
      </c>
      <c r="BN14" s="106">
        <f>+$I14*지급비율!BD23</f>
        <v>33000000</v>
      </c>
      <c r="BO14" s="106">
        <v>0</v>
      </c>
      <c r="BP14" s="106">
        <f>+BN14-BO14</f>
        <v>33000000</v>
      </c>
      <c r="BQ14" s="101"/>
      <c r="BR14" s="88"/>
      <c r="BS14" s="89" t="b">
        <f>+Q14+X14+AE14+AS14+AZ14+BG14+BN14=I14</f>
        <v>1</v>
      </c>
      <c r="BT14" s="90" t="b">
        <f>+R14+Y14+AF14+AT14+BA14+BH14+BO14=K14</f>
        <v>1</v>
      </c>
      <c r="BU14" s="89"/>
      <c r="BV14" s="58"/>
      <c r="BW14" s="58"/>
      <c r="BX14" s="58"/>
      <c r="BY14" s="58"/>
      <c r="BZ14" s="58"/>
      <c r="CA14" s="58"/>
      <c r="CB14" s="58"/>
      <c r="CC14" s="58"/>
      <c r="CD14" s="58"/>
      <c r="CE14" s="58"/>
    </row>
    <row r="15" spans="1:83" ht="16.5" customHeight="1">
      <c r="A15" s="62"/>
      <c r="B15" s="1322"/>
      <c r="C15" s="1532"/>
      <c r="D15" s="1342"/>
      <c r="E15" s="1324"/>
      <c r="F15" s="91" t="s">
        <v>392</v>
      </c>
      <c r="G15" s="92">
        <f>SUM(G11:G14)</f>
        <v>270000000</v>
      </c>
      <c r="H15" s="92">
        <f>SUM(H11:H14)</f>
        <v>27000000</v>
      </c>
      <c r="I15" s="92">
        <f>SUM(I11:I14)</f>
        <v>297000000</v>
      </c>
      <c r="J15" s="91">
        <f>+IFERROR(K15/I15,"-")</f>
        <v>5.5555555555555552E-2</v>
      </c>
      <c r="K15" s="92">
        <f>SUM(K11:K14)</f>
        <v>16500000</v>
      </c>
      <c r="L15" s="92">
        <f>SUM(L11:L14)</f>
        <v>280500000</v>
      </c>
      <c r="M15" s="419"/>
      <c r="N15" s="93"/>
      <c r="O15" s="91"/>
      <c r="P15" s="94">
        <f>+IFERROR(Q15/$I15,"-")</f>
        <v>5.5555555555555552E-2</v>
      </c>
      <c r="Q15" s="92">
        <f>SUM(Q11:Q14)</f>
        <v>16500000</v>
      </c>
      <c r="R15" s="170">
        <f>SUM(R11:R14)</f>
        <v>16500000</v>
      </c>
      <c r="S15" s="92">
        <f t="shared" si="0"/>
        <v>0</v>
      </c>
      <c r="T15" s="91"/>
      <c r="U15" s="93"/>
      <c r="V15" s="91"/>
      <c r="W15" s="94">
        <f>+IFERROR(X15/$I15,"-")</f>
        <v>5.5555555555555552E-2</v>
      </c>
      <c r="X15" s="92">
        <f>SUM(X11:X14)</f>
        <v>16500000</v>
      </c>
      <c r="Y15" s="92">
        <f>SUM(Y11:Y14)</f>
        <v>0</v>
      </c>
      <c r="Z15" s="92">
        <f>+X15-Y15</f>
        <v>16500000</v>
      </c>
      <c r="AA15" s="91"/>
      <c r="AB15" s="93"/>
      <c r="AC15" s="91"/>
      <c r="AD15" s="94">
        <f>+IFERROR(AE15/$I15,"-")</f>
        <v>0.44444444444444442</v>
      </c>
      <c r="AE15" s="92">
        <f>SUM(AE11:AE14)</f>
        <v>132000000</v>
      </c>
      <c r="AF15" s="92">
        <f>SUM(AF11:AF14)</f>
        <v>0</v>
      </c>
      <c r="AG15" s="92">
        <f>+AE15-AF15</f>
        <v>132000000</v>
      </c>
      <c r="AH15" s="91"/>
      <c r="AI15" s="93"/>
      <c r="AJ15" s="91"/>
      <c r="AK15" s="94">
        <f>+IFERROR(AL15/$I15,"-")</f>
        <v>0</v>
      </c>
      <c r="AL15" s="92">
        <f>SUM(AL11:AL14)</f>
        <v>0</v>
      </c>
      <c r="AM15" s="92">
        <f>SUM(AM11:AM14)</f>
        <v>0</v>
      </c>
      <c r="AN15" s="92">
        <f>+AL15-AM15</f>
        <v>0</v>
      </c>
      <c r="AO15" s="91"/>
      <c r="AP15" s="93"/>
      <c r="AQ15" s="91"/>
      <c r="AR15" s="94">
        <f>+IFERROR(AS15/$I15,"-")</f>
        <v>0</v>
      </c>
      <c r="AS15" s="92">
        <f>SUM(AS11:AS14)</f>
        <v>0</v>
      </c>
      <c r="AT15" s="92">
        <f>SUM(AT11:AT14)</f>
        <v>0</v>
      </c>
      <c r="AU15" s="92">
        <f>+AS15-AT15</f>
        <v>0</v>
      </c>
      <c r="AV15" s="91"/>
      <c r="AW15" s="93"/>
      <c r="AX15" s="91"/>
      <c r="AY15" s="94">
        <f>+IFERROR(AZ15/$I15,"-")</f>
        <v>0</v>
      </c>
      <c r="AZ15" s="92">
        <f>SUM(AZ11:AZ14)</f>
        <v>0</v>
      </c>
      <c r="BA15" s="92">
        <f>SUM(BA11:BA14)</f>
        <v>0</v>
      </c>
      <c r="BB15" s="92">
        <f>+AZ15-BA15</f>
        <v>0</v>
      </c>
      <c r="BC15" s="91"/>
      <c r="BD15" s="93"/>
      <c r="BE15" s="91"/>
      <c r="BF15" s="94">
        <f>+IFERROR(BG15/$I15,"-")</f>
        <v>0.24444444444444444</v>
      </c>
      <c r="BG15" s="92">
        <f>SUM(BG11:BG14)</f>
        <v>72600000</v>
      </c>
      <c r="BH15" s="92">
        <f>SUM(BH11:BH14)</f>
        <v>0</v>
      </c>
      <c r="BI15" s="92">
        <f>+BG15-BH15</f>
        <v>72600000</v>
      </c>
      <c r="BJ15" s="91"/>
      <c r="BK15" s="93"/>
      <c r="BL15" s="91"/>
      <c r="BM15" s="94">
        <f>+IFERROR(BN15/$I15,"-")</f>
        <v>0.2</v>
      </c>
      <c r="BN15" s="92">
        <f>SUM(BN11:BN14)</f>
        <v>59400000</v>
      </c>
      <c r="BO15" s="92">
        <f>SUM(BO11:BO14)</f>
        <v>0</v>
      </c>
      <c r="BP15" s="92">
        <f>+BN15-BO15</f>
        <v>59400000</v>
      </c>
      <c r="BQ15" s="91"/>
      <c r="BR15" s="88"/>
      <c r="BS15" s="96"/>
      <c r="BT15" s="96"/>
      <c r="BU15" s="139"/>
      <c r="BV15" s="54"/>
      <c r="BW15" s="54"/>
      <c r="BX15" s="54"/>
      <c r="BY15" s="54"/>
      <c r="BZ15" s="54"/>
      <c r="CA15" s="54"/>
      <c r="CB15" s="54"/>
      <c r="CC15" s="54"/>
      <c r="CD15" s="58"/>
      <c r="CE15" s="58"/>
    </row>
    <row r="16" spans="1:83" ht="16.5" customHeight="1">
      <c r="A16" s="107"/>
      <c r="B16" s="1322">
        <f>+B11+1</f>
        <v>2</v>
      </c>
      <c r="C16" s="1532" t="s">
        <v>921</v>
      </c>
      <c r="D16" s="1340">
        <v>144.15</v>
      </c>
      <c r="E16" s="1324" t="s">
        <v>888</v>
      </c>
      <c r="F16" s="63" t="s">
        <v>388</v>
      </c>
      <c r="G16" s="64">
        <f>+지급비율!F20*$D$16/1000</f>
        <v>158565000</v>
      </c>
      <c r="H16" s="64">
        <f>+G16*10%</f>
        <v>15856500</v>
      </c>
      <c r="I16" s="64">
        <f>SUM(G16:H16)</f>
        <v>174421500</v>
      </c>
      <c r="J16" s="63">
        <f>+IFERROR(K16/'BT 6HO'!I16,"-")</f>
        <v>0</v>
      </c>
      <c r="K16" s="134">
        <f>+IFERROR(R16+Y16+AF16+AM16+BA16+BH16,"-")</f>
        <v>0</v>
      </c>
      <c r="L16" s="134">
        <f>+'BT 6HO'!I16-K16</f>
        <v>174421500</v>
      </c>
      <c r="M16" s="416"/>
      <c r="N16" s="67"/>
      <c r="O16" s="67"/>
      <c r="P16" s="135"/>
      <c r="Q16" s="134">
        <f>+$I16*지급비율!G20</f>
        <v>0</v>
      </c>
      <c r="R16" s="134"/>
      <c r="S16" s="134">
        <f t="shared" si="0"/>
        <v>0</v>
      </c>
      <c r="T16" s="145"/>
      <c r="U16" s="67"/>
      <c r="V16" s="67"/>
      <c r="W16" s="135"/>
      <c r="X16" s="134"/>
      <c r="Y16" s="134"/>
      <c r="Z16" s="134"/>
      <c r="AA16" s="145"/>
      <c r="AB16" s="67"/>
      <c r="AC16" s="67"/>
      <c r="AD16" s="135"/>
      <c r="AE16" s="134"/>
      <c r="AF16" s="134"/>
      <c r="AG16" s="134"/>
      <c r="AH16" s="145"/>
      <c r="AI16" s="67"/>
      <c r="AJ16" s="67"/>
      <c r="AK16" s="135"/>
      <c r="AL16" s="134"/>
      <c r="AM16" s="134"/>
      <c r="AN16" s="134"/>
      <c r="AO16" s="145"/>
      <c r="AP16" s="67"/>
      <c r="AQ16" s="67"/>
      <c r="AR16" s="135"/>
      <c r="AS16" s="134"/>
      <c r="AT16" s="134"/>
      <c r="AU16" s="134"/>
      <c r="AV16" s="145"/>
      <c r="AW16" s="67"/>
      <c r="AX16" s="67"/>
      <c r="AY16" s="135"/>
      <c r="AZ16" s="134"/>
      <c r="BA16" s="134"/>
      <c r="BB16" s="134"/>
      <c r="BC16" s="145"/>
      <c r="BD16" s="67"/>
      <c r="BE16" s="67"/>
      <c r="BF16" s="135"/>
      <c r="BG16" s="134"/>
      <c r="BH16" s="134"/>
      <c r="BI16" s="134"/>
      <c r="BJ16" s="145"/>
      <c r="BK16" s="67"/>
      <c r="BL16" s="67"/>
      <c r="BM16" s="135"/>
      <c r="BN16" s="134"/>
      <c r="BO16" s="134"/>
      <c r="BP16" s="134"/>
      <c r="BQ16" s="145"/>
      <c r="BR16" s="73"/>
      <c r="BS16" s="74" t="b">
        <f>+Q16+X16+AE16+AS16+AZ16+BG16+BN16=I16</f>
        <v>0</v>
      </c>
      <c r="BT16" s="74" t="b">
        <f>+R16+Y16+AF16+AT16+BA16+BH16+BO16=K16</f>
        <v>1</v>
      </c>
      <c r="BU16" s="74"/>
      <c r="BV16" s="58"/>
      <c r="BW16" s="58"/>
      <c r="BX16" s="58"/>
      <c r="BY16" s="58"/>
      <c r="BZ16" s="58"/>
      <c r="CA16" s="58"/>
      <c r="CB16" s="58"/>
      <c r="CC16" s="58"/>
      <c r="CD16" s="58"/>
      <c r="CE16" s="58"/>
    </row>
    <row r="17" spans="1:83" ht="16.5" customHeight="1">
      <c r="A17" s="107"/>
      <c r="B17" s="1322"/>
      <c r="C17" s="1532"/>
      <c r="D17" s="1341"/>
      <c r="E17" s="1324"/>
      <c r="F17" s="75" t="s">
        <v>389</v>
      </c>
      <c r="G17" s="76">
        <f>+지급비율!F21*$D$16/1000</f>
        <v>43245000</v>
      </c>
      <c r="H17" s="76">
        <f>+G17*10%</f>
        <v>4324500</v>
      </c>
      <c r="I17" s="76">
        <f>SUM(G17:H17)</f>
        <v>47569500</v>
      </c>
      <c r="J17" s="75">
        <f>+IFERROR(K17/'BT 6HO'!I17,"-")</f>
        <v>0.2</v>
      </c>
      <c r="K17" s="80">
        <f>+IFERROR(R17+Y17+AF17+AM17+BA17+BH17,"-")</f>
        <v>9513900</v>
      </c>
      <c r="L17" s="80">
        <f>+'BT 6HO'!I17-K17</f>
        <v>38055600</v>
      </c>
      <c r="M17" s="417"/>
      <c r="N17" s="78">
        <f>+O17</f>
        <v>45631</v>
      </c>
      <c r="O17" s="78">
        <v>45631</v>
      </c>
      <c r="P17" s="79">
        <f>+IFERROR(Q17/'BT 6HO'!$I17,"-")</f>
        <v>0.2</v>
      </c>
      <c r="Q17" s="80">
        <f>+$I17*지급비율!G21</f>
        <v>9513900</v>
      </c>
      <c r="R17" s="80">
        <v>9513900</v>
      </c>
      <c r="S17" s="80">
        <f t="shared" si="0"/>
        <v>0</v>
      </c>
      <c r="T17" s="81"/>
      <c r="U17" s="78"/>
      <c r="V17" s="78"/>
      <c r="W17" s="79"/>
      <c r="X17" s="80"/>
      <c r="Y17" s="80"/>
      <c r="Z17" s="80"/>
      <c r="AA17" s="81"/>
      <c r="AB17" s="78"/>
      <c r="AC17" s="78"/>
      <c r="AD17" s="79"/>
      <c r="AE17" s="80"/>
      <c r="AF17" s="80"/>
      <c r="AG17" s="80"/>
      <c r="AH17" s="81"/>
      <c r="AI17" s="78"/>
      <c r="AJ17" s="78"/>
      <c r="AK17" s="79"/>
      <c r="AL17" s="80"/>
      <c r="AM17" s="80"/>
      <c r="AN17" s="80"/>
      <c r="AO17" s="81"/>
      <c r="AP17" s="78"/>
      <c r="AQ17" s="78"/>
      <c r="AR17" s="79"/>
      <c r="AS17" s="80"/>
      <c r="AT17" s="80"/>
      <c r="AU17" s="80"/>
      <c r="AV17" s="81"/>
      <c r="AW17" s="78"/>
      <c r="AX17" s="78"/>
      <c r="AY17" s="79"/>
      <c r="AZ17" s="80"/>
      <c r="BA17" s="80"/>
      <c r="BB17" s="80"/>
      <c r="BC17" s="81"/>
      <c r="BD17" s="78"/>
      <c r="BE17" s="78"/>
      <c r="BF17" s="79"/>
      <c r="BG17" s="80"/>
      <c r="BH17" s="80"/>
      <c r="BI17" s="80"/>
      <c r="BJ17" s="81"/>
      <c r="BK17" s="78"/>
      <c r="BL17" s="78"/>
      <c r="BM17" s="79"/>
      <c r="BN17" s="80"/>
      <c r="BO17" s="80"/>
      <c r="BP17" s="80"/>
      <c r="BQ17" s="81"/>
      <c r="BR17" s="73"/>
      <c r="BS17" s="74" t="b">
        <f>+Q17+X17+AE17+AS17+AZ17+BG17+BN17=I17</f>
        <v>0</v>
      </c>
      <c r="BT17" s="74" t="b">
        <f>+R17+Y17+AF17+AT17+BA17+BH17+BO17=K17</f>
        <v>1</v>
      </c>
      <c r="BU17" s="74" t="b">
        <f>+BG17+BG18+AZ17+AZ18+AS17+AS18+AE17+AE18+X17+X18+Q17+Q18+BN17+BN18=([5]지급비율!$F$21+[5]지급비율!$F$22)*1.1*D16/1000</f>
        <v>0</v>
      </c>
      <c r="BV17" s="58"/>
      <c r="BW17" s="58"/>
      <c r="BX17" s="58"/>
      <c r="BY17" s="58"/>
      <c r="BZ17" s="58"/>
      <c r="CA17" s="58"/>
      <c r="CB17" s="58"/>
      <c r="CC17" s="58"/>
      <c r="CD17" s="58"/>
      <c r="CE17" s="58"/>
    </row>
    <row r="18" spans="1:83" ht="16.5" customHeight="1">
      <c r="A18" s="107"/>
      <c r="B18" s="1322"/>
      <c r="C18" s="1532"/>
      <c r="D18" s="1341"/>
      <c r="E18" s="1324"/>
      <c r="F18" s="75" t="s">
        <v>390</v>
      </c>
      <c r="G18" s="76">
        <f>+지급비율!F22*$D$16/1000</f>
        <v>28830000</v>
      </c>
      <c r="H18" s="76">
        <f>+G18*10%</f>
        <v>2883000</v>
      </c>
      <c r="I18" s="76">
        <f>SUM(G18:H18)</f>
        <v>31713000</v>
      </c>
      <c r="J18" s="75">
        <f>+IFERROR(K18/'BT 6HO'!I18,"-")</f>
        <v>0.2</v>
      </c>
      <c r="K18" s="80">
        <f>+IFERROR(R18+Y18+AF18+AM18+BA18+BH18,"-")</f>
        <v>6342600</v>
      </c>
      <c r="L18" s="80">
        <f>+'BT 6HO'!I18-K18</f>
        <v>25370400</v>
      </c>
      <c r="M18" s="417"/>
      <c r="N18" s="78">
        <f>+O18</f>
        <v>45631</v>
      </c>
      <c r="O18" s="72">
        <v>45631</v>
      </c>
      <c r="P18" s="79">
        <f>+IFERROR(Q18/'BT 6HO'!$I18,"-")</f>
        <v>0.2</v>
      </c>
      <c r="Q18" s="80">
        <f>+$I18*지급비율!G22</f>
        <v>6342600</v>
      </c>
      <c r="R18" s="80">
        <v>6342600</v>
      </c>
      <c r="S18" s="80">
        <f t="shared" si="0"/>
        <v>0</v>
      </c>
      <c r="T18" s="81"/>
      <c r="U18" s="78"/>
      <c r="V18" s="78"/>
      <c r="W18" s="79"/>
      <c r="X18" s="80"/>
      <c r="Y18" s="80"/>
      <c r="Z18" s="80"/>
      <c r="AA18" s="81"/>
      <c r="AB18" s="78"/>
      <c r="AC18" s="72"/>
      <c r="AD18" s="79"/>
      <c r="AE18" s="80"/>
      <c r="AF18" s="80"/>
      <c r="AG18" s="80"/>
      <c r="AH18" s="81"/>
      <c r="AI18" s="72"/>
      <c r="AJ18" s="72"/>
      <c r="AK18" s="79"/>
      <c r="AL18" s="80"/>
      <c r="AM18" s="80"/>
      <c r="AN18" s="80"/>
      <c r="AO18" s="81"/>
      <c r="AP18" s="72"/>
      <c r="AQ18" s="72"/>
      <c r="AR18" s="79"/>
      <c r="AS18" s="80"/>
      <c r="AT18" s="80"/>
      <c r="AU18" s="80"/>
      <c r="AV18" s="81"/>
      <c r="AW18" s="72"/>
      <c r="AX18" s="72"/>
      <c r="AY18" s="79"/>
      <c r="AZ18" s="80"/>
      <c r="BA18" s="80"/>
      <c r="BB18" s="80"/>
      <c r="BC18" s="81"/>
      <c r="BD18" s="72"/>
      <c r="BE18" s="72"/>
      <c r="BF18" s="79"/>
      <c r="BG18" s="80"/>
      <c r="BH18" s="80"/>
      <c r="BI18" s="80"/>
      <c r="BJ18" s="81"/>
      <c r="BK18" s="78"/>
      <c r="BL18" s="72"/>
      <c r="BM18" s="79"/>
      <c r="BN18" s="80"/>
      <c r="BO18" s="80"/>
      <c r="BP18" s="80"/>
      <c r="BQ18" s="81"/>
      <c r="BR18" s="73"/>
      <c r="BS18" s="74" t="b">
        <f>+Q18+X18+AE18+AS18+AZ18+BG18+BN18=I18</f>
        <v>0</v>
      </c>
      <c r="BT18" s="74" t="b">
        <f>+R18+Y18+AF18+AT18+BA18+BH18+BO18=K18</f>
        <v>1</v>
      </c>
      <c r="BU18" s="74"/>
      <c r="BV18" s="58"/>
      <c r="BW18" s="58"/>
      <c r="BX18" s="58"/>
      <c r="BY18" s="58"/>
      <c r="BZ18" s="58"/>
      <c r="CA18" s="58"/>
      <c r="CB18" s="58"/>
      <c r="CC18" s="58"/>
      <c r="CD18" s="58"/>
      <c r="CE18" s="58"/>
    </row>
    <row r="19" spans="1:83" ht="16.5" customHeight="1">
      <c r="A19" s="107"/>
      <c r="B19" s="1322"/>
      <c r="C19" s="1532"/>
      <c r="D19" s="1341"/>
      <c r="E19" s="1324"/>
      <c r="F19" s="101" t="s">
        <v>391</v>
      </c>
      <c r="G19" s="102">
        <f>+지급비율!F23*$D$16/1000</f>
        <v>28830000</v>
      </c>
      <c r="H19" s="102">
        <f>+G19*0.1</f>
        <v>2883000</v>
      </c>
      <c r="I19" s="102">
        <f>SUM(G19:H19)</f>
        <v>31713000</v>
      </c>
      <c r="J19" s="101">
        <f>+IFERROR(K19/'BT 6HO'!I19,"-")</f>
        <v>0</v>
      </c>
      <c r="K19" s="106">
        <f>+IFERROR(R19+Y19+AF19+AM19+BA19+BH19,"-")</f>
        <v>0</v>
      </c>
      <c r="L19" s="106">
        <f>+'BT 6HO'!I19-K19</f>
        <v>31713000</v>
      </c>
      <c r="M19" s="418"/>
      <c r="N19" s="85"/>
      <c r="O19" s="101"/>
      <c r="P19" s="105"/>
      <c r="Q19" s="106">
        <f>+$I19*지급비율!G23</f>
        <v>0</v>
      </c>
      <c r="R19" s="106"/>
      <c r="S19" s="106">
        <f t="shared" si="0"/>
        <v>0</v>
      </c>
      <c r="T19" s="101"/>
      <c r="U19" s="85"/>
      <c r="V19" s="101"/>
      <c r="W19" s="105"/>
      <c r="X19" s="106"/>
      <c r="Y19" s="106"/>
      <c r="Z19" s="106"/>
      <c r="AA19" s="101"/>
      <c r="AB19" s="85"/>
      <c r="AC19" s="101"/>
      <c r="AD19" s="105"/>
      <c r="AE19" s="106"/>
      <c r="AF19" s="106"/>
      <c r="AG19" s="106"/>
      <c r="AH19" s="101"/>
      <c r="AI19" s="85"/>
      <c r="AJ19" s="101"/>
      <c r="AK19" s="105"/>
      <c r="AL19" s="106"/>
      <c r="AM19" s="106"/>
      <c r="AN19" s="106"/>
      <c r="AO19" s="101"/>
      <c r="AP19" s="85"/>
      <c r="AQ19" s="101"/>
      <c r="AR19" s="105"/>
      <c r="AS19" s="106"/>
      <c r="AT19" s="106"/>
      <c r="AU19" s="106"/>
      <c r="AV19" s="101"/>
      <c r="AW19" s="85"/>
      <c r="AX19" s="101"/>
      <c r="AY19" s="105"/>
      <c r="AZ19" s="106"/>
      <c r="BA19" s="106"/>
      <c r="BB19" s="106"/>
      <c r="BC19" s="101"/>
      <c r="BD19" s="85"/>
      <c r="BE19" s="101"/>
      <c r="BF19" s="105"/>
      <c r="BG19" s="106"/>
      <c r="BH19" s="106"/>
      <c r="BI19" s="106"/>
      <c r="BJ19" s="101"/>
      <c r="BK19" s="78"/>
      <c r="BL19" s="101"/>
      <c r="BM19" s="105"/>
      <c r="BN19" s="106"/>
      <c r="BO19" s="106"/>
      <c r="BP19" s="106"/>
      <c r="BQ19" s="101"/>
      <c r="BR19" s="88"/>
      <c r="BS19" s="89" t="b">
        <f>+Q19+X19+AE19+AS19+AZ19+BG19+BN19=I19</f>
        <v>0</v>
      </c>
      <c r="BT19" s="90" t="b">
        <f>+R19+Y19+AF19+AT19+BA19+BH19+BO19=K19</f>
        <v>1</v>
      </c>
      <c r="BU19" s="89"/>
      <c r="BV19" s="58"/>
      <c r="BW19" s="58"/>
      <c r="BX19" s="58"/>
      <c r="BY19" s="58"/>
      <c r="BZ19" s="58"/>
      <c r="CA19" s="58"/>
      <c r="CB19" s="58"/>
      <c r="CC19" s="58"/>
      <c r="CD19" s="58"/>
      <c r="CE19" s="58"/>
    </row>
    <row r="20" spans="1:83" ht="16.5" customHeight="1">
      <c r="A20" s="62"/>
      <c r="B20" s="1322"/>
      <c r="C20" s="1532"/>
      <c r="D20" s="1342"/>
      <c r="E20" s="1324"/>
      <c r="F20" s="91" t="s">
        <v>392</v>
      </c>
      <c r="G20" s="92">
        <f>SUM(G16:G19)</f>
        <v>259470000</v>
      </c>
      <c r="H20" s="92">
        <f>SUM(H16:H19)</f>
        <v>25947000</v>
      </c>
      <c r="I20" s="92">
        <f>SUM(I16:I19)</f>
        <v>285417000</v>
      </c>
      <c r="J20" s="91">
        <f>+IFERROR(K20/'BT 6HO'!I20,"-")</f>
        <v>5.5555555555555552E-2</v>
      </c>
      <c r="K20" s="92">
        <f>SUM(K16:K19)</f>
        <v>15856500</v>
      </c>
      <c r="L20" s="92">
        <f>SUM(L16:L19)</f>
        <v>269560500</v>
      </c>
      <c r="M20" s="419"/>
      <c r="N20" s="93"/>
      <c r="O20" s="91"/>
      <c r="P20" s="94">
        <f>+IFERROR(Q20/'BT 6HO'!$I20,"-")</f>
        <v>5.5555555555555552E-2</v>
      </c>
      <c r="Q20" s="92">
        <f>SUM(Q16:Q19)</f>
        <v>15856500</v>
      </c>
      <c r="R20" s="170">
        <f>SUM(R16:R19)</f>
        <v>15856500</v>
      </c>
      <c r="S20" s="92">
        <f t="shared" si="0"/>
        <v>0</v>
      </c>
      <c r="T20" s="91"/>
      <c r="U20" s="93"/>
      <c r="V20" s="91"/>
      <c r="W20" s="94"/>
      <c r="X20" s="92"/>
      <c r="Y20" s="92"/>
      <c r="Z20" s="92"/>
      <c r="AA20" s="91"/>
      <c r="AB20" s="93"/>
      <c r="AC20" s="91"/>
      <c r="AD20" s="94"/>
      <c r="AE20" s="92"/>
      <c r="AF20" s="92"/>
      <c r="AG20" s="92"/>
      <c r="AH20" s="91"/>
      <c r="AI20" s="93"/>
      <c r="AJ20" s="91"/>
      <c r="AK20" s="94"/>
      <c r="AL20" s="92"/>
      <c r="AM20" s="92"/>
      <c r="AN20" s="92"/>
      <c r="AO20" s="91"/>
      <c r="AP20" s="93"/>
      <c r="AQ20" s="91"/>
      <c r="AR20" s="94"/>
      <c r="AS20" s="92"/>
      <c r="AT20" s="92"/>
      <c r="AU20" s="92"/>
      <c r="AV20" s="91"/>
      <c r="AW20" s="93"/>
      <c r="AX20" s="91"/>
      <c r="AY20" s="94"/>
      <c r="AZ20" s="92"/>
      <c r="BA20" s="92"/>
      <c r="BB20" s="92"/>
      <c r="BC20" s="91"/>
      <c r="BD20" s="93"/>
      <c r="BE20" s="91"/>
      <c r="BF20" s="94"/>
      <c r="BG20" s="92"/>
      <c r="BH20" s="92"/>
      <c r="BI20" s="92"/>
      <c r="BJ20" s="91"/>
      <c r="BK20" s="93"/>
      <c r="BL20" s="91"/>
      <c r="BM20" s="94"/>
      <c r="BN20" s="92"/>
      <c r="BO20" s="92"/>
      <c r="BP20" s="92"/>
      <c r="BQ20" s="91"/>
      <c r="BR20" s="88"/>
      <c r="BS20" s="96"/>
      <c r="BT20" s="96"/>
      <c r="BU20" s="139"/>
      <c r="BV20" s="54"/>
      <c r="BW20" s="54"/>
      <c r="BX20" s="54"/>
      <c r="BY20" s="54"/>
      <c r="BZ20" s="54"/>
      <c r="CA20" s="54"/>
      <c r="CB20" s="54"/>
      <c r="CC20" s="54"/>
      <c r="CD20" s="58"/>
      <c r="CE20" s="58"/>
    </row>
    <row r="21" spans="1:83" ht="16.5" customHeight="1">
      <c r="A21" s="107"/>
      <c r="B21" s="1322">
        <f>+B16+1</f>
        <v>3</v>
      </c>
      <c r="C21" s="1532" t="s">
        <v>922</v>
      </c>
      <c r="D21" s="1340">
        <v>138.43</v>
      </c>
      <c r="E21" s="1324" t="s">
        <v>888</v>
      </c>
      <c r="F21" s="63" t="s">
        <v>388</v>
      </c>
      <c r="G21" s="64">
        <f>+지급비율!F20*$D$21/1000</f>
        <v>152273000</v>
      </c>
      <c r="H21" s="64">
        <f>+G21*10%</f>
        <v>15227300</v>
      </c>
      <c r="I21" s="64">
        <f>SUM(G21:H21)</f>
        <v>167500300</v>
      </c>
      <c r="J21" s="63">
        <f>+IFERROR(K21/'BT 6HO'!I21,"-")</f>
        <v>0</v>
      </c>
      <c r="K21" s="134">
        <f>+IFERROR(R21+Y21+AF21+AM21+BA21+BH21,"-")</f>
        <v>0</v>
      </c>
      <c r="L21" s="134">
        <f>+'BT 6HO'!I21-K21</f>
        <v>167500300</v>
      </c>
      <c r="M21" s="416"/>
      <c r="N21" s="67"/>
      <c r="O21" s="67"/>
      <c r="P21" s="135"/>
      <c r="Q21" s="134">
        <f>+$I21*지급비율!G20</f>
        <v>0</v>
      </c>
      <c r="R21" s="134"/>
      <c r="S21" s="134">
        <f t="shared" si="0"/>
        <v>0</v>
      </c>
      <c r="T21" s="145"/>
      <c r="U21" s="67"/>
      <c r="V21" s="67"/>
      <c r="W21" s="135"/>
      <c r="X21" s="134"/>
      <c r="Y21" s="134"/>
      <c r="Z21" s="134"/>
      <c r="AA21" s="145"/>
      <c r="AB21" s="67"/>
      <c r="AC21" s="67"/>
      <c r="AD21" s="135"/>
      <c r="AE21" s="134"/>
      <c r="AF21" s="134"/>
      <c r="AG21" s="134"/>
      <c r="AH21" s="145"/>
      <c r="AI21" s="67"/>
      <c r="AJ21" s="67"/>
      <c r="AK21" s="135"/>
      <c r="AL21" s="134"/>
      <c r="AM21" s="134"/>
      <c r="AN21" s="134"/>
      <c r="AO21" s="145"/>
      <c r="AP21" s="67"/>
      <c r="AQ21" s="67"/>
      <c r="AR21" s="135"/>
      <c r="AS21" s="134"/>
      <c r="AT21" s="134"/>
      <c r="AU21" s="134"/>
      <c r="AV21" s="145"/>
      <c r="AW21" s="67"/>
      <c r="AX21" s="67"/>
      <c r="AY21" s="135"/>
      <c r="AZ21" s="134"/>
      <c r="BA21" s="134"/>
      <c r="BB21" s="134"/>
      <c r="BC21" s="145"/>
      <c r="BD21" s="67"/>
      <c r="BE21" s="67"/>
      <c r="BF21" s="135"/>
      <c r="BG21" s="134"/>
      <c r="BH21" s="134"/>
      <c r="BI21" s="134"/>
      <c r="BJ21" s="145"/>
      <c r="BK21" s="67"/>
      <c r="BL21" s="67"/>
      <c r="BM21" s="135"/>
      <c r="BN21" s="134"/>
      <c r="BO21" s="134"/>
      <c r="BP21" s="134"/>
      <c r="BQ21" s="145"/>
      <c r="BR21" s="73"/>
      <c r="BS21" s="74" t="b">
        <f>+Q21+X21+AE21+AS21+AZ21+BG21+BN21=I21</f>
        <v>0</v>
      </c>
      <c r="BT21" s="74" t="b">
        <f>+R21+Y21+AF21+AT21+BA21+BH21+BO21=K21</f>
        <v>1</v>
      </c>
      <c r="BU21" s="74"/>
      <c r="BV21" s="58"/>
      <c r="BW21" s="58"/>
      <c r="BX21" s="58"/>
      <c r="BY21" s="58"/>
      <c r="BZ21" s="58"/>
      <c r="CA21" s="58"/>
      <c r="CB21" s="58"/>
      <c r="CC21" s="58"/>
      <c r="CD21" s="58"/>
      <c r="CE21" s="58"/>
    </row>
    <row r="22" spans="1:83" ht="16.5" customHeight="1">
      <c r="A22" s="107"/>
      <c r="B22" s="1322"/>
      <c r="C22" s="1532"/>
      <c r="D22" s="1341"/>
      <c r="E22" s="1324"/>
      <c r="F22" s="75" t="s">
        <v>389</v>
      </c>
      <c r="G22" s="76">
        <f>+지급비율!F21*$D$21/1000</f>
        <v>41529000</v>
      </c>
      <c r="H22" s="76">
        <f>+G22*10%</f>
        <v>4152900</v>
      </c>
      <c r="I22" s="76">
        <f>SUM(G22:H22)</f>
        <v>45681900</v>
      </c>
      <c r="J22" s="75">
        <f>+IFERROR(K22/'BT 6HO'!I22,"-")</f>
        <v>0.2</v>
      </c>
      <c r="K22" s="80">
        <f>+IFERROR(R22+Y22+AF22+AM22+BA22+BH22,"-")</f>
        <v>9136380</v>
      </c>
      <c r="L22" s="80">
        <f>+'BT 6HO'!I22-K22</f>
        <v>36545520</v>
      </c>
      <c r="M22" s="417"/>
      <c r="N22" s="78">
        <f>+O22</f>
        <v>45631</v>
      </c>
      <c r="O22" s="78">
        <v>45631</v>
      </c>
      <c r="P22" s="79">
        <f>+IFERROR(Q22/'BT 6HO'!$I22,"-")</f>
        <v>0.2</v>
      </c>
      <c r="Q22" s="80">
        <f>+$I22*지급비율!G21</f>
        <v>9136380</v>
      </c>
      <c r="R22" s="80">
        <v>9136380</v>
      </c>
      <c r="S22" s="80">
        <f t="shared" si="0"/>
        <v>0</v>
      </c>
      <c r="T22" s="81"/>
      <c r="U22" s="78"/>
      <c r="V22" s="78"/>
      <c r="W22" s="79"/>
      <c r="X22" s="80"/>
      <c r="Y22" s="80"/>
      <c r="Z22" s="80"/>
      <c r="AA22" s="81"/>
      <c r="AB22" s="78"/>
      <c r="AC22" s="78"/>
      <c r="AD22" s="79"/>
      <c r="AE22" s="80"/>
      <c r="AF22" s="80"/>
      <c r="AG22" s="80"/>
      <c r="AH22" s="81"/>
      <c r="AI22" s="78"/>
      <c r="AJ22" s="78"/>
      <c r="AK22" s="79"/>
      <c r="AL22" s="80"/>
      <c r="AM22" s="80"/>
      <c r="AN22" s="80"/>
      <c r="AO22" s="81"/>
      <c r="AP22" s="78"/>
      <c r="AQ22" s="78"/>
      <c r="AR22" s="79"/>
      <c r="AS22" s="80"/>
      <c r="AT22" s="80"/>
      <c r="AU22" s="80"/>
      <c r="AV22" s="81"/>
      <c r="AW22" s="78"/>
      <c r="AX22" s="78"/>
      <c r="AY22" s="79"/>
      <c r="AZ22" s="80"/>
      <c r="BA22" s="80"/>
      <c r="BB22" s="80"/>
      <c r="BC22" s="81"/>
      <c r="BD22" s="78"/>
      <c r="BE22" s="78"/>
      <c r="BF22" s="79"/>
      <c r="BG22" s="80"/>
      <c r="BH22" s="80"/>
      <c r="BI22" s="80"/>
      <c r="BJ22" s="81"/>
      <c r="BK22" s="78"/>
      <c r="BL22" s="78"/>
      <c r="BM22" s="79"/>
      <c r="BN22" s="80"/>
      <c r="BO22" s="80"/>
      <c r="BP22" s="80"/>
      <c r="BQ22" s="81"/>
      <c r="BR22" s="73"/>
      <c r="BS22" s="74" t="b">
        <f>+Q22+X22+AE22+AS22+AZ22+BG22+BN22=I22</f>
        <v>0</v>
      </c>
      <c r="BT22" s="74" t="b">
        <f>+R22+Y22+AF22+AT22+BA22+BH22+BO22=K22</f>
        <v>1</v>
      </c>
      <c r="BU22" s="74" t="b">
        <f>+BG22+BG23+AZ22+AZ23+AS22+AS23+AE22+AE23+X22+X23+Q22+Q23+BN22+BN23=([5]지급비율!$F$21+[5]지급비율!$F$22)*1.1*D21/1000</f>
        <v>0</v>
      </c>
      <c r="BV22" s="58"/>
      <c r="BW22" s="58"/>
      <c r="BX22" s="58"/>
      <c r="BY22" s="58"/>
      <c r="BZ22" s="58"/>
      <c r="CA22" s="58"/>
      <c r="CB22" s="58"/>
      <c r="CC22" s="58"/>
      <c r="CD22" s="58"/>
      <c r="CE22" s="58"/>
    </row>
    <row r="23" spans="1:83" ht="16.5" customHeight="1">
      <c r="A23" s="107"/>
      <c r="B23" s="1322"/>
      <c r="C23" s="1532"/>
      <c r="D23" s="1341"/>
      <c r="E23" s="1324"/>
      <c r="F23" s="75" t="s">
        <v>390</v>
      </c>
      <c r="G23" s="76">
        <f>+지급비율!F22*$D$21/1000</f>
        <v>27686000</v>
      </c>
      <c r="H23" s="76">
        <f>+G23*10%</f>
        <v>2768600</v>
      </c>
      <c r="I23" s="76">
        <f>SUM(G23:H23)</f>
        <v>30454600</v>
      </c>
      <c r="J23" s="75">
        <f>+IFERROR(K23/'BT 6HO'!I23,"-")</f>
        <v>0.2</v>
      </c>
      <c r="K23" s="80">
        <f>+IFERROR(R23+Y23+AF23+AM23+BA23+BH23,"-")</f>
        <v>6090920</v>
      </c>
      <c r="L23" s="80">
        <f>+'BT 6HO'!I23-K23</f>
        <v>24363680</v>
      </c>
      <c r="M23" s="417"/>
      <c r="N23" s="78">
        <f>+O23</f>
        <v>45631</v>
      </c>
      <c r="O23" s="72">
        <v>45631</v>
      </c>
      <c r="P23" s="79">
        <f>+IFERROR(Q23/'BT 6HO'!$I23,"-")</f>
        <v>0.2</v>
      </c>
      <c r="Q23" s="80">
        <f>+$I23*지급비율!G22</f>
        <v>6090920</v>
      </c>
      <c r="R23" s="80">
        <v>6090920</v>
      </c>
      <c r="S23" s="80">
        <f t="shared" si="0"/>
        <v>0</v>
      </c>
      <c r="T23" s="81"/>
      <c r="U23" s="78"/>
      <c r="V23" s="78"/>
      <c r="W23" s="79"/>
      <c r="X23" s="80"/>
      <c r="Y23" s="80"/>
      <c r="Z23" s="80"/>
      <c r="AA23" s="81"/>
      <c r="AB23" s="78"/>
      <c r="AC23" s="72"/>
      <c r="AD23" s="79"/>
      <c r="AE23" s="80"/>
      <c r="AF23" s="80"/>
      <c r="AG23" s="80"/>
      <c r="AH23" s="81"/>
      <c r="AI23" s="72"/>
      <c r="AJ23" s="72"/>
      <c r="AK23" s="79"/>
      <c r="AL23" s="80"/>
      <c r="AM23" s="80"/>
      <c r="AN23" s="80"/>
      <c r="AO23" s="81"/>
      <c r="AP23" s="72"/>
      <c r="AQ23" s="72"/>
      <c r="AR23" s="79"/>
      <c r="AS23" s="80"/>
      <c r="AT23" s="80"/>
      <c r="AU23" s="80"/>
      <c r="AV23" s="81"/>
      <c r="AW23" s="72"/>
      <c r="AX23" s="72"/>
      <c r="AY23" s="79"/>
      <c r="AZ23" s="80"/>
      <c r="BA23" s="80"/>
      <c r="BB23" s="80"/>
      <c r="BC23" s="81"/>
      <c r="BD23" s="72"/>
      <c r="BE23" s="72"/>
      <c r="BF23" s="79"/>
      <c r="BG23" s="80"/>
      <c r="BH23" s="80"/>
      <c r="BI23" s="80"/>
      <c r="BJ23" s="81"/>
      <c r="BK23" s="78"/>
      <c r="BL23" s="72"/>
      <c r="BM23" s="79"/>
      <c r="BN23" s="80"/>
      <c r="BO23" s="80"/>
      <c r="BP23" s="80"/>
      <c r="BQ23" s="81"/>
      <c r="BR23" s="73"/>
      <c r="BS23" s="74" t="b">
        <f>+Q23+X23+AE23+AS23+AZ23+BG23+BN23=I23</f>
        <v>0</v>
      </c>
      <c r="BT23" s="74" t="b">
        <f>+R23+Y23+AF23+AT23+BA23+BH23+BO23=K23</f>
        <v>1</v>
      </c>
      <c r="BU23" s="74"/>
      <c r="BV23" s="58"/>
      <c r="BW23" s="58"/>
      <c r="BX23" s="58"/>
      <c r="BY23" s="58"/>
      <c r="BZ23" s="58"/>
      <c r="CA23" s="58"/>
      <c r="CB23" s="58"/>
      <c r="CC23" s="58"/>
      <c r="CD23" s="58"/>
      <c r="CE23" s="58"/>
    </row>
    <row r="24" spans="1:83" ht="16.5" customHeight="1">
      <c r="A24" s="107"/>
      <c r="B24" s="1322"/>
      <c r="C24" s="1532"/>
      <c r="D24" s="1341"/>
      <c r="E24" s="1324"/>
      <c r="F24" s="101" t="s">
        <v>391</v>
      </c>
      <c r="G24" s="102">
        <f>+지급비율!F23*$D$21/1000</f>
        <v>27686000</v>
      </c>
      <c r="H24" s="102">
        <f>+G24*0.1</f>
        <v>2768600</v>
      </c>
      <c r="I24" s="102">
        <f>SUM(G24:H24)</f>
        <v>30454600</v>
      </c>
      <c r="J24" s="101">
        <f>+IFERROR(K24/'BT 6HO'!I24,"-")</f>
        <v>0</v>
      </c>
      <c r="K24" s="106">
        <f>+IFERROR(R24+Y24+AF24+AM24+BA24+BH24,"-")</f>
        <v>0</v>
      </c>
      <c r="L24" s="106">
        <f>+'BT 6HO'!I24-K24</f>
        <v>30454600</v>
      </c>
      <c r="M24" s="418"/>
      <c r="N24" s="85"/>
      <c r="O24" s="101"/>
      <c r="P24" s="105"/>
      <c r="Q24" s="106">
        <f>+$I24*지급비율!G23</f>
        <v>0</v>
      </c>
      <c r="R24" s="106"/>
      <c r="S24" s="106">
        <f t="shared" si="0"/>
        <v>0</v>
      </c>
      <c r="T24" s="101"/>
      <c r="U24" s="85"/>
      <c r="V24" s="101"/>
      <c r="W24" s="105"/>
      <c r="X24" s="106"/>
      <c r="Y24" s="106"/>
      <c r="Z24" s="106"/>
      <c r="AA24" s="101"/>
      <c r="AB24" s="85"/>
      <c r="AC24" s="101"/>
      <c r="AD24" s="105"/>
      <c r="AE24" s="106"/>
      <c r="AF24" s="106"/>
      <c r="AG24" s="106"/>
      <c r="AH24" s="101"/>
      <c r="AI24" s="85"/>
      <c r="AJ24" s="101"/>
      <c r="AK24" s="105"/>
      <c r="AL24" s="106"/>
      <c r="AM24" s="106"/>
      <c r="AN24" s="106"/>
      <c r="AO24" s="101"/>
      <c r="AP24" s="85"/>
      <c r="AQ24" s="101"/>
      <c r="AR24" s="105"/>
      <c r="AS24" s="106"/>
      <c r="AT24" s="106"/>
      <c r="AU24" s="106"/>
      <c r="AV24" s="101"/>
      <c r="AW24" s="85"/>
      <c r="AX24" s="101"/>
      <c r="AY24" s="105"/>
      <c r="AZ24" s="106"/>
      <c r="BA24" s="106"/>
      <c r="BB24" s="106"/>
      <c r="BC24" s="101"/>
      <c r="BD24" s="85"/>
      <c r="BE24" s="101"/>
      <c r="BF24" s="105"/>
      <c r="BG24" s="106"/>
      <c r="BH24" s="106"/>
      <c r="BI24" s="106"/>
      <c r="BJ24" s="101"/>
      <c r="BK24" s="78"/>
      <c r="BL24" s="101"/>
      <c r="BM24" s="105"/>
      <c r="BN24" s="106"/>
      <c r="BO24" s="106"/>
      <c r="BP24" s="106"/>
      <c r="BQ24" s="101"/>
      <c r="BR24" s="88"/>
      <c r="BS24" s="89" t="b">
        <f>+Q24+X24+AE24+AS24+AZ24+BG24+BN24=I24</f>
        <v>0</v>
      </c>
      <c r="BT24" s="90" t="b">
        <f>+R24+Y24+AF24+AT24+BA24+BH24+BO24=K24</f>
        <v>1</v>
      </c>
      <c r="BU24" s="89"/>
      <c r="BV24" s="58"/>
      <c r="BW24" s="58"/>
      <c r="BX24" s="58"/>
      <c r="BY24" s="58"/>
      <c r="BZ24" s="58"/>
      <c r="CA24" s="58"/>
      <c r="CB24" s="58"/>
      <c r="CC24" s="58"/>
      <c r="CD24" s="58"/>
      <c r="CE24" s="58"/>
    </row>
    <row r="25" spans="1:83" ht="16.5" customHeight="1">
      <c r="A25" s="62"/>
      <c r="B25" s="1322"/>
      <c r="C25" s="1532"/>
      <c r="D25" s="1342"/>
      <c r="E25" s="1324"/>
      <c r="F25" s="91" t="s">
        <v>392</v>
      </c>
      <c r="G25" s="92">
        <f>SUM(G21:G24)</f>
        <v>249174000</v>
      </c>
      <c r="H25" s="92">
        <f>SUM(H21:H24)</f>
        <v>24917400</v>
      </c>
      <c r="I25" s="92">
        <f>SUM(I21:I24)</f>
        <v>274091400</v>
      </c>
      <c r="J25" s="91">
        <f>+IFERROR(K25/'BT 6HO'!I25,"-")</f>
        <v>5.5555555555555552E-2</v>
      </c>
      <c r="K25" s="92">
        <f>SUM(K21:K24)</f>
        <v>15227300</v>
      </c>
      <c r="L25" s="92">
        <f>SUM(L21:L24)</f>
        <v>258864100</v>
      </c>
      <c r="M25" s="419"/>
      <c r="N25" s="93"/>
      <c r="O25" s="91"/>
      <c r="P25" s="94">
        <f>+IFERROR(Q25/'BT 6HO'!$I25,"-")</f>
        <v>5.5555555555555552E-2</v>
      </c>
      <c r="Q25" s="92">
        <f>SUM(Q21:Q24)</f>
        <v>15227300</v>
      </c>
      <c r="R25" s="170">
        <f>SUM(R21:R24)</f>
        <v>15227300</v>
      </c>
      <c r="S25" s="92">
        <f t="shared" si="0"/>
        <v>0</v>
      </c>
      <c r="T25" s="91"/>
      <c r="U25" s="93"/>
      <c r="V25" s="91"/>
      <c r="W25" s="94"/>
      <c r="X25" s="92"/>
      <c r="Y25" s="92"/>
      <c r="Z25" s="92"/>
      <c r="AA25" s="91"/>
      <c r="AB25" s="93"/>
      <c r="AC25" s="91"/>
      <c r="AD25" s="94"/>
      <c r="AE25" s="92"/>
      <c r="AF25" s="92"/>
      <c r="AG25" s="92"/>
      <c r="AH25" s="91"/>
      <c r="AI25" s="93"/>
      <c r="AJ25" s="91"/>
      <c r="AK25" s="94"/>
      <c r="AL25" s="92"/>
      <c r="AM25" s="92"/>
      <c r="AN25" s="92"/>
      <c r="AO25" s="91"/>
      <c r="AP25" s="93"/>
      <c r="AQ25" s="91"/>
      <c r="AR25" s="94"/>
      <c r="AS25" s="92"/>
      <c r="AT25" s="92"/>
      <c r="AU25" s="92"/>
      <c r="AV25" s="91"/>
      <c r="AW25" s="93"/>
      <c r="AX25" s="91"/>
      <c r="AY25" s="94"/>
      <c r="AZ25" s="92"/>
      <c r="BA25" s="92"/>
      <c r="BB25" s="92"/>
      <c r="BC25" s="91"/>
      <c r="BD25" s="93"/>
      <c r="BE25" s="91"/>
      <c r="BF25" s="94"/>
      <c r="BG25" s="92"/>
      <c r="BH25" s="92"/>
      <c r="BI25" s="92"/>
      <c r="BJ25" s="91"/>
      <c r="BK25" s="93"/>
      <c r="BL25" s="91"/>
      <c r="BM25" s="94"/>
      <c r="BN25" s="92"/>
      <c r="BO25" s="92"/>
      <c r="BP25" s="92"/>
      <c r="BQ25" s="91"/>
      <c r="BR25" s="88"/>
      <c r="BS25" s="96"/>
      <c r="BT25" s="96"/>
      <c r="BU25" s="139"/>
      <c r="BV25" s="54"/>
      <c r="BW25" s="54"/>
      <c r="BX25" s="54"/>
      <c r="BY25" s="54"/>
      <c r="BZ25" s="54"/>
      <c r="CA25" s="54"/>
      <c r="CB25" s="54"/>
      <c r="CC25" s="54"/>
      <c r="CD25" s="58"/>
      <c r="CE25" s="58"/>
    </row>
    <row r="26" spans="1:83" ht="16.5" customHeight="1">
      <c r="A26" s="62"/>
      <c r="B26" s="1322">
        <f t="shared" ref="B26" si="1">+B21+1</f>
        <v>4</v>
      </c>
      <c r="C26" s="1531" t="s">
        <v>923</v>
      </c>
      <c r="D26" s="1343">
        <v>2444.8000000000002</v>
      </c>
      <c r="E26" s="1324" t="s">
        <v>888</v>
      </c>
      <c r="F26" s="63" t="s">
        <v>388</v>
      </c>
      <c r="G26" s="64">
        <f>+$G$2*D26/1000</f>
        <v>2689280000</v>
      </c>
      <c r="H26" s="64">
        <f>+G26*10%</f>
        <v>268928000</v>
      </c>
      <c r="I26" s="64">
        <f>SUM(G26:H26)</f>
        <v>2958208000</v>
      </c>
      <c r="J26" s="63">
        <f t="shared" ref="J26:J49" si="2">+IFERROR(K26/I26,"-")</f>
        <v>0</v>
      </c>
      <c r="K26" s="134">
        <f>+IFERROR(R26+Y26+AF26+AM26+AT26+BA26+BH26+BO26,"-")</f>
        <v>0</v>
      </c>
      <c r="L26" s="134">
        <f>+I26-K26</f>
        <v>2958208000</v>
      </c>
      <c r="M26" s="1331" t="s">
        <v>407</v>
      </c>
      <c r="N26" s="67"/>
      <c r="O26" s="67"/>
      <c r="P26" s="135"/>
      <c r="Q26" s="66"/>
      <c r="R26" s="66"/>
      <c r="S26" s="66">
        <f t="shared" ref="S26:S56" si="3">+Q26-R26</f>
        <v>0</v>
      </c>
      <c r="T26" s="136"/>
      <c r="U26" s="67"/>
      <c r="V26" s="67"/>
      <c r="W26" s="135"/>
      <c r="X26" s="134"/>
      <c r="Y26" s="134"/>
      <c r="Z26" s="134">
        <f t="shared" ref="Z26:Z56" si="4">+X26-Y26</f>
        <v>0</v>
      </c>
      <c r="AA26" s="145"/>
      <c r="AB26" s="67">
        <f>+EDATE(AI26,0)</f>
        <v>46051</v>
      </c>
      <c r="AC26" s="67"/>
      <c r="AD26" s="135">
        <f>+IFERROR(AE26/$I26,"-")</f>
        <v>0.5</v>
      </c>
      <c r="AE26" s="134">
        <f>+$I26*지급비율!U20</f>
        <v>1479104000</v>
      </c>
      <c r="AF26" s="134"/>
      <c r="AG26" s="134">
        <f t="shared" ref="AG26:AG56" si="5">+AE26-AF26</f>
        <v>1479104000</v>
      </c>
      <c r="AH26" s="145"/>
      <c r="AI26" s="67">
        <f>+EDATE(AP26,-1)+1</f>
        <v>46051</v>
      </c>
      <c r="AJ26" s="67"/>
      <c r="AK26" s="135">
        <f t="shared" ref="AK26:AK60" si="6">+IFERROR(AL26/$I26,"-")</f>
        <v>0</v>
      </c>
      <c r="AL26" s="134">
        <f>+$I26*지급비율!AB20</f>
        <v>0</v>
      </c>
      <c r="AM26" s="134"/>
      <c r="AN26" s="134">
        <f t="shared" ref="AN26:AN56" si="7">+AL26-AM26</f>
        <v>0</v>
      </c>
      <c r="AO26" s="145"/>
      <c r="AP26" s="67">
        <f>+EDATE(AW26,-1)</f>
        <v>46081</v>
      </c>
      <c r="AQ26" s="67"/>
      <c r="AR26" s="135">
        <f>+IFERROR(AS26/$I26,"-")</f>
        <v>0</v>
      </c>
      <c r="AS26" s="134">
        <f>+$I26*지급비율!AI20</f>
        <v>0</v>
      </c>
      <c r="AT26" s="134"/>
      <c r="AU26" s="134">
        <f t="shared" ref="AU26:AU56" si="8">+AS26-AT26</f>
        <v>0</v>
      </c>
      <c r="AV26" s="145"/>
      <c r="AW26" s="67">
        <f>+EDATE(BD26,-1)</f>
        <v>46111</v>
      </c>
      <c r="AX26" s="67"/>
      <c r="AY26" s="135">
        <f>+IFERROR(AZ26/$I26,"-")</f>
        <v>0</v>
      </c>
      <c r="AZ26" s="134">
        <f>+$I26*지급비율!AP20</f>
        <v>0</v>
      </c>
      <c r="BA26" s="134"/>
      <c r="BB26" s="134">
        <f t="shared" ref="BB26:BB56" si="9">+AZ26-BA26</f>
        <v>0</v>
      </c>
      <c r="BC26" s="145"/>
      <c r="BD26" s="67">
        <f>+EDATE(BK26,-1)</f>
        <v>46142</v>
      </c>
      <c r="BE26" s="67"/>
      <c r="BF26" s="135">
        <f>+IFERROR(BG26/$I26,"-")</f>
        <v>0.4</v>
      </c>
      <c r="BG26" s="134">
        <f>+$I26*지급비율!AW20</f>
        <v>1183283200</v>
      </c>
      <c r="BH26" s="134"/>
      <c r="BI26" s="134">
        <f t="shared" ref="BI26:BI56" si="10">+BG26-BH26</f>
        <v>1183283200</v>
      </c>
      <c r="BJ26" s="145"/>
      <c r="BK26" s="67">
        <v>46173</v>
      </c>
      <c r="BL26" s="67"/>
      <c r="BM26" s="135">
        <f t="shared" ref="BM26:BM60" si="11">+IFERROR(BN26/$I26,"-")</f>
        <v>0.1</v>
      </c>
      <c r="BN26" s="134">
        <f>+$I26*지급비율!BD20</f>
        <v>295820800</v>
      </c>
      <c r="BO26" s="134"/>
      <c r="BP26" s="134">
        <f t="shared" ref="BP26:BP56" si="12">+BN26-BO26</f>
        <v>295820800</v>
      </c>
      <c r="BQ26" s="145"/>
      <c r="BR26" s="73"/>
      <c r="BS26" s="74" t="b">
        <f>+Q26+X26+AE26+AS26+AZ26+BG26+BN26=I26</f>
        <v>1</v>
      </c>
      <c r="BT26" s="74" t="b">
        <f>+R26+Y26+AF26+AT26+BA26+BH26+BO26=K26</f>
        <v>1</v>
      </c>
      <c r="BU26" s="74"/>
      <c r="BV26" s="54"/>
      <c r="BW26" s="54"/>
      <c r="BX26" s="54"/>
      <c r="BY26" s="54"/>
      <c r="BZ26" s="54"/>
      <c r="CA26" s="54"/>
      <c r="CB26" s="54"/>
      <c r="CC26" s="54"/>
      <c r="CD26" s="58"/>
      <c r="CE26" s="58"/>
    </row>
    <row r="27" spans="1:83" ht="16.5" customHeight="1">
      <c r="A27" s="62"/>
      <c r="B27" s="1322"/>
      <c r="C27" s="1531"/>
      <c r="D27" s="1344"/>
      <c r="E27" s="1324"/>
      <c r="F27" s="75" t="s">
        <v>389</v>
      </c>
      <c r="G27" s="76">
        <f>+지급비율!F21*D26/1000</f>
        <v>733440000</v>
      </c>
      <c r="H27" s="76">
        <f>+G27*10%</f>
        <v>73344000</v>
      </c>
      <c r="I27" s="76">
        <f>SUM(G27:H27)</f>
        <v>806784000</v>
      </c>
      <c r="J27" s="75">
        <f t="shared" si="2"/>
        <v>0</v>
      </c>
      <c r="K27" s="80">
        <f>+IFERROR(R27+Y27+AF27+AM27+AT27+BA27+BH27+BO27,"-")</f>
        <v>0</v>
      </c>
      <c r="L27" s="80">
        <f>+I27-K27</f>
        <v>806784000</v>
      </c>
      <c r="M27" s="1332"/>
      <c r="N27" s="428">
        <v>45991</v>
      </c>
      <c r="O27" s="428"/>
      <c r="P27" s="403">
        <f>+IFERROR(Q27/$I27,"-")</f>
        <v>0.3</v>
      </c>
      <c r="Q27" s="404">
        <f>+$I27*지급비율!G29</f>
        <v>242035200</v>
      </c>
      <c r="R27" s="404"/>
      <c r="S27" s="404">
        <f t="shared" si="3"/>
        <v>242035200</v>
      </c>
      <c r="T27" s="429"/>
      <c r="U27" s="152">
        <v>46022</v>
      </c>
      <c r="V27" s="152"/>
      <c r="W27" s="117">
        <f>+IFERROR(X27/$I27,"-")</f>
        <v>0.1</v>
      </c>
      <c r="X27" s="289">
        <f>+$I27*지급비율!N29</f>
        <v>80678400</v>
      </c>
      <c r="Y27" s="289"/>
      <c r="Z27" s="289">
        <f t="shared" si="4"/>
        <v>80678400</v>
      </c>
      <c r="AA27" s="118"/>
      <c r="AB27" s="78">
        <v>46053</v>
      </c>
      <c r="AC27" s="78"/>
      <c r="AD27" s="79">
        <f>+IFERROR(AE27/$I27,"-")</f>
        <v>0.5</v>
      </c>
      <c r="AE27" s="99">
        <f>+$I27*지급비율!U29</f>
        <v>403392000</v>
      </c>
      <c r="AF27" s="70"/>
      <c r="AG27" s="70">
        <f t="shared" si="5"/>
        <v>403392000</v>
      </c>
      <c r="AH27" s="81"/>
      <c r="AI27" s="78"/>
      <c r="AJ27" s="72"/>
      <c r="AK27" s="79">
        <f t="shared" si="6"/>
        <v>0</v>
      </c>
      <c r="AL27" s="99">
        <f>+$I27*지급비율!AB21</f>
        <v>0</v>
      </c>
      <c r="AM27" s="70"/>
      <c r="AN27" s="70">
        <f t="shared" si="7"/>
        <v>0</v>
      </c>
      <c r="AO27" s="81"/>
      <c r="AP27" s="78"/>
      <c r="AQ27" s="72"/>
      <c r="AR27" s="79"/>
      <c r="AS27" s="99">
        <f>+$I27*지급비율!AI21</f>
        <v>0</v>
      </c>
      <c r="AT27" s="70"/>
      <c r="AU27" s="70">
        <f t="shared" si="8"/>
        <v>0</v>
      </c>
      <c r="AV27" s="81"/>
      <c r="AW27" s="78"/>
      <c r="AX27" s="72"/>
      <c r="AY27" s="79"/>
      <c r="AZ27" s="99">
        <f>+$I27*지급비율!AP21</f>
        <v>0</v>
      </c>
      <c r="BA27" s="70"/>
      <c r="BB27" s="70">
        <f t="shared" si="9"/>
        <v>0</v>
      </c>
      <c r="BC27" s="81"/>
      <c r="BD27" s="78"/>
      <c r="BE27" s="72"/>
      <c r="BF27" s="79"/>
      <c r="BG27" s="99">
        <f>+$I27*지급비율!AW21</f>
        <v>0</v>
      </c>
      <c r="BH27" s="70"/>
      <c r="BI27" s="70">
        <f t="shared" si="10"/>
        <v>0</v>
      </c>
      <c r="BJ27" s="81"/>
      <c r="BK27" s="138">
        <v>46173</v>
      </c>
      <c r="BL27" s="72"/>
      <c r="BM27" s="79">
        <f t="shared" si="11"/>
        <v>0.1</v>
      </c>
      <c r="BN27" s="99">
        <f>+$I27*지급비율!BD29</f>
        <v>80678400</v>
      </c>
      <c r="BO27" s="70"/>
      <c r="BP27" s="70">
        <f t="shared" si="12"/>
        <v>80678400</v>
      </c>
      <c r="BQ27" s="81"/>
      <c r="BR27" s="73"/>
      <c r="BS27" s="74" t="b">
        <f>+Q27+X27+AE27+AS27+AZ27+BG27+BN27=I27</f>
        <v>1</v>
      </c>
      <c r="BT27" s="74" t="b">
        <f>+R27+Y27+AF27+AT27+BA27+BH27+BO27=K27</f>
        <v>1</v>
      </c>
      <c r="BU27" s="74" t="b">
        <f>+BG27+BG28+AZ27+AZ28+AS27+AS28+AE27+AE28+X27+X28+Q27+Q28+BN27+BN28=([5]지급비율!$F$21+[5]지급비율!$F$22)*1.1*D26/1000</f>
        <v>1</v>
      </c>
      <c r="BV27" s="54"/>
      <c r="BW27" s="54"/>
      <c r="BX27" s="54"/>
      <c r="BY27" s="54"/>
      <c r="BZ27" s="54"/>
      <c r="CA27" s="54"/>
      <c r="CB27" s="54"/>
      <c r="CC27" s="54"/>
      <c r="CD27" s="58"/>
      <c r="CE27" s="58"/>
    </row>
    <row r="28" spans="1:83" ht="16.5" customHeight="1">
      <c r="A28" s="62"/>
      <c r="B28" s="1322"/>
      <c r="C28" s="1531"/>
      <c r="D28" s="1344"/>
      <c r="E28" s="1324"/>
      <c r="F28" s="75" t="s">
        <v>390</v>
      </c>
      <c r="G28" s="76">
        <f>+지급비율!F22*D26/1000</f>
        <v>488960000.00000006</v>
      </c>
      <c r="H28" s="76">
        <f>+G28*10%</f>
        <v>48896000.000000007</v>
      </c>
      <c r="I28" s="76">
        <f>SUM(G28:H28)</f>
        <v>537856000.00000012</v>
      </c>
      <c r="J28" s="75">
        <f t="shared" si="2"/>
        <v>0</v>
      </c>
      <c r="K28" s="80">
        <f>+IFERROR(R28+Y28+AF28+AM28+AT28+BA28+BH28+BO28,"-")</f>
        <v>0</v>
      </c>
      <c r="L28" s="80">
        <f>+I28-K28</f>
        <v>537856000.00000012</v>
      </c>
      <c r="M28" s="1332"/>
      <c r="N28" s="428">
        <v>45991</v>
      </c>
      <c r="O28" s="428"/>
      <c r="P28" s="403">
        <f>+IFERROR(Q28/$I28,"-")</f>
        <v>0.3</v>
      </c>
      <c r="Q28" s="404">
        <f>+$I28*지급비율!G30</f>
        <v>161356800.00000003</v>
      </c>
      <c r="R28" s="404"/>
      <c r="S28" s="404">
        <f t="shared" si="3"/>
        <v>161356800.00000003</v>
      </c>
      <c r="T28" s="429"/>
      <c r="U28" s="152">
        <v>46022</v>
      </c>
      <c r="V28" s="152"/>
      <c r="W28" s="117">
        <f>+IFERROR(X28/$I28,"-")</f>
        <v>0.1</v>
      </c>
      <c r="X28" s="289">
        <f>+$I28*지급비율!N30</f>
        <v>53785600.000000015</v>
      </c>
      <c r="Y28" s="289"/>
      <c r="Z28" s="289">
        <f t="shared" si="4"/>
        <v>53785600.000000015</v>
      </c>
      <c r="AA28" s="118"/>
      <c r="AB28" s="78">
        <v>46053</v>
      </c>
      <c r="AC28" s="78"/>
      <c r="AD28" s="79">
        <f>+IFERROR(AE28/$I28,"-")</f>
        <v>0.5</v>
      </c>
      <c r="AE28" s="99">
        <f>+$I28*지급비율!U30</f>
        <v>268928000.00000006</v>
      </c>
      <c r="AF28" s="70"/>
      <c r="AG28" s="70">
        <f t="shared" si="5"/>
        <v>268928000.00000006</v>
      </c>
      <c r="AH28" s="81"/>
      <c r="AI28" s="72"/>
      <c r="AJ28" s="72"/>
      <c r="AK28" s="79">
        <f t="shared" si="6"/>
        <v>0</v>
      </c>
      <c r="AL28" s="99">
        <f>+$I28*지급비율!AB22</f>
        <v>0</v>
      </c>
      <c r="AM28" s="70"/>
      <c r="AN28" s="70">
        <f t="shared" si="7"/>
        <v>0</v>
      </c>
      <c r="AO28" s="81"/>
      <c r="AP28" s="72"/>
      <c r="AQ28" s="72"/>
      <c r="AR28" s="79"/>
      <c r="AS28" s="99">
        <f>+$I28*지급비율!AI22</f>
        <v>0</v>
      </c>
      <c r="AT28" s="70"/>
      <c r="AU28" s="70">
        <f t="shared" si="8"/>
        <v>0</v>
      </c>
      <c r="AV28" s="81"/>
      <c r="AW28" s="72"/>
      <c r="AX28" s="72"/>
      <c r="AY28" s="79"/>
      <c r="AZ28" s="99">
        <f>+$I28*지급비율!AP22</f>
        <v>0</v>
      </c>
      <c r="BA28" s="70"/>
      <c r="BB28" s="70">
        <f t="shared" si="9"/>
        <v>0</v>
      </c>
      <c r="BC28" s="81"/>
      <c r="BD28" s="72"/>
      <c r="BE28" s="72"/>
      <c r="BF28" s="79"/>
      <c r="BG28" s="99">
        <f>+$I28*지급비율!AW22</f>
        <v>0</v>
      </c>
      <c r="BH28" s="70"/>
      <c r="BI28" s="70">
        <f t="shared" si="10"/>
        <v>0</v>
      </c>
      <c r="BJ28" s="81"/>
      <c r="BK28" s="72">
        <v>46173</v>
      </c>
      <c r="BL28" s="72"/>
      <c r="BM28" s="79">
        <f t="shared" si="11"/>
        <v>0.1</v>
      </c>
      <c r="BN28" s="99">
        <f>+$I28*지급비율!BD30</f>
        <v>53785600.000000015</v>
      </c>
      <c r="BO28" s="70"/>
      <c r="BP28" s="70">
        <f t="shared" si="12"/>
        <v>53785600.000000015</v>
      </c>
      <c r="BQ28" s="81"/>
      <c r="BR28" s="73"/>
      <c r="BS28" s="74" t="b">
        <f>+Q28+X28+AE28+AS28+AZ28+BG28+BN28=I28</f>
        <v>1</v>
      </c>
      <c r="BT28" s="74" t="b">
        <f>+R28+Y28+AF28+AT28+BA28+BH28+BO28=K28</f>
        <v>1</v>
      </c>
      <c r="BU28" s="74"/>
      <c r="BV28" s="54"/>
      <c r="BW28" s="54"/>
      <c r="BX28" s="54"/>
      <c r="BY28" s="54"/>
      <c r="BZ28" s="54"/>
      <c r="CA28" s="54"/>
      <c r="CB28" s="54"/>
      <c r="CC28" s="54"/>
      <c r="CD28" s="58"/>
      <c r="CE28" s="58"/>
    </row>
    <row r="29" spans="1:83" ht="16.5" customHeight="1">
      <c r="A29" s="62"/>
      <c r="B29" s="1322"/>
      <c r="C29" s="1531"/>
      <c r="D29" s="1344"/>
      <c r="E29" s="1324"/>
      <c r="F29" s="101" t="s">
        <v>391</v>
      </c>
      <c r="G29" s="102">
        <f>+지급비율!F23*D26/1000</f>
        <v>488960000.00000006</v>
      </c>
      <c r="H29" s="102">
        <f>+G29*0.1</f>
        <v>48896000.000000007</v>
      </c>
      <c r="I29" s="102">
        <f>SUM(G29:H29)</f>
        <v>537856000.00000012</v>
      </c>
      <c r="J29" s="101">
        <f t="shared" si="2"/>
        <v>0</v>
      </c>
      <c r="K29" s="106">
        <f>+IFERROR(R29+Y29+AF29+AM29+AT29+BA29+BH29+BO29,"-")</f>
        <v>0</v>
      </c>
      <c r="L29" s="106">
        <f>+I29-K29</f>
        <v>537856000.00000012</v>
      </c>
      <c r="M29" s="1333"/>
      <c r="N29" s="430"/>
      <c r="O29" s="431"/>
      <c r="P29" s="432"/>
      <c r="Q29" s="433"/>
      <c r="R29" s="433"/>
      <c r="S29" s="433">
        <f t="shared" si="3"/>
        <v>0</v>
      </c>
      <c r="T29" s="431"/>
      <c r="U29" s="85"/>
      <c r="V29" s="101"/>
      <c r="W29" s="105"/>
      <c r="X29" s="106"/>
      <c r="Y29" s="106"/>
      <c r="Z29" s="106">
        <f t="shared" si="4"/>
        <v>0</v>
      </c>
      <c r="AA29" s="101"/>
      <c r="AB29" s="85"/>
      <c r="AC29" s="101"/>
      <c r="AD29" s="105"/>
      <c r="AE29" s="106">
        <f>+$I29*지급비율!U23</f>
        <v>0</v>
      </c>
      <c r="AF29" s="106"/>
      <c r="AG29" s="106">
        <f t="shared" si="5"/>
        <v>0</v>
      </c>
      <c r="AH29" s="101"/>
      <c r="AI29" s="85"/>
      <c r="AJ29" s="101"/>
      <c r="AK29" s="105">
        <f t="shared" si="6"/>
        <v>0</v>
      </c>
      <c r="AL29" s="106">
        <f>+$I29*지급비율!AB23</f>
        <v>0</v>
      </c>
      <c r="AM29" s="106"/>
      <c r="AN29" s="106">
        <f t="shared" si="7"/>
        <v>0</v>
      </c>
      <c r="AO29" s="101"/>
      <c r="AP29" s="85"/>
      <c r="AQ29" s="101"/>
      <c r="AR29" s="105"/>
      <c r="AS29" s="106">
        <f>+$I29*지급비율!AI23</f>
        <v>0</v>
      </c>
      <c r="AT29" s="106"/>
      <c r="AU29" s="106">
        <f t="shared" si="8"/>
        <v>0</v>
      </c>
      <c r="AV29" s="101"/>
      <c r="AW29" s="85"/>
      <c r="AX29" s="101"/>
      <c r="AY29" s="105"/>
      <c r="AZ29" s="106">
        <f>+$I29*지급비율!AP23</f>
        <v>0</v>
      </c>
      <c r="BA29" s="106"/>
      <c r="BB29" s="106">
        <f t="shared" si="9"/>
        <v>0</v>
      </c>
      <c r="BC29" s="101"/>
      <c r="BD29" s="85"/>
      <c r="BE29" s="101"/>
      <c r="BF29" s="105"/>
      <c r="BG29" s="106">
        <f>+$I29*지급비율!AW23</f>
        <v>0</v>
      </c>
      <c r="BH29" s="106"/>
      <c r="BI29" s="106">
        <f t="shared" si="10"/>
        <v>0</v>
      </c>
      <c r="BJ29" s="101"/>
      <c r="BK29" s="104">
        <v>46173</v>
      </c>
      <c r="BL29" s="101"/>
      <c r="BM29" s="105">
        <f t="shared" si="11"/>
        <v>1</v>
      </c>
      <c r="BN29" s="106">
        <f>+$I29*지급비율!BD23</f>
        <v>537856000.00000012</v>
      </c>
      <c r="BO29" s="106"/>
      <c r="BP29" s="106">
        <f t="shared" si="12"/>
        <v>537856000.00000012</v>
      </c>
      <c r="BQ29" s="101"/>
      <c r="BR29" s="88"/>
      <c r="BS29" s="89" t="b">
        <f>+Q29+X29+AE29+AS29+AZ29+BG29+BN29=I29</f>
        <v>1</v>
      </c>
      <c r="BT29" s="90" t="b">
        <f>+R29+Y29+AF29+AT29+BA29+BH29+BO29=K29</f>
        <v>1</v>
      </c>
      <c r="BU29" s="90"/>
      <c r="BV29" s="54"/>
      <c r="BW29" s="54"/>
      <c r="BX29" s="54"/>
      <c r="BY29" s="54"/>
      <c r="BZ29" s="54"/>
      <c r="CA29" s="54"/>
      <c r="CB29" s="54"/>
      <c r="CC29" s="54"/>
      <c r="CD29" s="58"/>
      <c r="CE29" s="58"/>
    </row>
    <row r="30" spans="1:83" ht="16.5" customHeight="1">
      <c r="A30" s="62"/>
      <c r="B30" s="1322"/>
      <c r="C30" s="1531"/>
      <c r="D30" s="1345"/>
      <c r="E30" s="1324"/>
      <c r="F30" s="91" t="s">
        <v>392</v>
      </c>
      <c r="G30" s="92">
        <f>SUM(G26:G29)</f>
        <v>4400640000</v>
      </c>
      <c r="H30" s="92">
        <f>SUM(H26:H29)</f>
        <v>440064000</v>
      </c>
      <c r="I30" s="92">
        <f>SUM(I26:I29)</f>
        <v>4840704000</v>
      </c>
      <c r="J30" s="91">
        <f t="shared" si="2"/>
        <v>0</v>
      </c>
      <c r="K30" s="92">
        <f>SUM(K26:K29)</f>
        <v>0</v>
      </c>
      <c r="L30" s="92">
        <f>SUM(L26:L29)</f>
        <v>4840704000</v>
      </c>
      <c r="M30" s="419">
        <f>+Q27+Q28</f>
        <v>403392000</v>
      </c>
      <c r="N30" s="434"/>
      <c r="O30" s="435"/>
      <c r="P30" s="436">
        <f>+IFERROR(Q30/$I30,"-")</f>
        <v>8.3333333333333329E-2</v>
      </c>
      <c r="Q30" s="419">
        <f>SUM(Q26:Q29)</f>
        <v>403392000</v>
      </c>
      <c r="R30" s="419">
        <f>SUM(R26:R29)</f>
        <v>0</v>
      </c>
      <c r="S30" s="419">
        <f t="shared" si="3"/>
        <v>403392000</v>
      </c>
      <c r="T30" s="435"/>
      <c r="U30" s="93"/>
      <c r="V30" s="91"/>
      <c r="W30" s="94">
        <f>+IFERROR(X30/$I30,"-")</f>
        <v>2.7777777777777776E-2</v>
      </c>
      <c r="X30" s="92">
        <f>SUM(X26:X29)</f>
        <v>134464000</v>
      </c>
      <c r="Y30" s="92">
        <f>SUM(Y26:Y29)</f>
        <v>0</v>
      </c>
      <c r="Z30" s="92">
        <f t="shared" si="4"/>
        <v>134464000</v>
      </c>
      <c r="AA30" s="91"/>
      <c r="AB30" s="93"/>
      <c r="AC30" s="91"/>
      <c r="AD30" s="94">
        <f>+IFERROR(AE30/$I30,"-")</f>
        <v>0.44444444444444442</v>
      </c>
      <c r="AE30" s="92">
        <f>SUM(AE26:AE29)</f>
        <v>2151424000</v>
      </c>
      <c r="AF30" s="92">
        <f>SUM(AF26:AF29)</f>
        <v>0</v>
      </c>
      <c r="AG30" s="92">
        <f t="shared" si="5"/>
        <v>2151424000</v>
      </c>
      <c r="AH30" s="91"/>
      <c r="AI30" s="93"/>
      <c r="AJ30" s="91"/>
      <c r="AK30" s="94">
        <f t="shared" si="6"/>
        <v>0</v>
      </c>
      <c r="AL30" s="92">
        <f>SUM(AL26:AL29)</f>
        <v>0</v>
      </c>
      <c r="AM30" s="92">
        <f>SUM(AM26:AM29)</f>
        <v>0</v>
      </c>
      <c r="AN30" s="92">
        <f t="shared" si="7"/>
        <v>0</v>
      </c>
      <c r="AO30" s="91"/>
      <c r="AP30" s="93"/>
      <c r="AQ30" s="91"/>
      <c r="AR30" s="94">
        <f>+IFERROR(AS30/$I30,"-")</f>
        <v>0</v>
      </c>
      <c r="AS30" s="92">
        <f>SUM(AS26:AS29)</f>
        <v>0</v>
      </c>
      <c r="AT30" s="92">
        <f>SUM(AT26:AT29)</f>
        <v>0</v>
      </c>
      <c r="AU30" s="92">
        <f t="shared" si="8"/>
        <v>0</v>
      </c>
      <c r="AV30" s="91"/>
      <c r="AW30" s="93"/>
      <c r="AX30" s="91"/>
      <c r="AY30" s="94">
        <f>+IFERROR(AZ30/$I30,"-")</f>
        <v>0</v>
      </c>
      <c r="AZ30" s="92">
        <f>SUM(AZ26:AZ29)</f>
        <v>0</v>
      </c>
      <c r="BA30" s="92">
        <f>SUM(BA26:BA29)</f>
        <v>0</v>
      </c>
      <c r="BB30" s="92">
        <f t="shared" si="9"/>
        <v>0</v>
      </c>
      <c r="BC30" s="91"/>
      <c r="BD30" s="93"/>
      <c r="BE30" s="91"/>
      <c r="BF30" s="94">
        <f>+IFERROR(BG30/$I30,"-")</f>
        <v>0.24444444444444444</v>
      </c>
      <c r="BG30" s="92">
        <f>SUM(BG26:BG29)</f>
        <v>1183283200</v>
      </c>
      <c r="BH30" s="92">
        <f>SUM(BH26:BH29)</f>
        <v>0</v>
      </c>
      <c r="BI30" s="92">
        <f t="shared" si="10"/>
        <v>1183283200</v>
      </c>
      <c r="BJ30" s="91"/>
      <c r="BK30" s="93"/>
      <c r="BL30" s="91"/>
      <c r="BM30" s="94">
        <f t="shared" si="11"/>
        <v>0.2</v>
      </c>
      <c r="BN30" s="92">
        <f>SUM(BN26:BN29)</f>
        <v>968140800.00000012</v>
      </c>
      <c r="BO30" s="92">
        <f>SUM(BO26:BO29)</f>
        <v>0</v>
      </c>
      <c r="BP30" s="92">
        <f t="shared" si="12"/>
        <v>968140800.00000012</v>
      </c>
      <c r="BQ30" s="91"/>
      <c r="BR30" s="88"/>
      <c r="BS30" s="96"/>
      <c r="BT30" s="96"/>
      <c r="BU30" s="139"/>
      <c r="BV30" s="54"/>
      <c r="BW30" s="54"/>
      <c r="BX30" s="54"/>
      <c r="BY30" s="54"/>
      <c r="BZ30" s="54"/>
      <c r="CA30" s="54"/>
      <c r="CB30" s="54"/>
      <c r="CC30" s="54"/>
      <c r="CD30" s="58"/>
      <c r="CE30" s="58"/>
    </row>
    <row r="31" spans="1:83" ht="16.5" customHeight="1">
      <c r="A31" s="62"/>
      <c r="B31" s="1322">
        <f t="shared" ref="B31" si="13">+B26+1</f>
        <v>5</v>
      </c>
      <c r="C31" s="1531" t="s">
        <v>924</v>
      </c>
      <c r="D31" s="1343">
        <v>304.16500000000002</v>
      </c>
      <c r="E31" s="1324" t="s">
        <v>888</v>
      </c>
      <c r="F31" s="63" t="s">
        <v>388</v>
      </c>
      <c r="G31" s="64">
        <f>+$G$2*D31/1000</f>
        <v>334581500</v>
      </c>
      <c r="H31" s="64">
        <f>+G31*10%</f>
        <v>33458150</v>
      </c>
      <c r="I31" s="64">
        <f>SUM(G31:H31)</f>
        <v>368039650</v>
      </c>
      <c r="J31" s="63">
        <f t="shared" si="2"/>
        <v>0</v>
      </c>
      <c r="K31" s="134">
        <f>+IFERROR(R31+Y31+AF31+AM31+AT31+BA31+BH31+BO31,"-")</f>
        <v>0</v>
      </c>
      <c r="L31" s="134">
        <f>+I31-K31</f>
        <v>368039650</v>
      </c>
      <c r="M31" s="1331" t="s">
        <v>407</v>
      </c>
      <c r="N31" s="437"/>
      <c r="O31" s="437"/>
      <c r="P31" s="438"/>
      <c r="Q31" s="439">
        <f>+$I31*지급비율!G20</f>
        <v>0</v>
      </c>
      <c r="R31" s="439"/>
      <c r="S31" s="439">
        <f t="shared" si="3"/>
        <v>0</v>
      </c>
      <c r="T31" s="440"/>
      <c r="U31" s="67"/>
      <c r="V31" s="67"/>
      <c r="W31" s="135"/>
      <c r="X31" s="134">
        <f>+$I31*지급비율!N20</f>
        <v>0</v>
      </c>
      <c r="Y31" s="134"/>
      <c r="Z31" s="134">
        <f t="shared" si="4"/>
        <v>0</v>
      </c>
      <c r="AA31" s="145"/>
      <c r="AB31" s="67">
        <f>+EDATE(AI31,-1)</f>
        <v>46054</v>
      </c>
      <c r="AC31" s="67"/>
      <c r="AD31" s="135">
        <f>+IFERROR(AE31/$I31,"-")</f>
        <v>0.5</v>
      </c>
      <c r="AE31" s="134">
        <f>+$I31*지급비율!U20</f>
        <v>184019825</v>
      </c>
      <c r="AF31" s="134"/>
      <c r="AG31" s="134">
        <f t="shared" si="5"/>
        <v>184019825</v>
      </c>
      <c r="AH31" s="145"/>
      <c r="AI31" s="67">
        <f>+EDATE(AP31,-1)+1</f>
        <v>46082</v>
      </c>
      <c r="AJ31" s="67"/>
      <c r="AK31" s="135">
        <f t="shared" si="6"/>
        <v>0</v>
      </c>
      <c r="AL31" s="134">
        <f>+$I31*지급비율!AB20</f>
        <v>0</v>
      </c>
      <c r="AM31" s="134"/>
      <c r="AN31" s="134">
        <f t="shared" si="7"/>
        <v>0</v>
      </c>
      <c r="AO31" s="145"/>
      <c r="AP31" s="67">
        <f>+EDATE(AW31,-1)</f>
        <v>46111</v>
      </c>
      <c r="AQ31" s="67"/>
      <c r="AR31" s="135">
        <f>+IFERROR(AS31/$I31,"-")</f>
        <v>0</v>
      </c>
      <c r="AS31" s="134">
        <f>+$I31*지급비율!AI20</f>
        <v>0</v>
      </c>
      <c r="AT31" s="134"/>
      <c r="AU31" s="134">
        <f t="shared" si="8"/>
        <v>0</v>
      </c>
      <c r="AV31" s="145"/>
      <c r="AW31" s="67">
        <f>+EDATE(BD31,-1)</f>
        <v>46142</v>
      </c>
      <c r="AX31" s="67"/>
      <c r="AY31" s="135">
        <f>+IFERROR(AZ31/$I31,"-")</f>
        <v>0</v>
      </c>
      <c r="AZ31" s="134">
        <f>+$I31*지급비율!AP20</f>
        <v>0</v>
      </c>
      <c r="BA31" s="134"/>
      <c r="BB31" s="134">
        <f t="shared" si="9"/>
        <v>0</v>
      </c>
      <c r="BC31" s="145"/>
      <c r="BD31" s="67">
        <f>+EDATE(BK31,-1)</f>
        <v>46172</v>
      </c>
      <c r="BE31" s="67"/>
      <c r="BF31" s="135">
        <f>+IFERROR(BG31/$I31,"-")</f>
        <v>0.4</v>
      </c>
      <c r="BG31" s="134">
        <f>+$I31*지급비율!AW20</f>
        <v>147215860</v>
      </c>
      <c r="BH31" s="134"/>
      <c r="BI31" s="134">
        <f t="shared" si="10"/>
        <v>147215860</v>
      </c>
      <c r="BJ31" s="145"/>
      <c r="BK31" s="67">
        <v>46203</v>
      </c>
      <c r="BL31" s="67"/>
      <c r="BM31" s="135">
        <f t="shared" si="11"/>
        <v>0.1</v>
      </c>
      <c r="BN31" s="134">
        <f>+$I31*지급비율!BD20</f>
        <v>36803965</v>
      </c>
      <c r="BO31" s="134"/>
      <c r="BP31" s="134">
        <f t="shared" si="12"/>
        <v>36803965</v>
      </c>
      <c r="BQ31" s="145"/>
      <c r="BR31" s="73"/>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22"/>
      <c r="C32" s="1531"/>
      <c r="D32" s="1344"/>
      <c r="E32" s="1324"/>
      <c r="F32" s="75" t="s">
        <v>389</v>
      </c>
      <c r="G32" s="76">
        <f>+지급비율!F21*$D$31/1000</f>
        <v>91249500</v>
      </c>
      <c r="H32" s="76">
        <f>+G32*10%</f>
        <v>9124950</v>
      </c>
      <c r="I32" s="76">
        <f>SUM(G32:H32)</f>
        <v>100374450</v>
      </c>
      <c r="J32" s="75">
        <f t="shared" si="2"/>
        <v>0</v>
      </c>
      <c r="K32" s="80">
        <f>+IFERROR(R32+Y32+AF32+AM32+AT32+BA32+BH32+BO32,"-")</f>
        <v>0</v>
      </c>
      <c r="L32" s="80">
        <f>+I32-K32</f>
        <v>100374450</v>
      </c>
      <c r="M32" s="1332"/>
      <c r="N32" s="78">
        <v>46022</v>
      </c>
      <c r="O32" s="78"/>
      <c r="P32" s="79">
        <f>+IFERROR(Q32/$I32,"-")</f>
        <v>0.2</v>
      </c>
      <c r="Q32" s="70">
        <f>+$I32*지급비율!G21</f>
        <v>20074890</v>
      </c>
      <c r="R32" s="70"/>
      <c r="S32" s="70">
        <f t="shared" si="3"/>
        <v>20074890</v>
      </c>
      <c r="T32" s="81"/>
      <c r="U32" s="78">
        <v>46053</v>
      </c>
      <c r="V32" s="78"/>
      <c r="W32" s="79">
        <f>+IFERROR(X32/$I32,"-")</f>
        <v>0.2</v>
      </c>
      <c r="X32" s="70">
        <f>+$I32*지급비율!N21</f>
        <v>20074890</v>
      </c>
      <c r="Y32" s="70"/>
      <c r="Z32" s="70">
        <f t="shared" si="4"/>
        <v>20074890</v>
      </c>
      <c r="AA32" s="81"/>
      <c r="AB32" s="78">
        <v>46081</v>
      </c>
      <c r="AC32" s="78"/>
      <c r="AD32" s="79">
        <f>+IFERROR(AE32/$I32,"-")</f>
        <v>0.5</v>
      </c>
      <c r="AE32" s="99">
        <f>+$I32*지급비율!U21</f>
        <v>50187225</v>
      </c>
      <c r="AF32" s="70"/>
      <c r="AG32" s="70">
        <f t="shared" si="5"/>
        <v>50187225</v>
      </c>
      <c r="AH32" s="81"/>
      <c r="AI32" s="78"/>
      <c r="AJ32" s="72"/>
      <c r="AK32" s="79">
        <f t="shared" si="6"/>
        <v>0</v>
      </c>
      <c r="AL32" s="99">
        <f>+$I32*지급비율!AB21</f>
        <v>0</v>
      </c>
      <c r="AM32" s="70"/>
      <c r="AN32" s="70">
        <f t="shared" si="7"/>
        <v>0</v>
      </c>
      <c r="AO32" s="81"/>
      <c r="AP32" s="78"/>
      <c r="AQ32" s="72"/>
      <c r="AR32" s="79"/>
      <c r="AS32" s="99">
        <f>+$I32*지급비율!AI21</f>
        <v>0</v>
      </c>
      <c r="AT32" s="70"/>
      <c r="AU32" s="70">
        <f t="shared" si="8"/>
        <v>0</v>
      </c>
      <c r="AV32" s="81"/>
      <c r="AW32" s="78"/>
      <c r="AX32" s="72"/>
      <c r="AY32" s="79"/>
      <c r="AZ32" s="99">
        <f>+$I32*지급비율!AP21</f>
        <v>0</v>
      </c>
      <c r="BA32" s="70"/>
      <c r="BB32" s="70">
        <f t="shared" si="9"/>
        <v>0</v>
      </c>
      <c r="BC32" s="81"/>
      <c r="BD32" s="78"/>
      <c r="BE32" s="72"/>
      <c r="BF32" s="79"/>
      <c r="BG32" s="99">
        <f>+$I32*지급비율!AW21</f>
        <v>0</v>
      </c>
      <c r="BH32" s="70"/>
      <c r="BI32" s="70">
        <f t="shared" si="10"/>
        <v>0</v>
      </c>
      <c r="BJ32" s="81"/>
      <c r="BK32" s="138">
        <v>46142</v>
      </c>
      <c r="BL32" s="72"/>
      <c r="BM32" s="79">
        <f t="shared" si="11"/>
        <v>0.1</v>
      </c>
      <c r="BN32" s="99">
        <f>+$I32*지급비율!BD21</f>
        <v>10037445</v>
      </c>
      <c r="BO32" s="70"/>
      <c r="BP32" s="70">
        <f t="shared" si="12"/>
        <v>10037445</v>
      </c>
      <c r="BQ32" s="81"/>
      <c r="BR32" s="73"/>
      <c r="BS32" s="74" t="b">
        <f>+Q32+X32+AE32+AS32+AZ32+BG32+BN32=I32</f>
        <v>1</v>
      </c>
      <c r="BT32" s="74" t="b">
        <f>+R32+Y32+AF32+AT32+BA32+BH32+BO32=K32</f>
        <v>1</v>
      </c>
      <c r="BU32" s="74" t="b">
        <f>+BG32+BG33+AZ32+AZ33+AS32+AS33+AE32+AE33+X32+X33+Q32+Q33+BN32+BN33=([5]지급비율!$F$21+[5]지급비율!$F$22)*1.1*D31/1000</f>
        <v>1</v>
      </c>
      <c r="BV32" s="54"/>
      <c r="BW32" s="54"/>
      <c r="BX32" s="54"/>
      <c r="BY32" s="54"/>
      <c r="BZ32" s="54"/>
      <c r="CA32" s="54"/>
      <c r="CB32" s="54"/>
      <c r="CC32" s="54"/>
      <c r="CD32" s="58"/>
      <c r="CE32" s="58"/>
    </row>
    <row r="33" spans="1:83" ht="16.5" customHeight="1">
      <c r="A33" s="62"/>
      <c r="B33" s="1322"/>
      <c r="C33" s="1531"/>
      <c r="D33" s="1344"/>
      <c r="E33" s="1324"/>
      <c r="F33" s="75" t="s">
        <v>390</v>
      </c>
      <c r="G33" s="76">
        <f>+지급비율!F22*$D$31/1000</f>
        <v>60833000.000000007</v>
      </c>
      <c r="H33" s="76">
        <f>+G33*10%</f>
        <v>6083300.0000000009</v>
      </c>
      <c r="I33" s="76">
        <f>SUM(G33:H33)</f>
        <v>66916300.000000007</v>
      </c>
      <c r="J33" s="75">
        <f t="shared" si="2"/>
        <v>0</v>
      </c>
      <c r="K33" s="80">
        <f>+IFERROR(R33+Y33+AF33+AM33+AT33+BA33+BH33+BO33,"-")</f>
        <v>0</v>
      </c>
      <c r="L33" s="80">
        <f>+I33-K33</f>
        <v>66916300.000000007</v>
      </c>
      <c r="M33" s="1332"/>
      <c r="N33" s="78">
        <v>46022</v>
      </c>
      <c r="O33" s="78"/>
      <c r="P33" s="79">
        <f>+IFERROR(Q33/$I33,"-")</f>
        <v>0.2</v>
      </c>
      <c r="Q33" s="70">
        <f>+$I33*지급비율!G22</f>
        <v>13383260.000000002</v>
      </c>
      <c r="R33" s="70"/>
      <c r="S33" s="70">
        <f t="shared" si="3"/>
        <v>13383260.000000002</v>
      </c>
      <c r="T33" s="81"/>
      <c r="U33" s="78">
        <v>46053</v>
      </c>
      <c r="V33" s="78"/>
      <c r="W33" s="79">
        <f>+IFERROR(X33/$I33,"-")</f>
        <v>0.2</v>
      </c>
      <c r="X33" s="70">
        <f>+$I33*지급비율!N22</f>
        <v>13383260.000000002</v>
      </c>
      <c r="Y33" s="70"/>
      <c r="Z33" s="70">
        <f t="shared" si="4"/>
        <v>13383260.000000002</v>
      </c>
      <c r="AA33" s="81"/>
      <c r="AB33" s="78">
        <v>46081</v>
      </c>
      <c r="AC33" s="78"/>
      <c r="AD33" s="79">
        <f>+IFERROR(AE33/$I33,"-")</f>
        <v>0.5</v>
      </c>
      <c r="AE33" s="99">
        <f>+$I33*지급비율!U22</f>
        <v>33458150.000000004</v>
      </c>
      <c r="AF33" s="70"/>
      <c r="AG33" s="70">
        <f t="shared" si="5"/>
        <v>33458150.000000004</v>
      </c>
      <c r="AH33" s="81"/>
      <c r="AI33" s="72"/>
      <c r="AJ33" s="72"/>
      <c r="AK33" s="79">
        <f t="shared" si="6"/>
        <v>0</v>
      </c>
      <c r="AL33" s="99">
        <f>+$I33*지급비율!AB22</f>
        <v>0</v>
      </c>
      <c r="AM33" s="70"/>
      <c r="AN33" s="70">
        <f t="shared" si="7"/>
        <v>0</v>
      </c>
      <c r="AO33" s="81"/>
      <c r="AP33" s="72"/>
      <c r="AQ33" s="72"/>
      <c r="AR33" s="79"/>
      <c r="AS33" s="99">
        <f>+$I33*지급비율!AI22</f>
        <v>0</v>
      </c>
      <c r="AT33" s="70"/>
      <c r="AU33" s="70">
        <f t="shared" si="8"/>
        <v>0</v>
      </c>
      <c r="AV33" s="81"/>
      <c r="AW33" s="72"/>
      <c r="AX33" s="72"/>
      <c r="AY33" s="79"/>
      <c r="AZ33" s="99">
        <f>+$I33*지급비율!AP22</f>
        <v>0</v>
      </c>
      <c r="BA33" s="70"/>
      <c r="BB33" s="70">
        <f t="shared" si="9"/>
        <v>0</v>
      </c>
      <c r="BC33" s="81"/>
      <c r="BD33" s="72"/>
      <c r="BE33" s="72"/>
      <c r="BF33" s="79"/>
      <c r="BG33" s="99">
        <f>+$I33*지급비율!AW22</f>
        <v>0</v>
      </c>
      <c r="BH33" s="70"/>
      <c r="BI33" s="70">
        <f t="shared" si="10"/>
        <v>0</v>
      </c>
      <c r="BJ33" s="81"/>
      <c r="BK33" s="72">
        <v>46142</v>
      </c>
      <c r="BL33" s="72"/>
      <c r="BM33" s="79">
        <f t="shared" si="11"/>
        <v>0.1</v>
      </c>
      <c r="BN33" s="99">
        <f>+$I33*지급비율!BD22</f>
        <v>6691630.0000000009</v>
      </c>
      <c r="BO33" s="70"/>
      <c r="BP33" s="70">
        <f t="shared" si="12"/>
        <v>6691630.0000000009</v>
      </c>
      <c r="BQ33" s="81"/>
      <c r="BR33" s="73"/>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22"/>
      <c r="C34" s="1531"/>
      <c r="D34" s="1344"/>
      <c r="E34" s="1324"/>
      <c r="F34" s="101" t="s">
        <v>391</v>
      </c>
      <c r="G34" s="102">
        <f>+지급비율!F23*$D$31/1000</f>
        <v>60833000.000000007</v>
      </c>
      <c r="H34" s="102">
        <f>+G34*0.1</f>
        <v>6083300.0000000009</v>
      </c>
      <c r="I34" s="102">
        <f>SUM(G34:H34)</f>
        <v>66916300.000000007</v>
      </c>
      <c r="J34" s="101">
        <f t="shared" si="2"/>
        <v>0</v>
      </c>
      <c r="K34" s="106">
        <f>+IFERROR(R34+Y34+AF34+AM34+AT34+BA34+BH34+BO34,"-")</f>
        <v>0</v>
      </c>
      <c r="L34" s="106">
        <f>+I34-K34</f>
        <v>66916300.000000007</v>
      </c>
      <c r="M34" s="1333"/>
      <c r="N34" s="85"/>
      <c r="O34" s="431"/>
      <c r="P34" s="432"/>
      <c r="Q34" s="420">
        <f>+$I34*지급비율!G23</f>
        <v>0</v>
      </c>
      <c r="R34" s="420"/>
      <c r="S34" s="420">
        <f t="shared" si="3"/>
        <v>0</v>
      </c>
      <c r="T34" s="431"/>
      <c r="U34" s="85"/>
      <c r="V34" s="101"/>
      <c r="W34" s="105"/>
      <c r="X34" s="70">
        <f>+$I34*지급비율!N23</f>
        <v>0</v>
      </c>
      <c r="Y34" s="106"/>
      <c r="Z34" s="106">
        <f t="shared" si="4"/>
        <v>0</v>
      </c>
      <c r="AA34" s="101"/>
      <c r="AB34" s="85"/>
      <c r="AC34" s="101"/>
      <c r="AD34" s="105"/>
      <c r="AE34" s="99">
        <f>+$I34*지급비율!U23</f>
        <v>0</v>
      </c>
      <c r="AF34" s="106"/>
      <c r="AG34" s="106">
        <f t="shared" si="5"/>
        <v>0</v>
      </c>
      <c r="AH34" s="101"/>
      <c r="AI34" s="85"/>
      <c r="AJ34" s="101"/>
      <c r="AK34" s="105">
        <f t="shared" si="6"/>
        <v>0</v>
      </c>
      <c r="AL34" s="99">
        <f>+$I34*지급비율!AB23</f>
        <v>0</v>
      </c>
      <c r="AM34" s="106"/>
      <c r="AN34" s="106">
        <f t="shared" si="7"/>
        <v>0</v>
      </c>
      <c r="AO34" s="101"/>
      <c r="AP34" s="85"/>
      <c r="AQ34" s="101"/>
      <c r="AR34" s="105"/>
      <c r="AS34" s="99">
        <f>+$I34*지급비율!AI23</f>
        <v>0</v>
      </c>
      <c r="AT34" s="106"/>
      <c r="AU34" s="106">
        <f t="shared" si="8"/>
        <v>0</v>
      </c>
      <c r="AV34" s="101"/>
      <c r="AW34" s="85"/>
      <c r="AX34" s="101"/>
      <c r="AY34" s="105"/>
      <c r="AZ34" s="99">
        <f>+$I34*지급비율!AP23</f>
        <v>0</v>
      </c>
      <c r="BA34" s="106"/>
      <c r="BB34" s="106">
        <f t="shared" si="9"/>
        <v>0</v>
      </c>
      <c r="BC34" s="101"/>
      <c r="BD34" s="85"/>
      <c r="BE34" s="101"/>
      <c r="BF34" s="105"/>
      <c r="BG34" s="99">
        <f>+$I34*지급비율!AW23</f>
        <v>0</v>
      </c>
      <c r="BH34" s="106"/>
      <c r="BI34" s="106">
        <f t="shared" si="10"/>
        <v>0</v>
      </c>
      <c r="BJ34" s="101"/>
      <c r="BK34" s="104">
        <v>46142</v>
      </c>
      <c r="BL34" s="101"/>
      <c r="BM34" s="105">
        <f t="shared" si="11"/>
        <v>1</v>
      </c>
      <c r="BN34" s="99">
        <f>+$I34*지급비율!BD23</f>
        <v>66916300.000000007</v>
      </c>
      <c r="BO34" s="106"/>
      <c r="BP34" s="106">
        <f t="shared" si="12"/>
        <v>66916300.000000007</v>
      </c>
      <c r="BQ34" s="101"/>
      <c r="BR34" s="88"/>
      <c r="BS34" s="89" t="b">
        <f>+Q34+X34+AE34+AS34+AZ34+BG34+BN34=I34</f>
        <v>1</v>
      </c>
      <c r="BT34" s="90" t="b">
        <f>+R34+Y34+AF34+AT34+BA34+BH34+BO34=K34</f>
        <v>1</v>
      </c>
      <c r="BU34" s="90"/>
      <c r="BV34" s="54"/>
      <c r="BW34" s="54"/>
      <c r="BX34" s="54"/>
      <c r="BY34" s="54"/>
      <c r="BZ34" s="54"/>
      <c r="CA34" s="54"/>
      <c r="CB34" s="54"/>
      <c r="CC34" s="54"/>
      <c r="CD34" s="58"/>
      <c r="CE34" s="58"/>
    </row>
    <row r="35" spans="1:83" ht="16.5" customHeight="1">
      <c r="A35" s="62"/>
      <c r="B35" s="1322"/>
      <c r="C35" s="1531"/>
      <c r="D35" s="1345"/>
      <c r="E35" s="1324"/>
      <c r="F35" s="91" t="s">
        <v>392</v>
      </c>
      <c r="G35" s="92">
        <f>SUM(G31:G34)</f>
        <v>547497000</v>
      </c>
      <c r="H35" s="92">
        <f>SUM(H31:H34)</f>
        <v>54749700</v>
      </c>
      <c r="I35" s="92">
        <f>SUM(I31:I34)</f>
        <v>602246700</v>
      </c>
      <c r="J35" s="91">
        <f t="shared" si="2"/>
        <v>0</v>
      </c>
      <c r="K35" s="92">
        <f>SUM(K31:K34)</f>
        <v>0</v>
      </c>
      <c r="L35" s="92">
        <f>SUM(L31:L34)</f>
        <v>602246700</v>
      </c>
      <c r="M35" s="419">
        <f>+Q32+Q33</f>
        <v>33458150</v>
      </c>
      <c r="N35" s="93"/>
      <c r="O35" s="435"/>
      <c r="P35" s="436">
        <f>+IFERROR(Q35/$I35,"-")</f>
        <v>5.5555555555555552E-2</v>
      </c>
      <c r="Q35" s="419">
        <f>SUM(Q31:Q34)</f>
        <v>33458150</v>
      </c>
      <c r="R35" s="419">
        <f>SUM(R31:R34)</f>
        <v>0</v>
      </c>
      <c r="S35" s="419">
        <f t="shared" si="3"/>
        <v>33458150</v>
      </c>
      <c r="T35" s="435"/>
      <c r="U35" s="93"/>
      <c r="V35" s="91"/>
      <c r="W35" s="94">
        <f>+IFERROR(X35/$I35,"-")</f>
        <v>5.5555555555555552E-2</v>
      </c>
      <c r="X35" s="92">
        <f>SUM(X31:X34)</f>
        <v>33458150</v>
      </c>
      <c r="Y35" s="92">
        <f>SUM(Y31:Y34)</f>
        <v>0</v>
      </c>
      <c r="Z35" s="92">
        <f t="shared" si="4"/>
        <v>33458150</v>
      </c>
      <c r="AA35" s="91"/>
      <c r="AB35" s="93"/>
      <c r="AC35" s="91"/>
      <c r="AD35" s="94">
        <f>+IFERROR(AE35/$I35,"-")</f>
        <v>0.44444444444444442</v>
      </c>
      <c r="AE35" s="92">
        <f>SUM(AE31:AE34)</f>
        <v>267665200</v>
      </c>
      <c r="AF35" s="92">
        <f>SUM(AF31:AF34)</f>
        <v>0</v>
      </c>
      <c r="AG35" s="92">
        <f t="shared" si="5"/>
        <v>267665200</v>
      </c>
      <c r="AH35" s="91"/>
      <c r="AI35" s="93"/>
      <c r="AJ35" s="91"/>
      <c r="AK35" s="94">
        <f t="shared" si="6"/>
        <v>0</v>
      </c>
      <c r="AL35" s="92">
        <f>SUM(AL31:AL34)</f>
        <v>0</v>
      </c>
      <c r="AM35" s="92">
        <f>SUM(AM31:AM34)</f>
        <v>0</v>
      </c>
      <c r="AN35" s="92">
        <f t="shared" si="7"/>
        <v>0</v>
      </c>
      <c r="AO35" s="91"/>
      <c r="AP35" s="93"/>
      <c r="AQ35" s="91"/>
      <c r="AR35" s="94">
        <f>+IFERROR(AS35/$I35,"-")</f>
        <v>0</v>
      </c>
      <c r="AS35" s="92">
        <f>SUM(AS31:AS34)</f>
        <v>0</v>
      </c>
      <c r="AT35" s="92">
        <f>SUM(AT31:AT34)</f>
        <v>0</v>
      </c>
      <c r="AU35" s="92">
        <f t="shared" si="8"/>
        <v>0</v>
      </c>
      <c r="AV35" s="91"/>
      <c r="AW35" s="93"/>
      <c r="AX35" s="91"/>
      <c r="AY35" s="94">
        <f>+IFERROR(AZ35/$I35,"-")</f>
        <v>0</v>
      </c>
      <c r="AZ35" s="92">
        <f>SUM(AZ31:AZ34)</f>
        <v>0</v>
      </c>
      <c r="BA35" s="92">
        <f>SUM(BA31:BA34)</f>
        <v>0</v>
      </c>
      <c r="BB35" s="92">
        <f t="shared" si="9"/>
        <v>0</v>
      </c>
      <c r="BC35" s="91"/>
      <c r="BD35" s="93"/>
      <c r="BE35" s="91"/>
      <c r="BF35" s="94">
        <f>+IFERROR(BG35/$I35,"-")</f>
        <v>0.24444444444444444</v>
      </c>
      <c r="BG35" s="92">
        <f>SUM(BG31:BG34)</f>
        <v>147215860</v>
      </c>
      <c r="BH35" s="92">
        <f>SUM(BH31:BH34)</f>
        <v>0</v>
      </c>
      <c r="BI35" s="92">
        <f t="shared" si="10"/>
        <v>147215860</v>
      </c>
      <c r="BJ35" s="91"/>
      <c r="BK35" s="93"/>
      <c r="BL35" s="91"/>
      <c r="BM35" s="94">
        <f t="shared" si="11"/>
        <v>0.2</v>
      </c>
      <c r="BN35" s="92">
        <f>SUM(BN31:BN34)</f>
        <v>120449340</v>
      </c>
      <c r="BO35" s="92">
        <f>SUM(BO31:BO34)</f>
        <v>0</v>
      </c>
      <c r="BP35" s="92">
        <f t="shared" si="12"/>
        <v>120449340</v>
      </c>
      <c r="BQ35" s="91"/>
      <c r="BR35" s="88"/>
      <c r="BS35" s="96"/>
      <c r="BT35" s="96"/>
      <c r="BU35" s="139"/>
      <c r="BV35" s="54"/>
      <c r="BW35" s="54"/>
      <c r="BX35" s="54"/>
      <c r="BY35" s="54"/>
      <c r="BZ35" s="54"/>
      <c r="CA35" s="54"/>
      <c r="CB35" s="54"/>
      <c r="CC35" s="54"/>
      <c r="CD35" s="58"/>
      <c r="CE35" s="58"/>
    </row>
    <row r="36" spans="1:83" ht="16.5" customHeight="1">
      <c r="A36" s="62"/>
      <c r="B36" s="1322">
        <f t="shared" ref="B36" si="14">+B31+1</f>
        <v>6</v>
      </c>
      <c r="C36" s="1531" t="s">
        <v>925</v>
      </c>
      <c r="D36" s="1343">
        <v>605.15499999999997</v>
      </c>
      <c r="E36" s="1324" t="s">
        <v>888</v>
      </c>
      <c r="F36" s="63" t="s">
        <v>388</v>
      </c>
      <c r="G36" s="64">
        <f>+$G$2*D36/1000</f>
        <v>665670500</v>
      </c>
      <c r="H36" s="64">
        <f>+G36*10%</f>
        <v>66567050</v>
      </c>
      <c r="I36" s="64">
        <f>SUM(G36:H36)</f>
        <v>732237550</v>
      </c>
      <c r="J36" s="63">
        <f t="shared" si="2"/>
        <v>0</v>
      </c>
      <c r="K36" s="134">
        <f>+IFERROR(R36+Y36+AF36+AM36+AT36+BA36+BH36+BO36,"-")</f>
        <v>0</v>
      </c>
      <c r="L36" s="134">
        <f>+I36-K36</f>
        <v>732237550</v>
      </c>
      <c r="M36" s="1331" t="s">
        <v>407</v>
      </c>
      <c r="N36" s="67"/>
      <c r="O36" s="437"/>
      <c r="P36" s="438"/>
      <c r="Q36" s="416">
        <f>+$I36*지급비율!G20</f>
        <v>0</v>
      </c>
      <c r="R36" s="416"/>
      <c r="S36" s="416">
        <f t="shared" si="3"/>
        <v>0</v>
      </c>
      <c r="T36" s="494"/>
      <c r="U36" s="67"/>
      <c r="V36" s="67"/>
      <c r="W36" s="135"/>
      <c r="X36" s="134">
        <f>+$I36*지급비율!N20</f>
        <v>0</v>
      </c>
      <c r="Y36" s="134"/>
      <c r="Z36" s="134">
        <f t="shared" si="4"/>
        <v>0</v>
      </c>
      <c r="AA36" s="145"/>
      <c r="AB36" s="67">
        <f>+EDATE(AI36,-1)</f>
        <v>46054</v>
      </c>
      <c r="AC36" s="67"/>
      <c r="AD36" s="135">
        <f>+IFERROR(AE36/$I36,"-")</f>
        <v>0.5</v>
      </c>
      <c r="AE36" s="134">
        <f>+$I36*지급비율!U20</f>
        <v>366118775</v>
      </c>
      <c r="AF36" s="134"/>
      <c r="AG36" s="134">
        <f t="shared" si="5"/>
        <v>366118775</v>
      </c>
      <c r="AH36" s="145"/>
      <c r="AI36" s="67">
        <f>+EDATE(AP36,-1)+1</f>
        <v>46082</v>
      </c>
      <c r="AJ36" s="67"/>
      <c r="AK36" s="135">
        <f t="shared" si="6"/>
        <v>0</v>
      </c>
      <c r="AL36" s="134">
        <f>+$I36*지급비율!AB20</f>
        <v>0</v>
      </c>
      <c r="AM36" s="134"/>
      <c r="AN36" s="134">
        <f t="shared" si="7"/>
        <v>0</v>
      </c>
      <c r="AO36" s="145"/>
      <c r="AP36" s="67">
        <f>+EDATE(AW36,-1)</f>
        <v>46111</v>
      </c>
      <c r="AQ36" s="67"/>
      <c r="AR36" s="135">
        <f>+IFERROR(AS36/$I36,"-")</f>
        <v>0</v>
      </c>
      <c r="AS36" s="134">
        <f>+$I36*지급비율!AI20</f>
        <v>0</v>
      </c>
      <c r="AT36" s="134"/>
      <c r="AU36" s="134">
        <f t="shared" si="8"/>
        <v>0</v>
      </c>
      <c r="AV36" s="145"/>
      <c r="AW36" s="67">
        <f>+EDATE(BD36,-1)</f>
        <v>46142</v>
      </c>
      <c r="AX36" s="67"/>
      <c r="AY36" s="135">
        <f>+IFERROR(AZ36/$I36,"-")</f>
        <v>0</v>
      </c>
      <c r="AZ36" s="134">
        <f>+$I36*지급비율!AP20</f>
        <v>0</v>
      </c>
      <c r="BA36" s="134"/>
      <c r="BB36" s="134">
        <f t="shared" si="9"/>
        <v>0</v>
      </c>
      <c r="BC36" s="145"/>
      <c r="BD36" s="67">
        <f>+EDATE(BK36,-1)</f>
        <v>46172</v>
      </c>
      <c r="BE36" s="67"/>
      <c r="BF36" s="135">
        <f>+IFERROR(BG36/$I36,"-")</f>
        <v>0.4</v>
      </c>
      <c r="BG36" s="134">
        <f>+$I36*지급비율!AW20</f>
        <v>292895020</v>
      </c>
      <c r="BH36" s="134"/>
      <c r="BI36" s="134">
        <f t="shared" si="10"/>
        <v>292895020</v>
      </c>
      <c r="BJ36" s="145"/>
      <c r="BK36" s="67">
        <v>46203</v>
      </c>
      <c r="BL36" s="67"/>
      <c r="BM36" s="135">
        <f t="shared" si="11"/>
        <v>0.1</v>
      </c>
      <c r="BN36" s="134">
        <f>+$I36*지급비율!BD20</f>
        <v>73223755</v>
      </c>
      <c r="BO36" s="134"/>
      <c r="BP36" s="134">
        <f t="shared" si="12"/>
        <v>73223755</v>
      </c>
      <c r="BQ36" s="145"/>
      <c r="BR36" s="73"/>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22"/>
      <c r="C37" s="1531"/>
      <c r="D37" s="1344"/>
      <c r="E37" s="1324"/>
      <c r="F37" s="75" t="s">
        <v>389</v>
      </c>
      <c r="G37" s="76">
        <f>+지급비율!F21*D36/1000</f>
        <v>181546500</v>
      </c>
      <c r="H37" s="76">
        <f>+G37*10%</f>
        <v>18154650</v>
      </c>
      <c r="I37" s="76">
        <f>SUM(G37:H37)</f>
        <v>199701150</v>
      </c>
      <c r="J37" s="75">
        <f t="shared" si="2"/>
        <v>0</v>
      </c>
      <c r="K37" s="80">
        <f>+IFERROR(R37+Y37+AF37+AM37+AT37+BA37+BH37+BO37,"-")</f>
        <v>0</v>
      </c>
      <c r="L37" s="80">
        <f>+I37-K37</f>
        <v>199701150</v>
      </c>
      <c r="M37" s="1332"/>
      <c r="N37" s="78">
        <v>46022</v>
      </c>
      <c r="O37" s="78"/>
      <c r="P37" s="79">
        <f>+IFERROR(Q37/$I37,"-")</f>
        <v>0.2</v>
      </c>
      <c r="Q37" s="70">
        <f>+$I37*지급비율!G21</f>
        <v>39940230</v>
      </c>
      <c r="R37" s="70"/>
      <c r="S37" s="70">
        <f t="shared" si="3"/>
        <v>39940230</v>
      </c>
      <c r="T37" s="81"/>
      <c r="U37" s="78">
        <v>46053</v>
      </c>
      <c r="V37" s="78"/>
      <c r="W37" s="79">
        <f>+IFERROR(X37/$I37,"-")</f>
        <v>0.2</v>
      </c>
      <c r="X37" s="70">
        <f>+$I37*지급비율!N21</f>
        <v>39940230</v>
      </c>
      <c r="Y37" s="70"/>
      <c r="Z37" s="70">
        <f t="shared" si="4"/>
        <v>39940230</v>
      </c>
      <c r="AA37" s="81"/>
      <c r="AB37" s="78">
        <v>46081</v>
      </c>
      <c r="AC37" s="78"/>
      <c r="AD37" s="79">
        <f>+IFERROR(AE37/$I37,"-")</f>
        <v>0.5</v>
      </c>
      <c r="AE37" s="99">
        <f>+$I37*지급비율!U21</f>
        <v>99850575</v>
      </c>
      <c r="AF37" s="70"/>
      <c r="AG37" s="70">
        <f t="shared" si="5"/>
        <v>99850575</v>
      </c>
      <c r="AH37" s="81"/>
      <c r="AI37" s="78"/>
      <c r="AJ37" s="72"/>
      <c r="AK37" s="79">
        <f t="shared" si="6"/>
        <v>0</v>
      </c>
      <c r="AL37" s="99">
        <f>+$I37*지급비율!AB21</f>
        <v>0</v>
      </c>
      <c r="AM37" s="70"/>
      <c r="AN37" s="70">
        <f t="shared" si="7"/>
        <v>0</v>
      </c>
      <c r="AO37" s="81"/>
      <c r="AP37" s="78"/>
      <c r="AQ37" s="72"/>
      <c r="AR37" s="79"/>
      <c r="AS37" s="99">
        <f>+$I37*지급비율!AI21</f>
        <v>0</v>
      </c>
      <c r="AT37" s="70"/>
      <c r="AU37" s="70">
        <f t="shared" si="8"/>
        <v>0</v>
      </c>
      <c r="AV37" s="81"/>
      <c r="AW37" s="78"/>
      <c r="AX37" s="72"/>
      <c r="AY37" s="79"/>
      <c r="AZ37" s="99">
        <f>+$I37*지급비율!AP21</f>
        <v>0</v>
      </c>
      <c r="BA37" s="70"/>
      <c r="BB37" s="70">
        <f t="shared" si="9"/>
        <v>0</v>
      </c>
      <c r="BC37" s="81"/>
      <c r="BD37" s="78"/>
      <c r="BE37" s="72"/>
      <c r="BF37" s="79"/>
      <c r="BG37" s="99">
        <f>+$I37*지급비율!AW21</f>
        <v>0</v>
      </c>
      <c r="BH37" s="70"/>
      <c r="BI37" s="70">
        <f t="shared" si="10"/>
        <v>0</v>
      </c>
      <c r="BJ37" s="81"/>
      <c r="BK37" s="138">
        <v>46142</v>
      </c>
      <c r="BL37" s="72"/>
      <c r="BM37" s="79">
        <f t="shared" si="11"/>
        <v>0.1</v>
      </c>
      <c r="BN37" s="99">
        <f>+$I37*지급비율!BD21</f>
        <v>19970115</v>
      </c>
      <c r="BO37" s="70"/>
      <c r="BP37" s="70">
        <f t="shared" si="12"/>
        <v>19970115</v>
      </c>
      <c r="BQ37" s="81"/>
      <c r="BR37" s="73"/>
      <c r="BS37" s="74" t="b">
        <f>+Q37+X37+AE37+AS37+AZ37+BG37+BN37=I37</f>
        <v>1</v>
      </c>
      <c r="BT37" s="74" t="b">
        <f>+R37+Y37+AF37+AT37+BA37+BH37+BO37=K37</f>
        <v>1</v>
      </c>
      <c r="BU37" s="74" t="b">
        <f>+BG37+BG38+AZ37+AZ38+AS37+AS38+AE37+AE38+X37+X38+Q37+Q38+BN37+BN38=([5]지급비율!$F$21+[5]지급비율!$F$22)*1.1*D36/1000</f>
        <v>1</v>
      </c>
      <c r="BV37" s="54"/>
      <c r="BW37" s="54"/>
      <c r="BX37" s="54"/>
      <c r="BY37" s="54"/>
      <c r="BZ37" s="54"/>
      <c r="CA37" s="54"/>
      <c r="CB37" s="54"/>
      <c r="CC37" s="54"/>
      <c r="CD37" s="58"/>
      <c r="CE37" s="58"/>
    </row>
    <row r="38" spans="1:83" ht="16.5" customHeight="1">
      <c r="A38" s="62"/>
      <c r="B38" s="1322"/>
      <c r="C38" s="1531"/>
      <c r="D38" s="1344"/>
      <c r="E38" s="1324"/>
      <c r="F38" s="75" t="s">
        <v>390</v>
      </c>
      <c r="G38" s="76">
        <f>+지급비율!F22*D36/1000</f>
        <v>121031000</v>
      </c>
      <c r="H38" s="76">
        <f>+G38*10%</f>
        <v>12103100</v>
      </c>
      <c r="I38" s="76">
        <f>SUM(G38:H38)</f>
        <v>133134100</v>
      </c>
      <c r="J38" s="75">
        <f t="shared" si="2"/>
        <v>0</v>
      </c>
      <c r="K38" s="80">
        <f>+IFERROR(R38+Y38+AF38+AM38+AT38+BA38+BH38+BO38,"-")</f>
        <v>0</v>
      </c>
      <c r="L38" s="80">
        <f>+I38-K38</f>
        <v>133134100</v>
      </c>
      <c r="M38" s="1332"/>
      <c r="N38" s="78">
        <v>46022</v>
      </c>
      <c r="O38" s="78"/>
      <c r="P38" s="79">
        <f>+IFERROR(Q38/$I38,"-")</f>
        <v>0.2</v>
      </c>
      <c r="Q38" s="70">
        <f>+$I38*지급비율!G22</f>
        <v>26626820</v>
      </c>
      <c r="R38" s="70"/>
      <c r="S38" s="70">
        <f t="shared" si="3"/>
        <v>26626820</v>
      </c>
      <c r="T38" s="81"/>
      <c r="U38" s="78">
        <v>46053</v>
      </c>
      <c r="V38" s="78"/>
      <c r="W38" s="79">
        <f>+IFERROR(X38/$I38,"-")</f>
        <v>0.2</v>
      </c>
      <c r="X38" s="70">
        <f>+$I38*지급비율!N22</f>
        <v>26626820</v>
      </c>
      <c r="Y38" s="70"/>
      <c r="Z38" s="70">
        <f t="shared" si="4"/>
        <v>26626820</v>
      </c>
      <c r="AA38" s="81"/>
      <c r="AB38" s="78">
        <v>46081</v>
      </c>
      <c r="AC38" s="78"/>
      <c r="AD38" s="79">
        <f>+IFERROR(AE38/$I38,"-")</f>
        <v>0.5</v>
      </c>
      <c r="AE38" s="99">
        <f>+$I38*지급비율!U22</f>
        <v>66567050</v>
      </c>
      <c r="AF38" s="70"/>
      <c r="AG38" s="70">
        <f t="shared" si="5"/>
        <v>66567050</v>
      </c>
      <c r="AH38" s="81"/>
      <c r="AI38" s="72"/>
      <c r="AJ38" s="72"/>
      <c r="AK38" s="79">
        <f t="shared" si="6"/>
        <v>0</v>
      </c>
      <c r="AL38" s="99">
        <f>+$I38*지급비율!AB22</f>
        <v>0</v>
      </c>
      <c r="AM38" s="70"/>
      <c r="AN38" s="70">
        <f t="shared" si="7"/>
        <v>0</v>
      </c>
      <c r="AO38" s="81"/>
      <c r="AP38" s="72"/>
      <c r="AQ38" s="72"/>
      <c r="AR38" s="79"/>
      <c r="AS38" s="99">
        <f>+$I38*지급비율!AI22</f>
        <v>0</v>
      </c>
      <c r="AT38" s="70"/>
      <c r="AU38" s="70">
        <f t="shared" si="8"/>
        <v>0</v>
      </c>
      <c r="AV38" s="81"/>
      <c r="AW38" s="72"/>
      <c r="AX38" s="72"/>
      <c r="AY38" s="79"/>
      <c r="AZ38" s="99">
        <f>+$I38*지급비율!AP22</f>
        <v>0</v>
      </c>
      <c r="BA38" s="70"/>
      <c r="BB38" s="70">
        <f t="shared" si="9"/>
        <v>0</v>
      </c>
      <c r="BC38" s="81"/>
      <c r="BD38" s="72"/>
      <c r="BE38" s="72"/>
      <c r="BF38" s="79"/>
      <c r="BG38" s="99">
        <f>+$I38*지급비율!AW22</f>
        <v>0</v>
      </c>
      <c r="BH38" s="70"/>
      <c r="BI38" s="70">
        <f t="shared" si="10"/>
        <v>0</v>
      </c>
      <c r="BJ38" s="81"/>
      <c r="BK38" s="72">
        <v>46142</v>
      </c>
      <c r="BL38" s="72"/>
      <c r="BM38" s="79">
        <f t="shared" si="11"/>
        <v>0.1</v>
      </c>
      <c r="BN38" s="99">
        <f>+$I38*지급비율!BD22</f>
        <v>13313410</v>
      </c>
      <c r="BO38" s="70"/>
      <c r="BP38" s="70">
        <f t="shared" si="12"/>
        <v>13313410</v>
      </c>
      <c r="BQ38" s="81"/>
      <c r="BR38" s="73"/>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22"/>
      <c r="C39" s="1531"/>
      <c r="D39" s="1344"/>
      <c r="E39" s="1324"/>
      <c r="F39" s="101" t="s">
        <v>391</v>
      </c>
      <c r="G39" s="102">
        <f>+지급비율!F23*D36/1000</f>
        <v>121031000</v>
      </c>
      <c r="H39" s="102">
        <f>+G39*0.1</f>
        <v>12103100</v>
      </c>
      <c r="I39" s="102">
        <f>SUM(G39:H39)</f>
        <v>133134100</v>
      </c>
      <c r="J39" s="101">
        <f t="shared" si="2"/>
        <v>0</v>
      </c>
      <c r="K39" s="106">
        <f>+IFERROR(R39+Y39+AF39+AM39+AT39+BA39+BH39+BO39,"-")</f>
        <v>0</v>
      </c>
      <c r="L39" s="106">
        <f>+I39-K39</f>
        <v>133134100</v>
      </c>
      <c r="M39" s="1333"/>
      <c r="N39" s="85"/>
      <c r="O39" s="431"/>
      <c r="P39" s="432"/>
      <c r="Q39" s="420">
        <f>+$I39*지급비율!G23</f>
        <v>0</v>
      </c>
      <c r="R39" s="420"/>
      <c r="S39" s="420">
        <f t="shared" si="3"/>
        <v>0</v>
      </c>
      <c r="T39" s="431"/>
      <c r="U39" s="85"/>
      <c r="V39" s="101"/>
      <c r="W39" s="105"/>
      <c r="X39" s="70">
        <f>+$I39*지급비율!N23</f>
        <v>0</v>
      </c>
      <c r="Y39" s="106"/>
      <c r="Z39" s="106">
        <f t="shared" si="4"/>
        <v>0</v>
      </c>
      <c r="AA39" s="101"/>
      <c r="AB39" s="85"/>
      <c r="AC39" s="101"/>
      <c r="AD39" s="105"/>
      <c r="AE39" s="99">
        <f>+$I39*지급비율!U23</f>
        <v>0</v>
      </c>
      <c r="AF39" s="106"/>
      <c r="AG39" s="106">
        <f t="shared" si="5"/>
        <v>0</v>
      </c>
      <c r="AH39" s="101"/>
      <c r="AI39" s="85"/>
      <c r="AJ39" s="101"/>
      <c r="AK39" s="105">
        <f t="shared" si="6"/>
        <v>0</v>
      </c>
      <c r="AL39" s="99">
        <f>+$I39*지급비율!AB23</f>
        <v>0</v>
      </c>
      <c r="AM39" s="106"/>
      <c r="AN39" s="106">
        <f t="shared" si="7"/>
        <v>0</v>
      </c>
      <c r="AO39" s="101"/>
      <c r="AP39" s="85"/>
      <c r="AQ39" s="101"/>
      <c r="AR39" s="105"/>
      <c r="AS39" s="99">
        <f>+$I39*지급비율!AI23</f>
        <v>0</v>
      </c>
      <c r="AT39" s="106"/>
      <c r="AU39" s="106">
        <f t="shared" si="8"/>
        <v>0</v>
      </c>
      <c r="AV39" s="101"/>
      <c r="AW39" s="85"/>
      <c r="AX39" s="101"/>
      <c r="AY39" s="105"/>
      <c r="AZ39" s="99">
        <f>+$I39*지급비율!AP23</f>
        <v>0</v>
      </c>
      <c r="BA39" s="106"/>
      <c r="BB39" s="106">
        <f t="shared" si="9"/>
        <v>0</v>
      </c>
      <c r="BC39" s="101"/>
      <c r="BD39" s="85"/>
      <c r="BE39" s="101"/>
      <c r="BF39" s="105"/>
      <c r="BG39" s="99">
        <f>+$I39*지급비율!AW23</f>
        <v>0</v>
      </c>
      <c r="BH39" s="106"/>
      <c r="BI39" s="106">
        <f t="shared" si="10"/>
        <v>0</v>
      </c>
      <c r="BJ39" s="101"/>
      <c r="BK39" s="104">
        <v>46142</v>
      </c>
      <c r="BL39" s="101"/>
      <c r="BM39" s="105">
        <f t="shared" si="11"/>
        <v>1</v>
      </c>
      <c r="BN39" s="99">
        <f>+$I39*지급비율!BD23</f>
        <v>133134100</v>
      </c>
      <c r="BO39" s="106"/>
      <c r="BP39" s="106">
        <f t="shared" si="12"/>
        <v>133134100</v>
      </c>
      <c r="BQ39" s="101"/>
      <c r="BR39" s="88"/>
      <c r="BS39" s="89" t="b">
        <f>+Q39+X39+AE39+AS39+AZ39+BG39+BN39=I39</f>
        <v>1</v>
      </c>
      <c r="BT39" s="90" t="b">
        <f>+R39+Y39+AF39+AT39+BA39+BH39+BO39=K39</f>
        <v>1</v>
      </c>
      <c r="BU39" s="90"/>
      <c r="BV39" s="54"/>
      <c r="BW39" s="54"/>
      <c r="BX39" s="54"/>
      <c r="BY39" s="54"/>
      <c r="BZ39" s="54"/>
      <c r="CA39" s="54"/>
      <c r="CB39" s="54"/>
      <c r="CC39" s="54"/>
      <c r="CD39" s="58"/>
      <c r="CE39" s="58"/>
    </row>
    <row r="40" spans="1:83" ht="16.5" customHeight="1">
      <c r="A40" s="62"/>
      <c r="B40" s="1322"/>
      <c r="C40" s="1531"/>
      <c r="D40" s="1345"/>
      <c r="E40" s="1324"/>
      <c r="F40" s="91" t="s">
        <v>392</v>
      </c>
      <c r="G40" s="92">
        <f>SUM(G36:G39)</f>
        <v>1089279000</v>
      </c>
      <c r="H40" s="92">
        <f>SUM(H36:H39)</f>
        <v>108927900</v>
      </c>
      <c r="I40" s="92">
        <f>SUM(I36:I39)</f>
        <v>1198206900</v>
      </c>
      <c r="J40" s="91">
        <f t="shared" si="2"/>
        <v>0</v>
      </c>
      <c r="K40" s="92">
        <f>SUM(K36:K39)</f>
        <v>0</v>
      </c>
      <c r="L40" s="92">
        <f>SUM(L36:L39)</f>
        <v>1198206900</v>
      </c>
      <c r="M40" s="419">
        <f>+Q37+Q38</f>
        <v>66567050</v>
      </c>
      <c r="N40" s="93"/>
      <c r="O40" s="435"/>
      <c r="P40" s="436">
        <f>+IFERROR(Q40/$I40,"-")</f>
        <v>5.5555555555555552E-2</v>
      </c>
      <c r="Q40" s="419">
        <f>SUM(Q36:Q39)</f>
        <v>66567050</v>
      </c>
      <c r="R40" s="419">
        <f>SUM(R36:R39)</f>
        <v>0</v>
      </c>
      <c r="S40" s="419">
        <f t="shared" si="3"/>
        <v>66567050</v>
      </c>
      <c r="T40" s="435"/>
      <c r="U40" s="93"/>
      <c r="V40" s="91"/>
      <c r="W40" s="94">
        <f>+IFERROR(X40/$I40,"-")</f>
        <v>5.5555555555555552E-2</v>
      </c>
      <c r="X40" s="92">
        <f>SUM(X36:X39)</f>
        <v>66567050</v>
      </c>
      <c r="Y40" s="92">
        <f>SUM(Y36:Y39)</f>
        <v>0</v>
      </c>
      <c r="Z40" s="92">
        <f t="shared" si="4"/>
        <v>66567050</v>
      </c>
      <c r="AA40" s="91"/>
      <c r="AB40" s="93"/>
      <c r="AC40" s="91"/>
      <c r="AD40" s="94">
        <f>+IFERROR(AE40/$I40,"-")</f>
        <v>0.44444444444444442</v>
      </c>
      <c r="AE40" s="92">
        <f>SUM(AE36:AE39)</f>
        <v>532536400</v>
      </c>
      <c r="AF40" s="92">
        <f>SUM(AF36:AF39)</f>
        <v>0</v>
      </c>
      <c r="AG40" s="92">
        <f t="shared" si="5"/>
        <v>532536400</v>
      </c>
      <c r="AH40" s="91"/>
      <c r="AI40" s="93"/>
      <c r="AJ40" s="91"/>
      <c r="AK40" s="94">
        <f t="shared" si="6"/>
        <v>0</v>
      </c>
      <c r="AL40" s="92">
        <f>SUM(AL36:AL39)</f>
        <v>0</v>
      </c>
      <c r="AM40" s="92">
        <f>SUM(AM36:AM39)</f>
        <v>0</v>
      </c>
      <c r="AN40" s="92">
        <f t="shared" si="7"/>
        <v>0</v>
      </c>
      <c r="AO40" s="91"/>
      <c r="AP40" s="93"/>
      <c r="AQ40" s="91"/>
      <c r="AR40" s="94">
        <f>+IFERROR(AS40/$I40,"-")</f>
        <v>0</v>
      </c>
      <c r="AS40" s="92">
        <f>SUM(AS36:AS39)</f>
        <v>0</v>
      </c>
      <c r="AT40" s="92">
        <f>SUM(AT36:AT39)</f>
        <v>0</v>
      </c>
      <c r="AU40" s="92">
        <f t="shared" si="8"/>
        <v>0</v>
      </c>
      <c r="AV40" s="91"/>
      <c r="AW40" s="93"/>
      <c r="AX40" s="91"/>
      <c r="AY40" s="94">
        <f>+IFERROR(AZ40/$I40,"-")</f>
        <v>0</v>
      </c>
      <c r="AZ40" s="92">
        <f>SUM(AZ36:AZ39)</f>
        <v>0</v>
      </c>
      <c r="BA40" s="92">
        <f>SUM(BA36:BA39)</f>
        <v>0</v>
      </c>
      <c r="BB40" s="92">
        <f t="shared" si="9"/>
        <v>0</v>
      </c>
      <c r="BC40" s="91"/>
      <c r="BD40" s="93"/>
      <c r="BE40" s="91"/>
      <c r="BF40" s="94">
        <f>+IFERROR(BG40/$I40,"-")</f>
        <v>0.24444444444444444</v>
      </c>
      <c r="BG40" s="92">
        <f>SUM(BG36:BG39)</f>
        <v>292895020</v>
      </c>
      <c r="BH40" s="92">
        <f>SUM(BH36:BH39)</f>
        <v>0</v>
      </c>
      <c r="BI40" s="92">
        <f t="shared" si="10"/>
        <v>292895020</v>
      </c>
      <c r="BJ40" s="91"/>
      <c r="BK40" s="93"/>
      <c r="BL40" s="91"/>
      <c r="BM40" s="94">
        <f t="shared" si="11"/>
        <v>0.2</v>
      </c>
      <c r="BN40" s="92">
        <f>SUM(BN36:BN39)</f>
        <v>239641380</v>
      </c>
      <c r="BO40" s="92">
        <f>SUM(BO36:BO39)</f>
        <v>0</v>
      </c>
      <c r="BP40" s="92">
        <f t="shared" si="12"/>
        <v>239641380</v>
      </c>
      <c r="BQ40" s="91"/>
      <c r="BR40" s="88"/>
      <c r="BS40" s="96"/>
      <c r="BT40" s="96"/>
      <c r="BU40" s="139"/>
      <c r="BV40" s="54"/>
      <c r="BW40" s="54"/>
      <c r="BX40" s="54"/>
      <c r="BY40" s="54"/>
      <c r="BZ40" s="54"/>
      <c r="CA40" s="54"/>
      <c r="CB40" s="54"/>
      <c r="CC40" s="54"/>
      <c r="CD40" s="58"/>
      <c r="CE40" s="58"/>
    </row>
    <row r="41" spans="1:83" ht="16.5" customHeight="1">
      <c r="A41" s="62"/>
      <c r="B41" s="1322">
        <f t="shared" ref="B41" si="15">+B36+1</f>
        <v>7</v>
      </c>
      <c r="C41" s="1531" t="s">
        <v>926</v>
      </c>
      <c r="D41" s="1343">
        <v>651.51</v>
      </c>
      <c r="E41" s="1324" t="s">
        <v>888</v>
      </c>
      <c r="F41" s="63" t="s">
        <v>388</v>
      </c>
      <c r="G41" s="64">
        <f>+$G$2*D41/1000</f>
        <v>716661000</v>
      </c>
      <c r="H41" s="64">
        <f>+G41*10%</f>
        <v>71666100</v>
      </c>
      <c r="I41" s="64">
        <f>SUM(G41:H41)</f>
        <v>788327100</v>
      </c>
      <c r="J41" s="63">
        <f t="shared" si="2"/>
        <v>0</v>
      </c>
      <c r="K41" s="134">
        <f>+IFERROR(R41+Y41+AF41+AM41+AT41+BA41+BH41+BO41,"-")</f>
        <v>0</v>
      </c>
      <c r="L41" s="134">
        <f>+I41-K41</f>
        <v>788327100</v>
      </c>
      <c r="M41" s="1331" t="s">
        <v>407</v>
      </c>
      <c r="N41" s="67"/>
      <c r="O41" s="437"/>
      <c r="P41" s="438"/>
      <c r="Q41" s="416">
        <f>+$I41*지급비율!G20</f>
        <v>0</v>
      </c>
      <c r="R41" s="416"/>
      <c r="S41" s="416">
        <f t="shared" si="3"/>
        <v>0</v>
      </c>
      <c r="T41" s="494"/>
      <c r="U41" s="67"/>
      <c r="V41" s="67"/>
      <c r="W41" s="135"/>
      <c r="X41" s="134">
        <f>+$I41*지급비율!N20</f>
        <v>0</v>
      </c>
      <c r="Y41" s="134"/>
      <c r="Z41" s="134">
        <f t="shared" si="4"/>
        <v>0</v>
      </c>
      <c r="AA41" s="145"/>
      <c r="AB41" s="67">
        <f>+EDATE(AI41,-1)</f>
        <v>46054</v>
      </c>
      <c r="AC41" s="67"/>
      <c r="AD41" s="135">
        <f>+IFERROR(AE41/$I41,"-")</f>
        <v>0.5</v>
      </c>
      <c r="AE41" s="134">
        <f>+$I41*지급비율!U20</f>
        <v>394163550</v>
      </c>
      <c r="AF41" s="134"/>
      <c r="AG41" s="134">
        <f t="shared" si="5"/>
        <v>394163550</v>
      </c>
      <c r="AH41" s="145"/>
      <c r="AI41" s="67">
        <f>+EDATE(AP41,-1)+1</f>
        <v>46082</v>
      </c>
      <c r="AJ41" s="67"/>
      <c r="AK41" s="135">
        <f t="shared" si="6"/>
        <v>0</v>
      </c>
      <c r="AL41" s="134">
        <f>+$I41*지급비율!AB20</f>
        <v>0</v>
      </c>
      <c r="AM41" s="134"/>
      <c r="AN41" s="134">
        <f t="shared" si="7"/>
        <v>0</v>
      </c>
      <c r="AO41" s="145"/>
      <c r="AP41" s="67">
        <f>+EDATE(AW41,-1)</f>
        <v>46111</v>
      </c>
      <c r="AQ41" s="67"/>
      <c r="AR41" s="135">
        <f>+IFERROR(AS41/$I41,"-")</f>
        <v>0</v>
      </c>
      <c r="AS41" s="134">
        <f>+$I41*지급비율!AI20</f>
        <v>0</v>
      </c>
      <c r="AT41" s="134"/>
      <c r="AU41" s="134">
        <f t="shared" si="8"/>
        <v>0</v>
      </c>
      <c r="AV41" s="145"/>
      <c r="AW41" s="67">
        <f>+EDATE(BD41,-1)</f>
        <v>46142</v>
      </c>
      <c r="AX41" s="67"/>
      <c r="AY41" s="135">
        <f>+IFERROR(AZ41/$I41,"-")</f>
        <v>0</v>
      </c>
      <c r="AZ41" s="134">
        <f>+$I41*지급비율!AP20</f>
        <v>0</v>
      </c>
      <c r="BA41" s="134"/>
      <c r="BB41" s="134">
        <f t="shared" si="9"/>
        <v>0</v>
      </c>
      <c r="BC41" s="145"/>
      <c r="BD41" s="67">
        <f>+EDATE(BK41,-1)</f>
        <v>46172</v>
      </c>
      <c r="BE41" s="67"/>
      <c r="BF41" s="135">
        <f>+IFERROR(BG41/$I41,"-")</f>
        <v>0.4</v>
      </c>
      <c r="BG41" s="134">
        <f>+$I41*지급비율!AW20</f>
        <v>315330840</v>
      </c>
      <c r="BH41" s="134"/>
      <c r="BI41" s="134">
        <f t="shared" si="10"/>
        <v>315330840</v>
      </c>
      <c r="BJ41" s="145"/>
      <c r="BK41" s="67">
        <v>46203</v>
      </c>
      <c r="BL41" s="67"/>
      <c r="BM41" s="135">
        <f t="shared" si="11"/>
        <v>0.1</v>
      </c>
      <c r="BN41" s="134">
        <f>+$I41*지급비율!BD20</f>
        <v>78832710</v>
      </c>
      <c r="BO41" s="134"/>
      <c r="BP41" s="134">
        <f t="shared" si="12"/>
        <v>78832710</v>
      </c>
      <c r="BQ41" s="145"/>
      <c r="BR41" s="73"/>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22"/>
      <c r="C42" s="1531"/>
      <c r="D42" s="1344"/>
      <c r="E42" s="1324"/>
      <c r="F42" s="75" t="s">
        <v>389</v>
      </c>
      <c r="G42" s="76">
        <f>+지급비율!F21*D41/1000</f>
        <v>195453000</v>
      </c>
      <c r="H42" s="76">
        <f>+G42*10%</f>
        <v>19545300</v>
      </c>
      <c r="I42" s="76">
        <f>SUM(G42:H42)</f>
        <v>214998300</v>
      </c>
      <c r="J42" s="75">
        <f t="shared" si="2"/>
        <v>0</v>
      </c>
      <c r="K42" s="80">
        <f>+IFERROR(R42+Y42+AF42+AM42+AT42+BA42+BH42+BO42,"-")</f>
        <v>0</v>
      </c>
      <c r="L42" s="80">
        <f>+I42-K42</f>
        <v>214998300</v>
      </c>
      <c r="M42" s="1332"/>
      <c r="N42" s="78">
        <v>46022</v>
      </c>
      <c r="O42" s="78"/>
      <c r="P42" s="79">
        <f>+IFERROR(Q42/$I42,"-")</f>
        <v>0.2</v>
      </c>
      <c r="Q42" s="70">
        <f>+$I42*지급비율!G21</f>
        <v>42999660</v>
      </c>
      <c r="R42" s="70"/>
      <c r="S42" s="70">
        <f t="shared" si="3"/>
        <v>42999660</v>
      </c>
      <c r="T42" s="81"/>
      <c r="U42" s="78">
        <v>46053</v>
      </c>
      <c r="V42" s="78"/>
      <c r="W42" s="79">
        <f>+IFERROR(X42/$I42,"-")</f>
        <v>0.2</v>
      </c>
      <c r="X42" s="70">
        <f>+$I42*지급비율!N21</f>
        <v>42999660</v>
      </c>
      <c r="Y42" s="70"/>
      <c r="Z42" s="70">
        <f t="shared" si="4"/>
        <v>42999660</v>
      </c>
      <c r="AA42" s="81"/>
      <c r="AB42" s="78">
        <v>46081</v>
      </c>
      <c r="AC42" s="78"/>
      <c r="AD42" s="79">
        <f>+IFERROR(AE42/$I42,"-")</f>
        <v>0.5</v>
      </c>
      <c r="AE42" s="70">
        <f>+$I42*지급비율!U21</f>
        <v>107499150</v>
      </c>
      <c r="AF42" s="70"/>
      <c r="AG42" s="70">
        <f t="shared" si="5"/>
        <v>107499150</v>
      </c>
      <c r="AH42" s="81"/>
      <c r="AI42" s="78"/>
      <c r="AJ42" s="72"/>
      <c r="AK42" s="79">
        <f t="shared" si="6"/>
        <v>0</v>
      </c>
      <c r="AL42" s="70">
        <f>+$I42*지급비율!AB21</f>
        <v>0</v>
      </c>
      <c r="AM42" s="70"/>
      <c r="AN42" s="70">
        <f t="shared" si="7"/>
        <v>0</v>
      </c>
      <c r="AO42" s="81"/>
      <c r="AP42" s="78"/>
      <c r="AQ42" s="72"/>
      <c r="AR42" s="79"/>
      <c r="AS42" s="70">
        <f>+$I42*지급비율!AI21</f>
        <v>0</v>
      </c>
      <c r="AT42" s="70"/>
      <c r="AU42" s="70">
        <f t="shared" si="8"/>
        <v>0</v>
      </c>
      <c r="AV42" s="81"/>
      <c r="AW42" s="78"/>
      <c r="AX42" s="72"/>
      <c r="AY42" s="79"/>
      <c r="AZ42" s="70">
        <f>+$I42*지급비율!AP21</f>
        <v>0</v>
      </c>
      <c r="BA42" s="70"/>
      <c r="BB42" s="70">
        <f t="shared" si="9"/>
        <v>0</v>
      </c>
      <c r="BC42" s="81"/>
      <c r="BD42" s="78"/>
      <c r="BE42" s="72"/>
      <c r="BF42" s="79"/>
      <c r="BG42" s="70">
        <f>+$I42*지급비율!AW21</f>
        <v>0</v>
      </c>
      <c r="BH42" s="70"/>
      <c r="BI42" s="70">
        <f t="shared" si="10"/>
        <v>0</v>
      </c>
      <c r="BJ42" s="81"/>
      <c r="BK42" s="138">
        <v>46142</v>
      </c>
      <c r="BL42" s="72"/>
      <c r="BM42" s="79">
        <f t="shared" si="11"/>
        <v>0.1</v>
      </c>
      <c r="BN42" s="70">
        <f>+$I42*지급비율!BD21</f>
        <v>21499830</v>
      </c>
      <c r="BO42" s="70"/>
      <c r="BP42" s="70">
        <f t="shared" si="12"/>
        <v>21499830</v>
      </c>
      <c r="BQ42" s="81"/>
      <c r="BR42" s="73"/>
      <c r="BS42" s="74" t="b">
        <f>+Q42+X42+AE42+AS42+AZ42+BG42+BN42=I42</f>
        <v>1</v>
      </c>
      <c r="BT42" s="74" t="b">
        <f>+R42+Y42+AF42+AT42+BA42+BH42+BO42=K42</f>
        <v>1</v>
      </c>
      <c r="BU42" s="74" t="b">
        <f>+BG42+BG43+AZ42+AZ43+AS42+AS43+AE42+AE43+X42+X43+Q42+Q43+BN42+BN43=([5]지급비율!$F$21+[5]지급비율!$F$22)*1.1*D41/1000</f>
        <v>1</v>
      </c>
      <c r="BV42" s="54"/>
      <c r="BW42" s="54"/>
      <c r="BX42" s="54"/>
      <c r="BY42" s="54"/>
      <c r="BZ42" s="54"/>
      <c r="CA42" s="54"/>
      <c r="CB42" s="54"/>
      <c r="CC42" s="54"/>
      <c r="CD42" s="58"/>
      <c r="CE42" s="58"/>
    </row>
    <row r="43" spans="1:83" ht="16.5" customHeight="1">
      <c r="A43" s="62"/>
      <c r="B43" s="1322"/>
      <c r="C43" s="1531"/>
      <c r="D43" s="1344"/>
      <c r="E43" s="1324"/>
      <c r="F43" s="75" t="s">
        <v>390</v>
      </c>
      <c r="G43" s="76">
        <f>+지급비율!F22*D41/1000</f>
        <v>130302000</v>
      </c>
      <c r="H43" s="76">
        <f>+G43*10%</f>
        <v>13030200</v>
      </c>
      <c r="I43" s="76">
        <f>SUM(G43:H43)</f>
        <v>143332200</v>
      </c>
      <c r="J43" s="75">
        <f t="shared" si="2"/>
        <v>0</v>
      </c>
      <c r="K43" s="80">
        <f>+IFERROR(R43+Y43+AF43+AM43+AT43+BA43+BH43+BO43,"-")</f>
        <v>0</v>
      </c>
      <c r="L43" s="80">
        <f>+I43-K43</f>
        <v>143332200</v>
      </c>
      <c r="M43" s="1332"/>
      <c r="N43" s="78">
        <v>46022</v>
      </c>
      <c r="O43" s="78"/>
      <c r="P43" s="79">
        <f>+IFERROR(Q43/$I43,"-")</f>
        <v>0.2</v>
      </c>
      <c r="Q43" s="70">
        <f>+$I43*지급비율!G22</f>
        <v>28666440</v>
      </c>
      <c r="R43" s="70"/>
      <c r="S43" s="70">
        <f t="shared" si="3"/>
        <v>28666440</v>
      </c>
      <c r="T43" s="81"/>
      <c r="U43" s="78">
        <v>46053</v>
      </c>
      <c r="V43" s="78"/>
      <c r="W43" s="79">
        <f>+IFERROR(X43/$I43,"-")</f>
        <v>0.2</v>
      </c>
      <c r="X43" s="70">
        <f>+$I43*지급비율!N22</f>
        <v>28666440</v>
      </c>
      <c r="Y43" s="70"/>
      <c r="Z43" s="70">
        <f t="shared" si="4"/>
        <v>28666440</v>
      </c>
      <c r="AA43" s="81"/>
      <c r="AB43" s="78">
        <v>46081</v>
      </c>
      <c r="AC43" s="78"/>
      <c r="AD43" s="79">
        <f>+IFERROR(AE43/$I43,"-")</f>
        <v>0.5</v>
      </c>
      <c r="AE43" s="70">
        <f>+$I43*지급비율!U22</f>
        <v>71666100</v>
      </c>
      <c r="AF43" s="70"/>
      <c r="AG43" s="70">
        <f t="shared" si="5"/>
        <v>71666100</v>
      </c>
      <c r="AH43" s="81"/>
      <c r="AI43" s="72"/>
      <c r="AJ43" s="72"/>
      <c r="AK43" s="79">
        <f t="shared" si="6"/>
        <v>0</v>
      </c>
      <c r="AL43" s="70">
        <f>+$I43*지급비율!AB22</f>
        <v>0</v>
      </c>
      <c r="AM43" s="70"/>
      <c r="AN43" s="70">
        <f t="shared" si="7"/>
        <v>0</v>
      </c>
      <c r="AO43" s="81"/>
      <c r="AP43" s="72"/>
      <c r="AQ43" s="72"/>
      <c r="AR43" s="79"/>
      <c r="AS43" s="70">
        <f>+$I43*지급비율!AI22</f>
        <v>0</v>
      </c>
      <c r="AT43" s="70"/>
      <c r="AU43" s="70">
        <f t="shared" si="8"/>
        <v>0</v>
      </c>
      <c r="AV43" s="81"/>
      <c r="AW43" s="72"/>
      <c r="AX43" s="72"/>
      <c r="AY43" s="79"/>
      <c r="AZ43" s="70">
        <f>+$I43*지급비율!AP22</f>
        <v>0</v>
      </c>
      <c r="BA43" s="70"/>
      <c r="BB43" s="70">
        <f t="shared" si="9"/>
        <v>0</v>
      </c>
      <c r="BC43" s="81"/>
      <c r="BD43" s="72"/>
      <c r="BE43" s="72"/>
      <c r="BF43" s="79"/>
      <c r="BG43" s="70">
        <f>+$I43*지급비율!AW22</f>
        <v>0</v>
      </c>
      <c r="BH43" s="70"/>
      <c r="BI43" s="70">
        <f t="shared" si="10"/>
        <v>0</v>
      </c>
      <c r="BJ43" s="81"/>
      <c r="BK43" s="72">
        <v>46142</v>
      </c>
      <c r="BL43" s="72"/>
      <c r="BM43" s="79">
        <f t="shared" si="11"/>
        <v>0.1</v>
      </c>
      <c r="BN43" s="70">
        <f>+$I43*지급비율!BD22</f>
        <v>14333220</v>
      </c>
      <c r="BO43" s="70"/>
      <c r="BP43" s="70">
        <f t="shared" si="12"/>
        <v>14333220</v>
      </c>
      <c r="BQ43" s="81"/>
      <c r="BR43" s="73"/>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22"/>
      <c r="C44" s="1531"/>
      <c r="D44" s="1344"/>
      <c r="E44" s="1324"/>
      <c r="F44" s="101" t="s">
        <v>391</v>
      </c>
      <c r="G44" s="102">
        <f>+지급비율!F23*D41/1000</f>
        <v>130302000</v>
      </c>
      <c r="H44" s="102">
        <f>+G44*0.1</f>
        <v>13030200</v>
      </c>
      <c r="I44" s="102">
        <f>SUM(G44:H44)</f>
        <v>143332200</v>
      </c>
      <c r="J44" s="101">
        <f t="shared" si="2"/>
        <v>0</v>
      </c>
      <c r="K44" s="106">
        <f>+IFERROR(R44+Y44+AF44+AM44+AT44+BA44+BH44+BO44,"-")</f>
        <v>0</v>
      </c>
      <c r="L44" s="106">
        <f>+I44-K44</f>
        <v>143332200</v>
      </c>
      <c r="M44" s="1333"/>
      <c r="N44" s="85"/>
      <c r="O44" s="431"/>
      <c r="P44" s="432"/>
      <c r="Q44" s="420">
        <f>+$I44*지급비율!G23</f>
        <v>0</v>
      </c>
      <c r="R44" s="420"/>
      <c r="S44" s="420">
        <f t="shared" si="3"/>
        <v>0</v>
      </c>
      <c r="T44" s="431"/>
      <c r="U44" s="85"/>
      <c r="V44" s="101"/>
      <c r="W44" s="105"/>
      <c r="X44" s="106">
        <f>+$I44*지급비율!N23</f>
        <v>0</v>
      </c>
      <c r="Y44" s="106"/>
      <c r="Z44" s="106">
        <f t="shared" si="4"/>
        <v>0</v>
      </c>
      <c r="AA44" s="101"/>
      <c r="AB44" s="85"/>
      <c r="AC44" s="101"/>
      <c r="AD44" s="105"/>
      <c r="AE44" s="106">
        <f>+$I44*지급비율!U23</f>
        <v>0</v>
      </c>
      <c r="AF44" s="106"/>
      <c r="AG44" s="106">
        <f t="shared" si="5"/>
        <v>0</v>
      </c>
      <c r="AH44" s="101"/>
      <c r="AI44" s="85"/>
      <c r="AJ44" s="101"/>
      <c r="AK44" s="105">
        <f t="shared" si="6"/>
        <v>0</v>
      </c>
      <c r="AL44" s="106">
        <f>+$I44*지급비율!AB23</f>
        <v>0</v>
      </c>
      <c r="AM44" s="106"/>
      <c r="AN44" s="106">
        <f t="shared" si="7"/>
        <v>0</v>
      </c>
      <c r="AO44" s="101"/>
      <c r="AP44" s="85"/>
      <c r="AQ44" s="101"/>
      <c r="AR44" s="105"/>
      <c r="AS44" s="106">
        <f>+$I44*지급비율!AI23</f>
        <v>0</v>
      </c>
      <c r="AT44" s="106"/>
      <c r="AU44" s="106">
        <f t="shared" si="8"/>
        <v>0</v>
      </c>
      <c r="AV44" s="101"/>
      <c r="AW44" s="85"/>
      <c r="AX44" s="101"/>
      <c r="AY44" s="105"/>
      <c r="AZ44" s="106">
        <f>+$I44*지급비율!AP23</f>
        <v>0</v>
      </c>
      <c r="BA44" s="106"/>
      <c r="BB44" s="106">
        <f t="shared" si="9"/>
        <v>0</v>
      </c>
      <c r="BC44" s="101"/>
      <c r="BD44" s="85"/>
      <c r="BE44" s="101"/>
      <c r="BF44" s="105"/>
      <c r="BG44" s="106">
        <f>+$I44*지급비율!AW23</f>
        <v>0</v>
      </c>
      <c r="BH44" s="106"/>
      <c r="BI44" s="106">
        <f t="shared" si="10"/>
        <v>0</v>
      </c>
      <c r="BJ44" s="101"/>
      <c r="BK44" s="104">
        <v>46142</v>
      </c>
      <c r="BL44" s="101"/>
      <c r="BM44" s="105">
        <f t="shared" si="11"/>
        <v>1</v>
      </c>
      <c r="BN44" s="106">
        <f>+$I44*지급비율!BD23</f>
        <v>143332200</v>
      </c>
      <c r="BO44" s="106"/>
      <c r="BP44" s="106">
        <f t="shared" si="12"/>
        <v>143332200</v>
      </c>
      <c r="BQ44" s="101"/>
      <c r="BR44" s="88"/>
      <c r="BS44" s="89" t="b">
        <f>+Q44+X44+AE44+AS44+AZ44+BG44+BN44=I44</f>
        <v>1</v>
      </c>
      <c r="BT44" s="90" t="b">
        <f>+R44+Y44+AF44+AT44+BA44+BH44+BO44=K44</f>
        <v>1</v>
      </c>
      <c r="BU44" s="90"/>
      <c r="BV44" s="54"/>
      <c r="BW44" s="54"/>
      <c r="BX44" s="54"/>
      <c r="BY44" s="54"/>
      <c r="BZ44" s="54"/>
      <c r="CA44" s="54"/>
      <c r="CB44" s="54"/>
      <c r="CC44" s="54"/>
      <c r="CD44" s="58"/>
      <c r="CE44" s="58"/>
    </row>
    <row r="45" spans="1:83" ht="16.5" customHeight="1">
      <c r="A45" s="62"/>
      <c r="B45" s="1322"/>
      <c r="C45" s="1531"/>
      <c r="D45" s="1345"/>
      <c r="E45" s="1324"/>
      <c r="F45" s="91" t="s">
        <v>392</v>
      </c>
      <c r="G45" s="92">
        <f>SUM(G41:G44)</f>
        <v>1172718000</v>
      </c>
      <c r="H45" s="92">
        <f>SUM(H41:H44)</f>
        <v>117271800</v>
      </c>
      <c r="I45" s="92">
        <f>SUM(I41:I44)</f>
        <v>1289989800</v>
      </c>
      <c r="J45" s="91">
        <f t="shared" si="2"/>
        <v>0</v>
      </c>
      <c r="K45" s="92">
        <f>SUM(K41:K44)</f>
        <v>0</v>
      </c>
      <c r="L45" s="92">
        <f>SUM(L41:L44)</f>
        <v>1289989800</v>
      </c>
      <c r="M45" s="419">
        <f>+Q42+Q43</f>
        <v>71666100</v>
      </c>
      <c r="N45" s="93"/>
      <c r="O45" s="435"/>
      <c r="P45" s="436">
        <f>+IFERROR(Q45/$I45,"-")</f>
        <v>5.5555555555555552E-2</v>
      </c>
      <c r="Q45" s="419">
        <f>SUM(Q41:Q44)</f>
        <v>71666100</v>
      </c>
      <c r="R45" s="419">
        <f>SUM(R41:R44)</f>
        <v>0</v>
      </c>
      <c r="S45" s="419">
        <f t="shared" si="3"/>
        <v>71666100</v>
      </c>
      <c r="T45" s="435"/>
      <c r="U45" s="93"/>
      <c r="V45" s="91"/>
      <c r="W45" s="94">
        <f>+IFERROR(X45/$I45,"-")</f>
        <v>5.5555555555555552E-2</v>
      </c>
      <c r="X45" s="92">
        <f>SUM(X41:X44)</f>
        <v>71666100</v>
      </c>
      <c r="Y45" s="92">
        <f>SUM(Y41:Y44)</f>
        <v>0</v>
      </c>
      <c r="Z45" s="92">
        <f t="shared" si="4"/>
        <v>71666100</v>
      </c>
      <c r="AA45" s="91"/>
      <c r="AB45" s="93"/>
      <c r="AC45" s="91"/>
      <c r="AD45" s="94">
        <f>+IFERROR(AE45/$I45,"-")</f>
        <v>0.44444444444444442</v>
      </c>
      <c r="AE45" s="92">
        <f>SUM(AE41:AE44)</f>
        <v>573328800</v>
      </c>
      <c r="AF45" s="92">
        <f>SUM(AF41:AF44)</f>
        <v>0</v>
      </c>
      <c r="AG45" s="92">
        <f t="shared" si="5"/>
        <v>573328800</v>
      </c>
      <c r="AH45" s="91"/>
      <c r="AI45" s="93"/>
      <c r="AJ45" s="91"/>
      <c r="AK45" s="94">
        <f t="shared" si="6"/>
        <v>0</v>
      </c>
      <c r="AL45" s="92">
        <f>SUM(AL41:AL44)</f>
        <v>0</v>
      </c>
      <c r="AM45" s="92">
        <f>SUM(AM41:AM44)</f>
        <v>0</v>
      </c>
      <c r="AN45" s="92">
        <f t="shared" si="7"/>
        <v>0</v>
      </c>
      <c r="AO45" s="91"/>
      <c r="AP45" s="93"/>
      <c r="AQ45" s="91"/>
      <c r="AR45" s="94">
        <f>+IFERROR(AS45/$I45,"-")</f>
        <v>0</v>
      </c>
      <c r="AS45" s="92">
        <f>SUM(AS41:AS44)</f>
        <v>0</v>
      </c>
      <c r="AT45" s="92">
        <f>SUM(AT41:AT44)</f>
        <v>0</v>
      </c>
      <c r="AU45" s="92">
        <f t="shared" si="8"/>
        <v>0</v>
      </c>
      <c r="AV45" s="91"/>
      <c r="AW45" s="93"/>
      <c r="AX45" s="91"/>
      <c r="AY45" s="94">
        <f>+IFERROR(AZ45/$I45,"-")</f>
        <v>0</v>
      </c>
      <c r="AZ45" s="92">
        <f>SUM(AZ41:AZ44)</f>
        <v>0</v>
      </c>
      <c r="BA45" s="92">
        <f>SUM(BA41:BA44)</f>
        <v>0</v>
      </c>
      <c r="BB45" s="92">
        <f t="shared" si="9"/>
        <v>0</v>
      </c>
      <c r="BC45" s="91"/>
      <c r="BD45" s="93"/>
      <c r="BE45" s="91"/>
      <c r="BF45" s="94">
        <f>+IFERROR(BG45/$I45,"-")</f>
        <v>0.24444444444444444</v>
      </c>
      <c r="BG45" s="92">
        <f>SUM(BG41:BG44)</f>
        <v>315330840</v>
      </c>
      <c r="BH45" s="92">
        <f>SUM(BH41:BH44)</f>
        <v>0</v>
      </c>
      <c r="BI45" s="92">
        <f t="shared" si="10"/>
        <v>315330840</v>
      </c>
      <c r="BJ45" s="91"/>
      <c r="BK45" s="93"/>
      <c r="BL45" s="91"/>
      <c r="BM45" s="94">
        <f t="shared" si="11"/>
        <v>0.2</v>
      </c>
      <c r="BN45" s="92">
        <f>SUM(BN41:BN44)</f>
        <v>257997960</v>
      </c>
      <c r="BO45" s="92">
        <f>SUM(BO41:BO44)</f>
        <v>0</v>
      </c>
      <c r="BP45" s="92">
        <f t="shared" si="12"/>
        <v>257997960</v>
      </c>
      <c r="BQ45" s="91"/>
      <c r="BR45" s="88"/>
      <c r="BS45" s="96"/>
      <c r="BT45" s="96"/>
      <c r="BU45" s="139"/>
      <c r="BV45" s="54"/>
      <c r="BW45" s="54"/>
      <c r="BX45" s="54"/>
      <c r="BY45" s="54"/>
      <c r="BZ45" s="54"/>
      <c r="CA45" s="54"/>
      <c r="CB45" s="54"/>
      <c r="CC45" s="54"/>
      <c r="CD45" s="58"/>
      <c r="CE45" s="58"/>
    </row>
    <row r="46" spans="1:83" ht="16.5" customHeight="1">
      <c r="A46" s="62"/>
      <c r="B46" s="1322">
        <f>+B41+1</f>
        <v>8</v>
      </c>
      <c r="C46" s="1531" t="s">
        <v>927</v>
      </c>
      <c r="D46" s="1343">
        <v>999.68</v>
      </c>
      <c r="E46" s="1324" t="s">
        <v>888</v>
      </c>
      <c r="F46" s="63" t="s">
        <v>388</v>
      </c>
      <c r="G46" s="64">
        <f>+$G$2*D46/1000</f>
        <v>1099648000</v>
      </c>
      <c r="H46" s="64">
        <f>+G46*10%</f>
        <v>109964800</v>
      </c>
      <c r="I46" s="64">
        <f>SUM(G46:H46)</f>
        <v>1209612800</v>
      </c>
      <c r="J46" s="63">
        <f t="shared" si="2"/>
        <v>0</v>
      </c>
      <c r="K46" s="134">
        <f>+IFERROR(R46+Y46+AF46+AM46+AT46+BA46+BH46+BO46,"-")</f>
        <v>0</v>
      </c>
      <c r="L46" s="134">
        <f>+I46-K46</f>
        <v>1209612800</v>
      </c>
      <c r="M46" s="1331" t="s">
        <v>407</v>
      </c>
      <c r="N46" s="67"/>
      <c r="O46" s="437"/>
      <c r="P46" s="438"/>
      <c r="Q46" s="416">
        <f>+$I46*지급비율!G20</f>
        <v>0</v>
      </c>
      <c r="R46" s="416"/>
      <c r="S46" s="416">
        <f t="shared" si="3"/>
        <v>0</v>
      </c>
      <c r="T46" s="494"/>
      <c r="U46" s="67"/>
      <c r="V46" s="67"/>
      <c r="W46" s="135"/>
      <c r="X46" s="134">
        <f>+$I46*지급비율!N20</f>
        <v>0</v>
      </c>
      <c r="Y46" s="134"/>
      <c r="Z46" s="134">
        <f t="shared" si="4"/>
        <v>0</v>
      </c>
      <c r="AA46" s="145"/>
      <c r="AB46" s="67">
        <f>+EDATE(AI46,-1)</f>
        <v>46054</v>
      </c>
      <c r="AC46" s="67"/>
      <c r="AD46" s="135">
        <f>+IFERROR(AE46/$I46,"-")</f>
        <v>0.5</v>
      </c>
      <c r="AE46" s="134">
        <f>+$I46*지급비율!U20</f>
        <v>604806400</v>
      </c>
      <c r="AF46" s="134"/>
      <c r="AG46" s="134">
        <f t="shared" si="5"/>
        <v>604806400</v>
      </c>
      <c r="AH46" s="145"/>
      <c r="AI46" s="67">
        <f>+EDATE(AP46,-1)+1</f>
        <v>46082</v>
      </c>
      <c r="AJ46" s="67"/>
      <c r="AK46" s="135">
        <f t="shared" si="6"/>
        <v>0</v>
      </c>
      <c r="AL46" s="134">
        <f>+$I46*지급비율!AB20</f>
        <v>0</v>
      </c>
      <c r="AM46" s="134"/>
      <c r="AN46" s="134">
        <f t="shared" si="7"/>
        <v>0</v>
      </c>
      <c r="AO46" s="145"/>
      <c r="AP46" s="67">
        <f>+EDATE(AW46,-1)</f>
        <v>46111</v>
      </c>
      <c r="AQ46" s="67"/>
      <c r="AR46" s="135">
        <f>+IFERROR(AS46/$I46,"-")</f>
        <v>0</v>
      </c>
      <c r="AS46" s="134">
        <f>+$I46*지급비율!AI20</f>
        <v>0</v>
      </c>
      <c r="AT46" s="134"/>
      <c r="AU46" s="134">
        <f t="shared" si="8"/>
        <v>0</v>
      </c>
      <c r="AV46" s="145"/>
      <c r="AW46" s="67">
        <f>+EDATE(BD46,-1)</f>
        <v>46142</v>
      </c>
      <c r="AX46" s="67"/>
      <c r="AY46" s="135">
        <f>+IFERROR(AZ46/$I46,"-")</f>
        <v>0</v>
      </c>
      <c r="AZ46" s="134">
        <f>+$I46*지급비율!AP20</f>
        <v>0</v>
      </c>
      <c r="BA46" s="134"/>
      <c r="BB46" s="134">
        <f t="shared" si="9"/>
        <v>0</v>
      </c>
      <c r="BC46" s="145"/>
      <c r="BD46" s="67">
        <f>+EDATE(BK46,-1)</f>
        <v>46172</v>
      </c>
      <c r="BE46" s="67"/>
      <c r="BF46" s="135">
        <f>+IFERROR(BG46/$I46,"-")</f>
        <v>0.4</v>
      </c>
      <c r="BG46" s="134">
        <f>+$I46*지급비율!AW20</f>
        <v>483845120</v>
      </c>
      <c r="BH46" s="134"/>
      <c r="BI46" s="134">
        <f t="shared" si="10"/>
        <v>483845120</v>
      </c>
      <c r="BJ46" s="145"/>
      <c r="BK46" s="67">
        <v>46203</v>
      </c>
      <c r="BL46" s="67"/>
      <c r="BM46" s="135">
        <f t="shared" si="11"/>
        <v>0.1</v>
      </c>
      <c r="BN46" s="134">
        <f>+$I46*지급비율!BD20</f>
        <v>120961280</v>
      </c>
      <c r="BO46" s="134"/>
      <c r="BP46" s="134">
        <f t="shared" si="12"/>
        <v>120961280</v>
      </c>
      <c r="BQ46" s="145"/>
      <c r="BR46" s="73"/>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22"/>
      <c r="C47" s="1531"/>
      <c r="D47" s="1344"/>
      <c r="E47" s="1324"/>
      <c r="F47" s="75" t="s">
        <v>389</v>
      </c>
      <c r="G47" s="76">
        <f>+지급비율!F21*D46/1000</f>
        <v>299904000</v>
      </c>
      <c r="H47" s="76">
        <f>+G47*10%</f>
        <v>29990400</v>
      </c>
      <c r="I47" s="76">
        <f>SUM(G47:H47)</f>
        <v>329894400</v>
      </c>
      <c r="J47" s="75">
        <f t="shared" si="2"/>
        <v>0</v>
      </c>
      <c r="K47" s="80">
        <f>+IFERROR(R47+Y47+AF47+AM47+AT47+BA47+BH47+BO47,"-")</f>
        <v>0</v>
      </c>
      <c r="L47" s="80">
        <f>+I47-K47</f>
        <v>329894400</v>
      </c>
      <c r="M47" s="1332"/>
      <c r="N47" s="78">
        <v>46022</v>
      </c>
      <c r="O47" s="78"/>
      <c r="P47" s="79">
        <f>+IFERROR(Q47/$I47,"-")</f>
        <v>0.2</v>
      </c>
      <c r="Q47" s="70">
        <f>+$I47*지급비율!G21</f>
        <v>65978880</v>
      </c>
      <c r="R47" s="70"/>
      <c r="S47" s="70">
        <f t="shared" si="3"/>
        <v>65978880</v>
      </c>
      <c r="T47" s="81"/>
      <c r="U47" s="78">
        <v>46053</v>
      </c>
      <c r="V47" s="78"/>
      <c r="W47" s="79">
        <f>+IFERROR(X47/$I47,"-")</f>
        <v>0.2</v>
      </c>
      <c r="X47" s="70">
        <f>+$I47*지급비율!N21</f>
        <v>65978880</v>
      </c>
      <c r="Y47" s="70"/>
      <c r="Z47" s="70">
        <f t="shared" si="4"/>
        <v>65978880</v>
      </c>
      <c r="AA47" s="81"/>
      <c r="AB47" s="78">
        <v>46081</v>
      </c>
      <c r="AC47" s="78"/>
      <c r="AD47" s="79">
        <f>+IFERROR(AE47/$I47,"-")</f>
        <v>0.5</v>
      </c>
      <c r="AE47" s="70">
        <f>+$I47*지급비율!U21</f>
        <v>164947200</v>
      </c>
      <c r="AF47" s="70"/>
      <c r="AG47" s="70">
        <f t="shared" si="5"/>
        <v>164947200</v>
      </c>
      <c r="AH47" s="81"/>
      <c r="AI47" s="78"/>
      <c r="AJ47" s="72"/>
      <c r="AK47" s="79">
        <f t="shared" si="6"/>
        <v>0</v>
      </c>
      <c r="AL47" s="70">
        <f>+$I47*지급비율!AB21</f>
        <v>0</v>
      </c>
      <c r="AM47" s="70"/>
      <c r="AN47" s="70">
        <f t="shared" si="7"/>
        <v>0</v>
      </c>
      <c r="AO47" s="81"/>
      <c r="AP47" s="78"/>
      <c r="AQ47" s="72"/>
      <c r="AR47" s="79"/>
      <c r="AS47" s="70">
        <f>+$I47*지급비율!AI21</f>
        <v>0</v>
      </c>
      <c r="AT47" s="70"/>
      <c r="AU47" s="70">
        <f t="shared" si="8"/>
        <v>0</v>
      </c>
      <c r="AV47" s="81"/>
      <c r="AW47" s="78"/>
      <c r="AX47" s="72"/>
      <c r="AY47" s="79"/>
      <c r="AZ47" s="70">
        <f>+$I47*지급비율!AP21</f>
        <v>0</v>
      </c>
      <c r="BA47" s="70"/>
      <c r="BB47" s="70">
        <f t="shared" si="9"/>
        <v>0</v>
      </c>
      <c r="BC47" s="81"/>
      <c r="BD47" s="78"/>
      <c r="BE47" s="72"/>
      <c r="BF47" s="79"/>
      <c r="BG47" s="70">
        <f>+$I47*지급비율!AW21</f>
        <v>0</v>
      </c>
      <c r="BH47" s="70"/>
      <c r="BI47" s="70">
        <f t="shared" si="10"/>
        <v>0</v>
      </c>
      <c r="BJ47" s="81"/>
      <c r="BK47" s="138">
        <v>46173</v>
      </c>
      <c r="BL47" s="72"/>
      <c r="BM47" s="79">
        <f t="shared" si="11"/>
        <v>0.1</v>
      </c>
      <c r="BN47" s="70">
        <f>+$I47*지급비율!BD21</f>
        <v>32989440</v>
      </c>
      <c r="BO47" s="70"/>
      <c r="BP47" s="70">
        <f t="shared" si="12"/>
        <v>32989440</v>
      </c>
      <c r="BQ47" s="81"/>
      <c r="BR47" s="73"/>
      <c r="BS47" s="74" t="b">
        <f>+Q47+X47+AE47+AS47+AZ47+BG47+BN47=I47</f>
        <v>1</v>
      </c>
      <c r="BT47" s="74" t="b">
        <f>+R47+Y47+AF47+AT47+BA47+BH47+BO47=K47</f>
        <v>1</v>
      </c>
      <c r="BU47" s="74" t="b">
        <f>+BG47+BG48+AZ47+AZ48+AS47+AS48+AE47+AE48+X47+X48+Q47+Q48+BN47+BN48=([5]지급비율!$F$21+[5]지급비율!$F$22)*1.1*D46/1000</f>
        <v>1</v>
      </c>
      <c r="BV47" s="54"/>
      <c r="BW47" s="54"/>
      <c r="BX47" s="54"/>
      <c r="BY47" s="54"/>
      <c r="BZ47" s="54"/>
      <c r="CA47" s="54"/>
      <c r="CB47" s="54"/>
      <c r="CC47" s="54"/>
      <c r="CD47" s="58"/>
      <c r="CE47" s="58"/>
    </row>
    <row r="48" spans="1:83" ht="16.5" customHeight="1">
      <c r="A48" s="62"/>
      <c r="B48" s="1322"/>
      <c r="C48" s="1531"/>
      <c r="D48" s="1344"/>
      <c r="E48" s="1324"/>
      <c r="F48" s="75" t="s">
        <v>390</v>
      </c>
      <c r="G48" s="76">
        <f>+지급비율!F22*D46/1000</f>
        <v>199936000</v>
      </c>
      <c r="H48" s="76">
        <f>+G48*10%</f>
        <v>19993600</v>
      </c>
      <c r="I48" s="76">
        <f>SUM(G48:H48)</f>
        <v>219929600</v>
      </c>
      <c r="J48" s="75">
        <f t="shared" si="2"/>
        <v>0</v>
      </c>
      <c r="K48" s="80">
        <f>+IFERROR(R48+Y48+AF48+AM48+AT48+BA48+BH48+BO48,"-")</f>
        <v>0</v>
      </c>
      <c r="L48" s="80">
        <f>+I48-K48</f>
        <v>219929600</v>
      </c>
      <c r="M48" s="1332"/>
      <c r="N48" s="78">
        <v>46022</v>
      </c>
      <c r="O48" s="78"/>
      <c r="P48" s="79">
        <f>+IFERROR(Q48/$I48,"-")</f>
        <v>0.2</v>
      </c>
      <c r="Q48" s="70">
        <f>+$I48*지급비율!G22</f>
        <v>43985920</v>
      </c>
      <c r="R48" s="70"/>
      <c r="S48" s="70">
        <f t="shared" si="3"/>
        <v>43985920</v>
      </c>
      <c r="T48" s="81"/>
      <c r="U48" s="78">
        <v>46053</v>
      </c>
      <c r="V48" s="78"/>
      <c r="W48" s="79">
        <f>+IFERROR(X48/$I48,"-")</f>
        <v>0.2</v>
      </c>
      <c r="X48" s="70">
        <f>+$I48*지급비율!N22</f>
        <v>43985920</v>
      </c>
      <c r="Y48" s="70"/>
      <c r="Z48" s="70">
        <f t="shared" si="4"/>
        <v>43985920</v>
      </c>
      <c r="AA48" s="81"/>
      <c r="AB48" s="78">
        <v>46081</v>
      </c>
      <c r="AC48" s="78"/>
      <c r="AD48" s="79">
        <f>+IFERROR(AE48/$I48,"-")</f>
        <v>0.5</v>
      </c>
      <c r="AE48" s="70">
        <f>+$I48*지급비율!U22</f>
        <v>109964800</v>
      </c>
      <c r="AF48" s="70"/>
      <c r="AG48" s="70">
        <f t="shared" si="5"/>
        <v>109964800</v>
      </c>
      <c r="AH48" s="81"/>
      <c r="AI48" s="72"/>
      <c r="AJ48" s="72"/>
      <c r="AK48" s="79">
        <f t="shared" si="6"/>
        <v>0</v>
      </c>
      <c r="AL48" s="70">
        <f>+$I48*지급비율!AB22</f>
        <v>0</v>
      </c>
      <c r="AM48" s="70"/>
      <c r="AN48" s="70">
        <f t="shared" si="7"/>
        <v>0</v>
      </c>
      <c r="AO48" s="81"/>
      <c r="AP48" s="72"/>
      <c r="AQ48" s="72"/>
      <c r="AR48" s="79"/>
      <c r="AS48" s="70">
        <f>+$I48*지급비율!AI22</f>
        <v>0</v>
      </c>
      <c r="AT48" s="70"/>
      <c r="AU48" s="70">
        <f t="shared" si="8"/>
        <v>0</v>
      </c>
      <c r="AV48" s="81"/>
      <c r="AW48" s="72"/>
      <c r="AX48" s="72"/>
      <c r="AY48" s="79"/>
      <c r="AZ48" s="70">
        <f>+$I48*지급비율!AP22</f>
        <v>0</v>
      </c>
      <c r="BA48" s="70"/>
      <c r="BB48" s="70">
        <f t="shared" si="9"/>
        <v>0</v>
      </c>
      <c r="BC48" s="81"/>
      <c r="BD48" s="72"/>
      <c r="BE48" s="72"/>
      <c r="BF48" s="79"/>
      <c r="BG48" s="70">
        <f>+$I48*지급비율!AW22</f>
        <v>0</v>
      </c>
      <c r="BH48" s="70"/>
      <c r="BI48" s="70">
        <f t="shared" si="10"/>
        <v>0</v>
      </c>
      <c r="BJ48" s="81"/>
      <c r="BK48" s="72">
        <v>46173</v>
      </c>
      <c r="BL48" s="72"/>
      <c r="BM48" s="79">
        <f t="shared" si="11"/>
        <v>0.1</v>
      </c>
      <c r="BN48" s="70">
        <f>+$I48*지급비율!BD22</f>
        <v>21992960</v>
      </c>
      <c r="BO48" s="70"/>
      <c r="BP48" s="70">
        <f t="shared" si="12"/>
        <v>21992960</v>
      </c>
      <c r="BQ48" s="81"/>
      <c r="BR48" s="73"/>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22"/>
      <c r="C49" s="1531"/>
      <c r="D49" s="1344"/>
      <c r="E49" s="1324"/>
      <c r="F49" s="101" t="s">
        <v>391</v>
      </c>
      <c r="G49" s="102">
        <f>+지급비율!F23*D46/1000</f>
        <v>199936000</v>
      </c>
      <c r="H49" s="102">
        <f>+G49*0.1</f>
        <v>19993600</v>
      </c>
      <c r="I49" s="102">
        <f>SUM(G49:H49)</f>
        <v>219929600</v>
      </c>
      <c r="J49" s="101">
        <f t="shared" si="2"/>
        <v>0</v>
      </c>
      <c r="K49" s="106">
        <f>+IFERROR(R49+Y49+AF49+AM49+AT49+BA49+BH49+BO49,"-")</f>
        <v>0</v>
      </c>
      <c r="L49" s="106">
        <f>+I49-K49</f>
        <v>219929600</v>
      </c>
      <c r="M49" s="1333"/>
      <c r="N49" s="85"/>
      <c r="O49" s="431"/>
      <c r="P49" s="432"/>
      <c r="Q49" s="420">
        <f>+$I49*지급비율!G23</f>
        <v>0</v>
      </c>
      <c r="R49" s="420"/>
      <c r="S49" s="420">
        <f t="shared" si="3"/>
        <v>0</v>
      </c>
      <c r="T49" s="431"/>
      <c r="U49" s="85"/>
      <c r="V49" s="101"/>
      <c r="W49" s="105"/>
      <c r="X49" s="106">
        <f>+$I49*지급비율!N23</f>
        <v>0</v>
      </c>
      <c r="Y49" s="106"/>
      <c r="Z49" s="106">
        <f t="shared" si="4"/>
        <v>0</v>
      </c>
      <c r="AA49" s="101"/>
      <c r="AB49" s="85"/>
      <c r="AC49" s="101"/>
      <c r="AD49" s="105"/>
      <c r="AE49" s="106">
        <f>+$I49*지급비율!U23</f>
        <v>0</v>
      </c>
      <c r="AF49" s="106"/>
      <c r="AG49" s="106">
        <f t="shared" si="5"/>
        <v>0</v>
      </c>
      <c r="AH49" s="101"/>
      <c r="AI49" s="85"/>
      <c r="AJ49" s="101"/>
      <c r="AK49" s="105">
        <f t="shared" si="6"/>
        <v>0</v>
      </c>
      <c r="AL49" s="106">
        <f>+$I49*지급비율!AB23</f>
        <v>0</v>
      </c>
      <c r="AM49" s="106"/>
      <c r="AN49" s="106">
        <f t="shared" si="7"/>
        <v>0</v>
      </c>
      <c r="AO49" s="101"/>
      <c r="AP49" s="85"/>
      <c r="AQ49" s="101"/>
      <c r="AR49" s="105"/>
      <c r="AS49" s="106">
        <f>+$I49*지급비율!AI23</f>
        <v>0</v>
      </c>
      <c r="AT49" s="106"/>
      <c r="AU49" s="106">
        <f t="shared" si="8"/>
        <v>0</v>
      </c>
      <c r="AV49" s="101"/>
      <c r="AW49" s="85"/>
      <c r="AX49" s="101"/>
      <c r="AY49" s="105"/>
      <c r="AZ49" s="106">
        <f>+$I49*지급비율!AP23</f>
        <v>0</v>
      </c>
      <c r="BA49" s="106"/>
      <c r="BB49" s="106">
        <f t="shared" si="9"/>
        <v>0</v>
      </c>
      <c r="BC49" s="101"/>
      <c r="BD49" s="85"/>
      <c r="BE49" s="101"/>
      <c r="BF49" s="105"/>
      <c r="BG49" s="106">
        <f>+$I49*지급비율!AW23</f>
        <v>0</v>
      </c>
      <c r="BH49" s="106"/>
      <c r="BI49" s="106">
        <f t="shared" si="10"/>
        <v>0</v>
      </c>
      <c r="BJ49" s="101"/>
      <c r="BK49" s="104">
        <v>46173</v>
      </c>
      <c r="BL49" s="101"/>
      <c r="BM49" s="105">
        <f t="shared" si="11"/>
        <v>1</v>
      </c>
      <c r="BN49" s="106">
        <f>+$I49*지급비율!BD23</f>
        <v>219929600</v>
      </c>
      <c r="BO49" s="106"/>
      <c r="BP49" s="106">
        <f t="shared" si="12"/>
        <v>219929600</v>
      </c>
      <c r="BQ49" s="101"/>
      <c r="BR49" s="88"/>
      <c r="BS49" s="89" t="b">
        <f>+Q49+X49+AE49+AS49+AZ49+BG49+BN49=I49</f>
        <v>1</v>
      </c>
      <c r="BT49" s="90" t="b">
        <f>+R49+Y49+AF49+AT49+BA49+BH49+BO49=K49</f>
        <v>1</v>
      </c>
      <c r="BU49" s="90"/>
      <c r="BV49" s="54"/>
      <c r="BW49" s="54"/>
      <c r="BX49" s="54"/>
      <c r="BY49" s="54"/>
      <c r="BZ49" s="54"/>
      <c r="CA49" s="54"/>
      <c r="CB49" s="54"/>
      <c r="CC49" s="54"/>
      <c r="CD49" s="58"/>
      <c r="CE49" s="58"/>
    </row>
    <row r="50" spans="1:83" ht="16.5" customHeight="1">
      <c r="A50" s="62"/>
      <c r="B50" s="1322"/>
      <c r="C50" s="1531"/>
      <c r="D50" s="1345"/>
      <c r="E50" s="1324"/>
      <c r="F50" s="91" t="s">
        <v>392</v>
      </c>
      <c r="G50" s="92">
        <f>SUM(G46:G49)</f>
        <v>1799424000</v>
      </c>
      <c r="H50" s="92">
        <f>SUM(H46:H49)</f>
        <v>179942400</v>
      </c>
      <c r="I50" s="92">
        <f>SUM(I46:I49)</f>
        <v>1979366400</v>
      </c>
      <c r="J50" s="91">
        <f t="shared" ref="J50:J58" si="16">+IFERROR(K50/I50,"-")</f>
        <v>0</v>
      </c>
      <c r="K50" s="92">
        <f>SUM(K46:K49)</f>
        <v>0</v>
      </c>
      <c r="L50" s="92">
        <f>SUM(L46:L49)</f>
        <v>1979366400</v>
      </c>
      <c r="M50" s="419">
        <f>+Q47+Q48</f>
        <v>109964800</v>
      </c>
      <c r="N50" s="93"/>
      <c r="O50" s="435"/>
      <c r="P50" s="436">
        <f>+IFERROR(Q50/$I50,"-")</f>
        <v>5.5555555555555552E-2</v>
      </c>
      <c r="Q50" s="419">
        <f>SUM(Q46:Q49)</f>
        <v>109964800</v>
      </c>
      <c r="R50" s="419">
        <f>SUM(R46:R49)</f>
        <v>0</v>
      </c>
      <c r="S50" s="419">
        <f t="shared" si="3"/>
        <v>109964800</v>
      </c>
      <c r="T50" s="435"/>
      <c r="U50" s="93"/>
      <c r="V50" s="91"/>
      <c r="W50" s="94">
        <f>+IFERROR(X50/$I50,"-")</f>
        <v>5.5555555555555552E-2</v>
      </c>
      <c r="X50" s="92">
        <f>SUM(X46:X49)</f>
        <v>109964800</v>
      </c>
      <c r="Y50" s="92">
        <f>SUM(Y46:Y49)</f>
        <v>0</v>
      </c>
      <c r="Z50" s="92">
        <f t="shared" si="4"/>
        <v>109964800</v>
      </c>
      <c r="AA50" s="91"/>
      <c r="AB50" s="93"/>
      <c r="AC50" s="91"/>
      <c r="AD50" s="94">
        <f>+IFERROR(AE50/$I50,"-")</f>
        <v>0.44444444444444442</v>
      </c>
      <c r="AE50" s="92">
        <f>SUM(AE46:AE49)</f>
        <v>879718400</v>
      </c>
      <c r="AF50" s="92">
        <f>SUM(AF46:AF49)</f>
        <v>0</v>
      </c>
      <c r="AG50" s="92">
        <f t="shared" si="5"/>
        <v>879718400</v>
      </c>
      <c r="AH50" s="91"/>
      <c r="AI50" s="93"/>
      <c r="AJ50" s="91"/>
      <c r="AK50" s="94">
        <f t="shared" si="6"/>
        <v>0</v>
      </c>
      <c r="AL50" s="92">
        <f>SUM(AL46:AL49)</f>
        <v>0</v>
      </c>
      <c r="AM50" s="92">
        <f>SUM(AM46:AM49)</f>
        <v>0</v>
      </c>
      <c r="AN50" s="92">
        <f t="shared" si="7"/>
        <v>0</v>
      </c>
      <c r="AO50" s="91"/>
      <c r="AP50" s="93"/>
      <c r="AQ50" s="91"/>
      <c r="AR50" s="94">
        <f>+IFERROR(AS50/$I50,"-")</f>
        <v>0</v>
      </c>
      <c r="AS50" s="92">
        <f>SUM(AS46:AS49)</f>
        <v>0</v>
      </c>
      <c r="AT50" s="92">
        <f>SUM(AT46:AT49)</f>
        <v>0</v>
      </c>
      <c r="AU50" s="92">
        <f t="shared" si="8"/>
        <v>0</v>
      </c>
      <c r="AV50" s="91"/>
      <c r="AW50" s="93"/>
      <c r="AX50" s="91"/>
      <c r="AY50" s="94">
        <f>+IFERROR(AZ50/$I50,"-")</f>
        <v>0</v>
      </c>
      <c r="AZ50" s="92">
        <f>SUM(AZ46:AZ49)</f>
        <v>0</v>
      </c>
      <c r="BA50" s="92">
        <f>SUM(BA46:BA49)</f>
        <v>0</v>
      </c>
      <c r="BB50" s="92">
        <f t="shared" si="9"/>
        <v>0</v>
      </c>
      <c r="BC50" s="91"/>
      <c r="BD50" s="93"/>
      <c r="BE50" s="91"/>
      <c r="BF50" s="94">
        <f>+IFERROR(BG50/$I50,"-")</f>
        <v>0.24444444444444444</v>
      </c>
      <c r="BG50" s="92">
        <f>SUM(BG46:BG49)</f>
        <v>483845120</v>
      </c>
      <c r="BH50" s="92">
        <f>SUM(BH46:BH49)</f>
        <v>0</v>
      </c>
      <c r="BI50" s="92">
        <f t="shared" si="10"/>
        <v>483845120</v>
      </c>
      <c r="BJ50" s="91"/>
      <c r="BK50" s="93"/>
      <c r="BL50" s="91"/>
      <c r="BM50" s="94">
        <f t="shared" si="11"/>
        <v>0.2</v>
      </c>
      <c r="BN50" s="92">
        <f>SUM(BN46:BN49)</f>
        <v>395873280</v>
      </c>
      <c r="BO50" s="92">
        <f>SUM(BO46:BO49)</f>
        <v>0</v>
      </c>
      <c r="BP50" s="92">
        <f t="shared" si="12"/>
        <v>395873280</v>
      </c>
      <c r="BQ50" s="91"/>
      <c r="BR50" s="88"/>
      <c r="BS50" s="96"/>
      <c r="BT50" s="96"/>
      <c r="BU50" s="139"/>
      <c r="BV50" s="54"/>
      <c r="BW50" s="54"/>
      <c r="BX50" s="54"/>
      <c r="BY50" s="54"/>
      <c r="BZ50" s="54"/>
      <c r="CA50" s="54"/>
      <c r="CB50" s="54"/>
      <c r="CC50" s="54"/>
      <c r="CD50" s="58"/>
      <c r="CE50" s="58"/>
    </row>
    <row r="51" spans="1:83" ht="16.5" customHeight="1">
      <c r="A51" s="62"/>
      <c r="B51" s="1322">
        <f t="shared" ref="B51" si="17">+B46+1</f>
        <v>9</v>
      </c>
      <c r="C51" s="1531" t="s">
        <v>928</v>
      </c>
      <c r="D51" s="1343">
        <v>2508.8000000000002</v>
      </c>
      <c r="E51" s="1324" t="s">
        <v>888</v>
      </c>
      <c r="F51" s="63" t="s">
        <v>388</v>
      </c>
      <c r="G51" s="64">
        <f>+$G$2*D51/1000</f>
        <v>2759680000</v>
      </c>
      <c r="H51" s="64">
        <f>+G51*10%</f>
        <v>275968000</v>
      </c>
      <c r="I51" s="64">
        <f>SUM(G51:H51)</f>
        <v>3035648000</v>
      </c>
      <c r="J51" s="63">
        <f t="shared" si="16"/>
        <v>0</v>
      </c>
      <c r="K51" s="134">
        <f>+IFERROR(R51+Y51+AF51+AM51+AT51+BA51+BH51+BO51,"-")</f>
        <v>0</v>
      </c>
      <c r="L51" s="134">
        <f>+I51-K51</f>
        <v>3035648000</v>
      </c>
      <c r="M51" s="1331" t="s">
        <v>407</v>
      </c>
      <c r="N51" s="67"/>
      <c r="O51" s="437"/>
      <c r="P51" s="438"/>
      <c r="Q51" s="416">
        <f>+$I51*지급비율!G20</f>
        <v>0</v>
      </c>
      <c r="R51" s="416"/>
      <c r="S51" s="416">
        <f t="shared" si="3"/>
        <v>0</v>
      </c>
      <c r="T51" s="494"/>
      <c r="U51" s="67"/>
      <c r="V51" s="67"/>
      <c r="W51" s="135"/>
      <c r="X51" s="134">
        <f>+$I51*지급비율!N20</f>
        <v>0</v>
      </c>
      <c r="Y51" s="134"/>
      <c r="Z51" s="134">
        <f t="shared" si="4"/>
        <v>0</v>
      </c>
      <c r="AA51" s="145"/>
      <c r="AB51" s="67">
        <f>+EDATE(AI51,-1)</f>
        <v>46054</v>
      </c>
      <c r="AC51" s="67"/>
      <c r="AD51" s="135">
        <f>+IFERROR(AE51/$I51,"-")</f>
        <v>0.5</v>
      </c>
      <c r="AE51" s="134">
        <f>+$I51*지급비율!U20</f>
        <v>1517824000</v>
      </c>
      <c r="AF51" s="134"/>
      <c r="AG51" s="134">
        <f t="shared" si="5"/>
        <v>1517824000</v>
      </c>
      <c r="AH51" s="145"/>
      <c r="AI51" s="67">
        <f>+EDATE(AP51,-1)+1</f>
        <v>46082</v>
      </c>
      <c r="AJ51" s="67"/>
      <c r="AK51" s="135">
        <f t="shared" si="6"/>
        <v>0</v>
      </c>
      <c r="AL51" s="134">
        <f>+$I51*지급비율!AB20</f>
        <v>0</v>
      </c>
      <c r="AM51" s="134"/>
      <c r="AN51" s="134">
        <f t="shared" si="7"/>
        <v>0</v>
      </c>
      <c r="AO51" s="145"/>
      <c r="AP51" s="67">
        <f>+EDATE(AW51,-1)</f>
        <v>46111</v>
      </c>
      <c r="AQ51" s="67"/>
      <c r="AR51" s="135">
        <f>+IFERROR(AS51/$I51,"-")</f>
        <v>0</v>
      </c>
      <c r="AS51" s="134">
        <f>+$I51*지급비율!AI20</f>
        <v>0</v>
      </c>
      <c r="AT51" s="134"/>
      <c r="AU51" s="134">
        <f t="shared" si="8"/>
        <v>0</v>
      </c>
      <c r="AV51" s="145"/>
      <c r="AW51" s="67">
        <f>+EDATE(BD51,-1)</f>
        <v>46142</v>
      </c>
      <c r="AX51" s="67"/>
      <c r="AY51" s="135">
        <f>+IFERROR(AZ51/$I51,"-")</f>
        <v>0</v>
      </c>
      <c r="AZ51" s="134">
        <f>+$I51*지급비율!AP20</f>
        <v>0</v>
      </c>
      <c r="BA51" s="134"/>
      <c r="BB51" s="134">
        <f t="shared" si="9"/>
        <v>0</v>
      </c>
      <c r="BC51" s="145"/>
      <c r="BD51" s="67">
        <f>+EDATE(BK51,-1)</f>
        <v>46172</v>
      </c>
      <c r="BE51" s="67"/>
      <c r="BF51" s="135">
        <f>+IFERROR(BG51/$I51,"-")</f>
        <v>0.4</v>
      </c>
      <c r="BG51" s="134">
        <f>+$I51*지급비율!AW20</f>
        <v>1214259200</v>
      </c>
      <c r="BH51" s="134"/>
      <c r="BI51" s="134">
        <f t="shared" si="10"/>
        <v>1214259200</v>
      </c>
      <c r="BJ51" s="145"/>
      <c r="BK51" s="67">
        <v>46203</v>
      </c>
      <c r="BL51" s="67"/>
      <c r="BM51" s="135">
        <f t="shared" si="11"/>
        <v>0.1</v>
      </c>
      <c r="BN51" s="134">
        <f>+$I51*지급비율!BD20</f>
        <v>303564800</v>
      </c>
      <c r="BO51" s="134"/>
      <c r="BP51" s="134">
        <f t="shared" si="12"/>
        <v>303564800</v>
      </c>
      <c r="BQ51" s="145"/>
      <c r="BR51" s="73"/>
      <c r="BS51" s="74" t="b">
        <f>+Q51+X51+AE51+AS51+AZ51+BG51+BN51=I51</f>
        <v>1</v>
      </c>
      <c r="BT51" s="74" t="b">
        <f>+R51+Y51+AF51+AT51+BA51+BH51+BO51=K51</f>
        <v>1</v>
      </c>
      <c r="BU51" s="74"/>
      <c r="BV51" s="54"/>
      <c r="BW51" s="54"/>
      <c r="BX51" s="54"/>
      <c r="BY51" s="54"/>
      <c r="BZ51" s="54"/>
      <c r="CA51" s="54"/>
      <c r="CB51" s="54"/>
      <c r="CC51" s="54"/>
      <c r="CD51" s="58"/>
      <c r="CE51" s="58"/>
    </row>
    <row r="52" spans="1:83" ht="16.5" customHeight="1">
      <c r="A52" s="62"/>
      <c r="B52" s="1322"/>
      <c r="C52" s="1531"/>
      <c r="D52" s="1344"/>
      <c r="E52" s="1324"/>
      <c r="F52" s="75" t="s">
        <v>389</v>
      </c>
      <c r="G52" s="76">
        <f>+지급비율!F21*D51/1000</f>
        <v>752640000</v>
      </c>
      <c r="H52" s="76">
        <f>+G52*10%</f>
        <v>75264000</v>
      </c>
      <c r="I52" s="76">
        <f>SUM(G52:H52)</f>
        <v>827904000</v>
      </c>
      <c r="J52" s="75">
        <f t="shared" si="16"/>
        <v>0</v>
      </c>
      <c r="K52" s="80">
        <f>+IFERROR(R52+Y52+AF52+AM52+AT52+BA52+BH52+BO52,"-")</f>
        <v>0</v>
      </c>
      <c r="L52" s="80">
        <f>+I52-K52</f>
        <v>827904000</v>
      </c>
      <c r="M52" s="1332"/>
      <c r="N52" s="78">
        <v>46022</v>
      </c>
      <c r="O52" s="78"/>
      <c r="P52" s="79">
        <f>+IFERROR(Q52/$I52,"-")</f>
        <v>0.2</v>
      </c>
      <c r="Q52" s="70">
        <f>+$I52*지급비율!G21</f>
        <v>165580800</v>
      </c>
      <c r="R52" s="70"/>
      <c r="S52" s="70">
        <f t="shared" si="3"/>
        <v>165580800</v>
      </c>
      <c r="T52" s="81"/>
      <c r="U52" s="78">
        <v>46053</v>
      </c>
      <c r="V52" s="78"/>
      <c r="W52" s="79">
        <f>+IFERROR(X52/$I52,"-")</f>
        <v>0.2</v>
      </c>
      <c r="X52" s="70">
        <f>+$I52*지급비율!N21</f>
        <v>165580800</v>
      </c>
      <c r="Y52" s="70"/>
      <c r="Z52" s="70">
        <f t="shared" si="4"/>
        <v>165580800</v>
      </c>
      <c r="AA52" s="81"/>
      <c r="AB52" s="78">
        <v>46081</v>
      </c>
      <c r="AC52" s="78"/>
      <c r="AD52" s="79">
        <f>+IFERROR(AE52/$I52,"-")</f>
        <v>0.5</v>
      </c>
      <c r="AE52" s="70">
        <f>+$I52*지급비율!U21</f>
        <v>413952000</v>
      </c>
      <c r="AF52" s="70"/>
      <c r="AG52" s="70">
        <f t="shared" si="5"/>
        <v>413952000</v>
      </c>
      <c r="AH52" s="81"/>
      <c r="AI52" s="78"/>
      <c r="AJ52" s="72"/>
      <c r="AK52" s="79">
        <f t="shared" si="6"/>
        <v>0</v>
      </c>
      <c r="AL52" s="70">
        <f>+$I52*지급비율!AB21</f>
        <v>0</v>
      </c>
      <c r="AM52" s="70"/>
      <c r="AN52" s="70">
        <f t="shared" si="7"/>
        <v>0</v>
      </c>
      <c r="AO52" s="81"/>
      <c r="AP52" s="78"/>
      <c r="AQ52" s="72"/>
      <c r="AR52" s="79"/>
      <c r="AS52" s="70">
        <f>+$I52*지급비율!AI21</f>
        <v>0</v>
      </c>
      <c r="AT52" s="70"/>
      <c r="AU52" s="70">
        <f t="shared" si="8"/>
        <v>0</v>
      </c>
      <c r="AV52" s="81"/>
      <c r="AW52" s="78"/>
      <c r="AX52" s="72"/>
      <c r="AY52" s="79"/>
      <c r="AZ52" s="70">
        <f>+$I52*지급비율!AP21</f>
        <v>0</v>
      </c>
      <c r="BA52" s="70"/>
      <c r="BB52" s="70">
        <f t="shared" si="9"/>
        <v>0</v>
      </c>
      <c r="BC52" s="81"/>
      <c r="BD52" s="78"/>
      <c r="BE52" s="72"/>
      <c r="BF52" s="79"/>
      <c r="BG52" s="70">
        <f>+$I52*지급비율!AW21</f>
        <v>0</v>
      </c>
      <c r="BH52" s="70"/>
      <c r="BI52" s="70">
        <f t="shared" si="10"/>
        <v>0</v>
      </c>
      <c r="BJ52" s="81"/>
      <c r="BK52" s="138">
        <v>46173</v>
      </c>
      <c r="BL52" s="72"/>
      <c r="BM52" s="79">
        <f t="shared" si="11"/>
        <v>0.1</v>
      </c>
      <c r="BN52" s="70">
        <f>+$I52*지급비율!BD21</f>
        <v>82790400</v>
      </c>
      <c r="BO52" s="70"/>
      <c r="BP52" s="70">
        <f t="shared" si="12"/>
        <v>82790400</v>
      </c>
      <c r="BQ52" s="81"/>
      <c r="BR52" s="73"/>
      <c r="BS52" s="74" t="b">
        <f>+Q52+X52+AE52+AS52+AZ52+BG52+BN52=I52</f>
        <v>1</v>
      </c>
      <c r="BT52" s="74" t="b">
        <f>+R52+Y52+AF52+AT52+BA52+BH52+BO52=K52</f>
        <v>1</v>
      </c>
      <c r="BU52" s="74" t="b">
        <f>+BG52+BG53+AZ52+AZ53+AS52+AS53+AE52+AE53+X52+X53+Q52+Q53+BN52+BN53=([5]지급비율!$F$21+[5]지급비율!$F$22)*1.1*D51/1000</f>
        <v>1</v>
      </c>
      <c r="BV52" s="54"/>
      <c r="BW52" s="54"/>
      <c r="BX52" s="54"/>
      <c r="BY52" s="54"/>
      <c r="BZ52" s="54"/>
      <c r="CA52" s="54"/>
      <c r="CB52" s="54"/>
      <c r="CC52" s="54"/>
      <c r="CD52" s="58"/>
      <c r="CE52" s="58"/>
    </row>
    <row r="53" spans="1:83" ht="16.5" customHeight="1">
      <c r="A53" s="62"/>
      <c r="B53" s="1322"/>
      <c r="C53" s="1531"/>
      <c r="D53" s="1344"/>
      <c r="E53" s="1324"/>
      <c r="F53" s="75" t="s">
        <v>390</v>
      </c>
      <c r="G53" s="76">
        <f>+지급비율!F22*D51/1000</f>
        <v>501760000.00000006</v>
      </c>
      <c r="H53" s="76">
        <f>+G53*10%</f>
        <v>50176000.000000007</v>
      </c>
      <c r="I53" s="76">
        <f>SUM(G53:H53)</f>
        <v>551936000.00000012</v>
      </c>
      <c r="J53" s="75">
        <f t="shared" si="16"/>
        <v>0</v>
      </c>
      <c r="K53" s="80">
        <f>+IFERROR(R53+Y53+AF53+AM53+AT53+BA53+BH53+BO53,"-")</f>
        <v>0</v>
      </c>
      <c r="L53" s="80">
        <f>+I53-K53</f>
        <v>551936000.00000012</v>
      </c>
      <c r="M53" s="1332"/>
      <c r="N53" s="78">
        <v>46022</v>
      </c>
      <c r="O53" s="78"/>
      <c r="P53" s="79">
        <f>+IFERROR(Q53/$I53,"-")</f>
        <v>0.2</v>
      </c>
      <c r="Q53" s="70">
        <f>+$I53*지급비율!G22</f>
        <v>110387200.00000003</v>
      </c>
      <c r="R53" s="70"/>
      <c r="S53" s="70">
        <f t="shared" si="3"/>
        <v>110387200.00000003</v>
      </c>
      <c r="T53" s="81"/>
      <c r="U53" s="78">
        <v>46053</v>
      </c>
      <c r="V53" s="78"/>
      <c r="W53" s="79">
        <f>+IFERROR(X53/$I53,"-")</f>
        <v>0.2</v>
      </c>
      <c r="X53" s="70">
        <f>+$I53*지급비율!N22</f>
        <v>110387200.00000003</v>
      </c>
      <c r="Y53" s="70"/>
      <c r="Z53" s="70">
        <f t="shared" si="4"/>
        <v>110387200.00000003</v>
      </c>
      <c r="AA53" s="81"/>
      <c r="AB53" s="78">
        <v>46081</v>
      </c>
      <c r="AC53" s="78"/>
      <c r="AD53" s="79">
        <f>+IFERROR(AE53/$I53,"-")</f>
        <v>0.5</v>
      </c>
      <c r="AE53" s="70">
        <f>+$I53*지급비율!U22</f>
        <v>275968000.00000006</v>
      </c>
      <c r="AF53" s="70"/>
      <c r="AG53" s="70">
        <f t="shared" si="5"/>
        <v>275968000.00000006</v>
      </c>
      <c r="AH53" s="81"/>
      <c r="AI53" s="72"/>
      <c r="AJ53" s="72"/>
      <c r="AK53" s="79">
        <f t="shared" si="6"/>
        <v>0</v>
      </c>
      <c r="AL53" s="70">
        <f>+$I53*지급비율!AB22</f>
        <v>0</v>
      </c>
      <c r="AM53" s="70"/>
      <c r="AN53" s="70">
        <f t="shared" si="7"/>
        <v>0</v>
      </c>
      <c r="AO53" s="81"/>
      <c r="AP53" s="72"/>
      <c r="AQ53" s="72"/>
      <c r="AR53" s="79"/>
      <c r="AS53" s="70">
        <f>+$I53*지급비율!AI22</f>
        <v>0</v>
      </c>
      <c r="AT53" s="70"/>
      <c r="AU53" s="70">
        <f t="shared" si="8"/>
        <v>0</v>
      </c>
      <c r="AV53" s="81"/>
      <c r="AW53" s="72"/>
      <c r="AX53" s="72"/>
      <c r="AY53" s="79"/>
      <c r="AZ53" s="70">
        <f>+$I53*지급비율!AP22</f>
        <v>0</v>
      </c>
      <c r="BA53" s="70"/>
      <c r="BB53" s="70">
        <f t="shared" si="9"/>
        <v>0</v>
      </c>
      <c r="BC53" s="81"/>
      <c r="BD53" s="72"/>
      <c r="BE53" s="72"/>
      <c r="BF53" s="79"/>
      <c r="BG53" s="70">
        <f>+$I53*지급비율!AW22</f>
        <v>0</v>
      </c>
      <c r="BH53" s="70"/>
      <c r="BI53" s="70">
        <f t="shared" si="10"/>
        <v>0</v>
      </c>
      <c r="BJ53" s="81"/>
      <c r="BK53" s="72">
        <v>46173</v>
      </c>
      <c r="BL53" s="72"/>
      <c r="BM53" s="79">
        <f t="shared" si="11"/>
        <v>0.1</v>
      </c>
      <c r="BN53" s="70">
        <f>+$I53*지급비율!BD22</f>
        <v>55193600.000000015</v>
      </c>
      <c r="BO53" s="70"/>
      <c r="BP53" s="70">
        <f t="shared" si="12"/>
        <v>55193600.000000015</v>
      </c>
      <c r="BQ53" s="81"/>
      <c r="BR53" s="73"/>
      <c r="BS53" s="74" t="b">
        <f>+Q53+X53+AE53+AS53+AZ53+BG53+BN53=I53</f>
        <v>1</v>
      </c>
      <c r="BT53" s="74" t="b">
        <f>+R53+Y53+AF53+AT53+BA53+BH53+BO53=K53</f>
        <v>1</v>
      </c>
      <c r="BU53" s="74"/>
      <c r="BV53" s="54"/>
      <c r="BW53" s="54"/>
      <c r="BX53" s="54"/>
      <c r="BY53" s="54"/>
      <c r="BZ53" s="54"/>
      <c r="CA53" s="54"/>
      <c r="CB53" s="54"/>
      <c r="CC53" s="54"/>
      <c r="CD53" s="58"/>
      <c r="CE53" s="58"/>
    </row>
    <row r="54" spans="1:83" ht="16.5" customHeight="1">
      <c r="A54" s="62"/>
      <c r="B54" s="1322"/>
      <c r="C54" s="1531"/>
      <c r="D54" s="1344"/>
      <c r="E54" s="1324"/>
      <c r="F54" s="101" t="s">
        <v>391</v>
      </c>
      <c r="G54" s="102">
        <f>+지급비율!F23*D51/1000</f>
        <v>501760000.00000006</v>
      </c>
      <c r="H54" s="102">
        <f>+G54*0.1</f>
        <v>50176000.000000007</v>
      </c>
      <c r="I54" s="102">
        <f>SUM(G54:H54)</f>
        <v>551936000.00000012</v>
      </c>
      <c r="J54" s="101">
        <f t="shared" si="16"/>
        <v>0</v>
      </c>
      <c r="K54" s="106">
        <f>+IFERROR(R54+Y54+AF54+AM54+AT54+BA54+BH54+BO54,"-")</f>
        <v>0</v>
      </c>
      <c r="L54" s="106">
        <f>+I54-K54</f>
        <v>551936000.00000012</v>
      </c>
      <c r="M54" s="1333"/>
      <c r="N54" s="430"/>
      <c r="O54" s="431"/>
      <c r="P54" s="432"/>
      <c r="Q54" s="433">
        <f>+$I54*지급비율!G23</f>
        <v>0</v>
      </c>
      <c r="R54" s="433"/>
      <c r="S54" s="433">
        <f t="shared" si="3"/>
        <v>0</v>
      </c>
      <c r="T54" s="431"/>
      <c r="U54" s="85"/>
      <c r="V54" s="101"/>
      <c r="W54" s="105"/>
      <c r="X54" s="106">
        <f>+$I54*지급비율!N23</f>
        <v>0</v>
      </c>
      <c r="Y54" s="106"/>
      <c r="Z54" s="106">
        <f t="shared" si="4"/>
        <v>0</v>
      </c>
      <c r="AA54" s="101"/>
      <c r="AB54" s="85"/>
      <c r="AC54" s="101"/>
      <c r="AD54" s="105"/>
      <c r="AE54" s="106">
        <f>+$I54*지급비율!U23</f>
        <v>0</v>
      </c>
      <c r="AF54" s="106"/>
      <c r="AG54" s="106">
        <f t="shared" si="5"/>
        <v>0</v>
      </c>
      <c r="AH54" s="101"/>
      <c r="AI54" s="85"/>
      <c r="AJ54" s="101"/>
      <c r="AK54" s="105">
        <f t="shared" si="6"/>
        <v>0</v>
      </c>
      <c r="AL54" s="106">
        <f>+$I54*지급비율!AB23</f>
        <v>0</v>
      </c>
      <c r="AM54" s="106"/>
      <c r="AN54" s="106">
        <f t="shared" si="7"/>
        <v>0</v>
      </c>
      <c r="AO54" s="101"/>
      <c r="AP54" s="85"/>
      <c r="AQ54" s="101"/>
      <c r="AR54" s="105"/>
      <c r="AS54" s="106">
        <f>+$I54*지급비율!AI23</f>
        <v>0</v>
      </c>
      <c r="AT54" s="106"/>
      <c r="AU54" s="106">
        <f t="shared" si="8"/>
        <v>0</v>
      </c>
      <c r="AV54" s="101"/>
      <c r="AW54" s="85"/>
      <c r="AX54" s="101"/>
      <c r="AY54" s="105"/>
      <c r="AZ54" s="106">
        <f>+$I54*지급비율!AP23</f>
        <v>0</v>
      </c>
      <c r="BA54" s="106"/>
      <c r="BB54" s="106">
        <f t="shared" si="9"/>
        <v>0</v>
      </c>
      <c r="BC54" s="101"/>
      <c r="BD54" s="85"/>
      <c r="BE54" s="101"/>
      <c r="BF54" s="105"/>
      <c r="BG54" s="106">
        <f>+$I54*지급비율!AW23</f>
        <v>0</v>
      </c>
      <c r="BH54" s="106"/>
      <c r="BI54" s="106">
        <f t="shared" si="10"/>
        <v>0</v>
      </c>
      <c r="BJ54" s="101"/>
      <c r="BK54" s="104">
        <v>46173</v>
      </c>
      <c r="BL54" s="101"/>
      <c r="BM54" s="105">
        <f t="shared" si="11"/>
        <v>1</v>
      </c>
      <c r="BN54" s="106">
        <f>+$I54*지급비율!BD23</f>
        <v>551936000.00000012</v>
      </c>
      <c r="BO54" s="106"/>
      <c r="BP54" s="106">
        <f t="shared" si="12"/>
        <v>551936000.00000012</v>
      </c>
      <c r="BQ54" s="101"/>
      <c r="BR54" s="88"/>
      <c r="BS54" s="89" t="b">
        <f>+Q54+X54+AE54+AS54+AZ54+BG54+BN54=I54</f>
        <v>1</v>
      </c>
      <c r="BT54" s="90" t="b">
        <f>+R54+Y54+AF54+AT54+BA54+BH54+BO54=K54</f>
        <v>1</v>
      </c>
      <c r="BU54" s="90"/>
      <c r="BV54" s="54"/>
      <c r="BW54" s="54"/>
      <c r="BX54" s="54"/>
      <c r="BY54" s="54"/>
      <c r="BZ54" s="54"/>
      <c r="CA54" s="54"/>
      <c r="CB54" s="54"/>
      <c r="CC54" s="54"/>
      <c r="CD54" s="58"/>
      <c r="CE54" s="58"/>
    </row>
    <row r="55" spans="1:83" ht="16.5" customHeight="1">
      <c r="A55" s="62"/>
      <c r="B55" s="1322"/>
      <c r="C55" s="1531"/>
      <c r="D55" s="1345"/>
      <c r="E55" s="1324"/>
      <c r="F55" s="91" t="s">
        <v>392</v>
      </c>
      <c r="G55" s="92">
        <f>SUM(G51:G54)</f>
        <v>4515840000</v>
      </c>
      <c r="H55" s="92">
        <f>SUM(H51:H54)</f>
        <v>451584000</v>
      </c>
      <c r="I55" s="92">
        <f>SUM(I51:I54)</f>
        <v>4967424000</v>
      </c>
      <c r="J55" s="91">
        <f t="shared" si="16"/>
        <v>0</v>
      </c>
      <c r="K55" s="92">
        <f>SUM(K51:K54)</f>
        <v>0</v>
      </c>
      <c r="L55" s="92">
        <f>SUM(L51:L54)</f>
        <v>4967424000</v>
      </c>
      <c r="M55" s="419">
        <f>+Q52+Q53</f>
        <v>275968000</v>
      </c>
      <c r="N55" s="93"/>
      <c r="O55" s="91"/>
      <c r="P55" s="94">
        <f t="shared" ref="P55:P60" si="18">+IFERROR(Q55/$I55,"-")</f>
        <v>5.5555555555555552E-2</v>
      </c>
      <c r="Q55" s="92">
        <f>SUM(Q51:Q54)</f>
        <v>275968000</v>
      </c>
      <c r="R55" s="92">
        <f>SUM(R51:R54)</f>
        <v>0</v>
      </c>
      <c r="S55" s="92">
        <f t="shared" si="3"/>
        <v>275968000</v>
      </c>
      <c r="T55" s="91"/>
      <c r="U55" s="93"/>
      <c r="V55" s="91"/>
      <c r="W55" s="94">
        <f t="shared" ref="W55:W60" si="19">+IFERROR(X55/$I55,"-")</f>
        <v>5.5555555555555552E-2</v>
      </c>
      <c r="X55" s="92">
        <f>SUM(X51:X54)</f>
        <v>275968000</v>
      </c>
      <c r="Y55" s="92">
        <f>SUM(Y51:Y54)</f>
        <v>0</v>
      </c>
      <c r="Z55" s="92">
        <f t="shared" si="4"/>
        <v>275968000</v>
      </c>
      <c r="AA55" s="91"/>
      <c r="AB55" s="93"/>
      <c r="AC55" s="91"/>
      <c r="AD55" s="94">
        <f t="shared" ref="AD55:AD60" si="20">+IFERROR(AE55/$I55,"-")</f>
        <v>0.44444444444444442</v>
      </c>
      <c r="AE55" s="92">
        <f>SUM(AE51:AE54)</f>
        <v>2207744000</v>
      </c>
      <c r="AF55" s="92">
        <f>SUM(AF51:AF54)</f>
        <v>0</v>
      </c>
      <c r="AG55" s="92">
        <f t="shared" si="5"/>
        <v>2207744000</v>
      </c>
      <c r="AH55" s="91"/>
      <c r="AI55" s="93"/>
      <c r="AJ55" s="91"/>
      <c r="AK55" s="94">
        <f t="shared" si="6"/>
        <v>0</v>
      </c>
      <c r="AL55" s="92">
        <f>SUM(AL51:AL54)</f>
        <v>0</v>
      </c>
      <c r="AM55" s="92">
        <f>SUM(AM51:AM54)</f>
        <v>0</v>
      </c>
      <c r="AN55" s="92">
        <f t="shared" si="7"/>
        <v>0</v>
      </c>
      <c r="AO55" s="91"/>
      <c r="AP55" s="93"/>
      <c r="AQ55" s="91"/>
      <c r="AR55" s="94">
        <f t="shared" ref="AR55:AR60" si="21">+IFERROR(AS55/$I55,"-")</f>
        <v>0</v>
      </c>
      <c r="AS55" s="92">
        <f>SUM(AS51:AS54)</f>
        <v>0</v>
      </c>
      <c r="AT55" s="92">
        <f>SUM(AT51:AT54)</f>
        <v>0</v>
      </c>
      <c r="AU55" s="92">
        <f t="shared" si="8"/>
        <v>0</v>
      </c>
      <c r="AV55" s="91"/>
      <c r="AW55" s="93"/>
      <c r="AX55" s="91"/>
      <c r="AY55" s="94">
        <f t="shared" ref="AY55:AY60" si="22">+IFERROR(AZ55/$I55,"-")</f>
        <v>0</v>
      </c>
      <c r="AZ55" s="92">
        <f>SUM(AZ51:AZ54)</f>
        <v>0</v>
      </c>
      <c r="BA55" s="92">
        <f>SUM(BA51:BA54)</f>
        <v>0</v>
      </c>
      <c r="BB55" s="92">
        <f t="shared" si="9"/>
        <v>0</v>
      </c>
      <c r="BC55" s="91"/>
      <c r="BD55" s="93"/>
      <c r="BE55" s="91"/>
      <c r="BF55" s="94">
        <f t="shared" ref="BF55:BF60" si="23">+IFERROR(BG55/$I55,"-")</f>
        <v>0.24444444444444444</v>
      </c>
      <c r="BG55" s="92">
        <f>SUM(BG51:BG54)</f>
        <v>1214259200</v>
      </c>
      <c r="BH55" s="92">
        <f>SUM(BH51:BH54)</f>
        <v>0</v>
      </c>
      <c r="BI55" s="92">
        <f t="shared" si="10"/>
        <v>1214259200</v>
      </c>
      <c r="BJ55" s="91"/>
      <c r="BK55" s="93"/>
      <c r="BL55" s="91"/>
      <c r="BM55" s="94">
        <f t="shared" si="11"/>
        <v>0.2</v>
      </c>
      <c r="BN55" s="92">
        <f>SUM(BN51:BN54)</f>
        <v>993484800.00000012</v>
      </c>
      <c r="BO55" s="92">
        <f>SUM(BO51:BO54)</f>
        <v>0</v>
      </c>
      <c r="BP55" s="92">
        <f t="shared" si="12"/>
        <v>993484800.00000012</v>
      </c>
      <c r="BQ55" s="91"/>
      <c r="BR55" s="88"/>
      <c r="BS55" s="96"/>
      <c r="BT55" s="96"/>
      <c r="BU55" s="139"/>
      <c r="BV55" s="54"/>
      <c r="BW55" s="54"/>
      <c r="BX55" s="54"/>
      <c r="BY55" s="54"/>
      <c r="BZ55" s="54"/>
      <c r="CA55" s="54"/>
      <c r="CB55" s="54"/>
      <c r="CC55" s="54"/>
      <c r="CD55" s="58"/>
      <c r="CE55" s="58"/>
    </row>
    <row r="56" spans="1:83" ht="16.5" customHeight="1">
      <c r="A56" s="146"/>
      <c r="B56" s="1529" t="s">
        <v>392</v>
      </c>
      <c r="C56" s="1529"/>
      <c r="D56" s="1536">
        <f>+SUM(D11:D55)</f>
        <v>7946.6900000000005</v>
      </c>
      <c r="E56" s="1529"/>
      <c r="F56" s="147" t="s">
        <v>388</v>
      </c>
      <c r="G56" s="148">
        <f>+G11+G16+G21+G26+G31+G36+G41+G46+G51</f>
        <v>8741359000</v>
      </c>
      <c r="H56" s="148">
        <f>+G56*10%</f>
        <v>874135900</v>
      </c>
      <c r="I56" s="148">
        <f t="shared" ref="I56:I58" si="24">SUM(G56:H56)</f>
        <v>9615494900</v>
      </c>
      <c r="J56" s="147">
        <f t="shared" si="16"/>
        <v>0</v>
      </c>
      <c r="K56" s="148">
        <f>+K11+K16+K21+K26+K31+K36+K41+K46+K51</f>
        <v>0</v>
      </c>
      <c r="L56" s="148">
        <f>+I56-K56</f>
        <v>9615494900</v>
      </c>
      <c r="M56" s="421"/>
      <c r="N56" s="149"/>
      <c r="O56" s="149"/>
      <c r="P56" s="141">
        <f t="shared" si="18"/>
        <v>0</v>
      </c>
      <c r="Q56" s="148">
        <f t="shared" ref="Q56:R59" si="25">+Q11+Q16+Q21+Q26+Q31+Q36+Q41+Q46+Q51</f>
        <v>0</v>
      </c>
      <c r="R56" s="148">
        <f t="shared" si="25"/>
        <v>0</v>
      </c>
      <c r="S56" s="150">
        <f t="shared" si="3"/>
        <v>0</v>
      </c>
      <c r="T56" s="151"/>
      <c r="U56" s="149"/>
      <c r="V56" s="149"/>
      <c r="W56" s="141">
        <f t="shared" si="19"/>
        <v>0</v>
      </c>
      <c r="X56" s="148">
        <f t="shared" ref="X56:Y56" si="26">+X11+X16+X21+X26+X31+X36+X41+X46+X51</f>
        <v>0</v>
      </c>
      <c r="Y56" s="148">
        <f t="shared" si="26"/>
        <v>0</v>
      </c>
      <c r="Z56" s="150">
        <f t="shared" si="4"/>
        <v>0</v>
      </c>
      <c r="AA56" s="151"/>
      <c r="AB56" s="149"/>
      <c r="AC56" s="149"/>
      <c r="AD56" s="141">
        <f t="shared" si="20"/>
        <v>0.48222027032638748</v>
      </c>
      <c r="AE56" s="148">
        <f t="shared" ref="AE56:AF56" si="27">+AE11+AE16+AE21+AE26+AE31+AE36+AE41+AE46+AE51</f>
        <v>4636786550</v>
      </c>
      <c r="AF56" s="148">
        <f t="shared" si="27"/>
        <v>0</v>
      </c>
      <c r="AG56" s="150">
        <f t="shared" si="5"/>
        <v>4636786550</v>
      </c>
      <c r="AH56" s="151"/>
      <c r="AI56" s="149"/>
      <c r="AJ56" s="149"/>
      <c r="AK56" s="141">
        <f t="shared" si="6"/>
        <v>0</v>
      </c>
      <c r="AL56" s="148">
        <f t="shared" ref="AL56:AM56" si="28">+AL11+AL16+AL21+AL26+AL31+AL36+AL41+AL46+AL51</f>
        <v>0</v>
      </c>
      <c r="AM56" s="148">
        <f t="shared" si="28"/>
        <v>0</v>
      </c>
      <c r="AN56" s="150">
        <f t="shared" si="7"/>
        <v>0</v>
      </c>
      <c r="AO56" s="151"/>
      <c r="AP56" s="149"/>
      <c r="AQ56" s="149"/>
      <c r="AR56" s="141">
        <f t="shared" si="21"/>
        <v>0</v>
      </c>
      <c r="AS56" s="148">
        <f t="shared" ref="AS56:AT56" si="29">+AS11+AS16+AS21+AS26+AS31+AS36+AS41+AS46+AS51</f>
        <v>0</v>
      </c>
      <c r="AT56" s="148">
        <f t="shared" si="29"/>
        <v>0</v>
      </c>
      <c r="AU56" s="150">
        <f t="shared" si="8"/>
        <v>0</v>
      </c>
      <c r="AV56" s="151"/>
      <c r="AW56" s="149"/>
      <c r="AX56" s="149"/>
      <c r="AY56" s="141">
        <f t="shared" si="22"/>
        <v>0</v>
      </c>
      <c r="AZ56" s="148">
        <f t="shared" ref="AZ56:BA56" si="30">+AZ11+AZ16+AZ21+AZ26+AZ31+AZ36+AZ41+AZ46+AZ51</f>
        <v>0</v>
      </c>
      <c r="BA56" s="148">
        <f t="shared" si="30"/>
        <v>0</v>
      </c>
      <c r="BB56" s="150">
        <f t="shared" si="9"/>
        <v>0</v>
      </c>
      <c r="BC56" s="151"/>
      <c r="BD56" s="149"/>
      <c r="BE56" s="149"/>
      <c r="BF56" s="141">
        <f t="shared" si="23"/>
        <v>0.38577621626110997</v>
      </c>
      <c r="BG56" s="148">
        <f t="shared" ref="BG56:BH56" si="31">+BG11+BG16+BG21+BG26+BG31+BG36+BG41+BG46+BG51</f>
        <v>3709429240</v>
      </c>
      <c r="BH56" s="148">
        <f t="shared" si="31"/>
        <v>0</v>
      </c>
      <c r="BI56" s="150">
        <f t="shared" si="10"/>
        <v>3709429240</v>
      </c>
      <c r="BJ56" s="151"/>
      <c r="BK56" s="149"/>
      <c r="BL56" s="149"/>
      <c r="BM56" s="141">
        <f t="shared" si="11"/>
        <v>9.6444054065277493E-2</v>
      </c>
      <c r="BN56" s="148">
        <f t="shared" ref="BN56:BO56" si="32">+BN11+BN16+BN21+BN26+BN31+BN36+BN41+BN46+BN51</f>
        <v>927357310</v>
      </c>
      <c r="BO56" s="148">
        <f t="shared" si="32"/>
        <v>0</v>
      </c>
      <c r="BP56" s="150">
        <f t="shared" si="12"/>
        <v>927357310</v>
      </c>
      <c r="BQ56" s="151"/>
      <c r="BR56" s="73"/>
      <c r="BS56" s="113"/>
      <c r="BT56" s="113" t="b">
        <f>+R56+Y56+AF56+AT56+BA56+BH56+BO56=K56</f>
        <v>1</v>
      </c>
      <c r="BU56" s="113"/>
      <c r="BV56" s="54"/>
      <c r="BW56" s="54"/>
      <c r="BX56" s="54"/>
      <c r="BY56" s="54"/>
      <c r="BZ56" s="54"/>
      <c r="CA56" s="54"/>
      <c r="CB56" s="54"/>
      <c r="CC56" s="54"/>
      <c r="CD56" s="58"/>
      <c r="CE56" s="58"/>
    </row>
    <row r="57" spans="1:83" ht="16.5" customHeight="1">
      <c r="A57" s="146"/>
      <c r="B57" s="1529"/>
      <c r="C57" s="1529"/>
      <c r="D57" s="1536"/>
      <c r="E57" s="1529"/>
      <c r="F57" s="114" t="s">
        <v>389</v>
      </c>
      <c r="G57" s="115">
        <f t="shared" ref="G57:G59" si="33">+G12+G17+G22+G27+G32+G37+G42+G47+G52</f>
        <v>2384007000</v>
      </c>
      <c r="H57" s="115">
        <f>+G57*10%</f>
        <v>238400700</v>
      </c>
      <c r="I57" s="115">
        <f t="shared" si="24"/>
        <v>2622407700</v>
      </c>
      <c r="J57" s="114">
        <f t="shared" si="16"/>
        <v>1.0887048569907723E-2</v>
      </c>
      <c r="K57" s="115">
        <f t="shared" ref="K57:K59" si="34">+K12+K17+K22+K27+K32+K37+K42+K47+K52</f>
        <v>28550280</v>
      </c>
      <c r="L57" s="115">
        <f t="shared" ref="L57:L59" si="35">+I57-K57</f>
        <v>2593857420</v>
      </c>
      <c r="M57" s="422"/>
      <c r="N57" s="152"/>
      <c r="O57" s="152"/>
      <c r="P57" s="117">
        <f t="shared" si="18"/>
        <v>0.23076501033763744</v>
      </c>
      <c r="Q57" s="115">
        <f t="shared" si="25"/>
        <v>605159940</v>
      </c>
      <c r="R57" s="115">
        <f t="shared" si="25"/>
        <v>28550280</v>
      </c>
      <c r="S57" s="153">
        <f t="shared" ref="S57:S58" si="36">+Q57-R57</f>
        <v>576609660</v>
      </c>
      <c r="T57" s="118"/>
      <c r="U57" s="152"/>
      <c r="V57" s="152"/>
      <c r="W57" s="117">
        <f t="shared" si="19"/>
        <v>0.16212309779291756</v>
      </c>
      <c r="X57" s="115">
        <f t="shared" ref="X57:Y57" si="37">+X12+X17+X22+X27+X32+X37+X42+X47+X52</f>
        <v>425152860</v>
      </c>
      <c r="Y57" s="115">
        <f t="shared" si="37"/>
        <v>0</v>
      </c>
      <c r="Z57" s="153">
        <f t="shared" ref="Z57:Z58" si="38">+X57-Y57</f>
        <v>425152860</v>
      </c>
      <c r="AA57" s="118"/>
      <c r="AB57" s="152"/>
      <c r="AC57" s="152"/>
      <c r="AD57" s="117">
        <f t="shared" si="20"/>
        <v>0.48222027032638748</v>
      </c>
      <c r="AE57" s="115">
        <f t="shared" ref="AE57:AF57" si="39">+AE12+AE17+AE22+AE27+AE32+AE37+AE42+AE47+AE52</f>
        <v>1264578150</v>
      </c>
      <c r="AF57" s="115">
        <f t="shared" si="39"/>
        <v>0</v>
      </c>
      <c r="AG57" s="153">
        <f t="shared" ref="AG57:AG58" si="40">+AE57-AF57</f>
        <v>1264578150</v>
      </c>
      <c r="AH57" s="118"/>
      <c r="AI57" s="152"/>
      <c r="AJ57" s="152"/>
      <c r="AK57" s="117">
        <f t="shared" si="6"/>
        <v>0</v>
      </c>
      <c r="AL57" s="115">
        <f t="shared" ref="AL57:AM57" si="41">+AL12+AL17+AL22+AL27+AL32+AL37+AL42+AL47+AL52</f>
        <v>0</v>
      </c>
      <c r="AM57" s="115">
        <f t="shared" si="41"/>
        <v>0</v>
      </c>
      <c r="AN57" s="153">
        <f t="shared" ref="AN57:AN58" si="42">+AL57-AM57</f>
        <v>0</v>
      </c>
      <c r="AO57" s="118"/>
      <c r="AP57" s="152"/>
      <c r="AQ57" s="152"/>
      <c r="AR57" s="117">
        <f t="shared" si="21"/>
        <v>0</v>
      </c>
      <c r="AS57" s="115">
        <f t="shared" ref="AS57:AT57" si="43">+AS12+AS17+AS22+AS27+AS32+AS37+AS42+AS47+AS52</f>
        <v>0</v>
      </c>
      <c r="AT57" s="115">
        <f t="shared" si="43"/>
        <v>0</v>
      </c>
      <c r="AU57" s="153">
        <f t="shared" ref="AU57:AU58" si="44">+AS57-AT57</f>
        <v>0</v>
      </c>
      <c r="AV57" s="118"/>
      <c r="AW57" s="152"/>
      <c r="AX57" s="152"/>
      <c r="AY57" s="117">
        <f t="shared" si="22"/>
        <v>0</v>
      </c>
      <c r="AZ57" s="115">
        <f t="shared" ref="AZ57:BA57" si="45">+AZ12+AZ17+AZ22+AZ27+AZ32+AZ37+AZ42+AZ47+AZ52</f>
        <v>0</v>
      </c>
      <c r="BA57" s="115">
        <f t="shared" si="45"/>
        <v>0</v>
      </c>
      <c r="BB57" s="153">
        <f t="shared" ref="BB57:BB58" si="46">+AZ57-BA57</f>
        <v>0</v>
      </c>
      <c r="BC57" s="118"/>
      <c r="BD57" s="152"/>
      <c r="BE57" s="152"/>
      <c r="BF57" s="117">
        <f t="shared" si="23"/>
        <v>0</v>
      </c>
      <c r="BG57" s="115">
        <f t="shared" ref="BG57:BH57" si="47">+BG12+BG17+BG22+BG27+BG32+BG37+BG42+BG47+BG52</f>
        <v>0</v>
      </c>
      <c r="BH57" s="115">
        <f t="shared" si="47"/>
        <v>0</v>
      </c>
      <c r="BI57" s="153">
        <f t="shared" ref="BI57:BI58" si="48">+BG57-BH57</f>
        <v>0</v>
      </c>
      <c r="BJ57" s="118"/>
      <c r="BK57" s="152"/>
      <c r="BL57" s="152"/>
      <c r="BM57" s="117">
        <f t="shared" si="11"/>
        <v>9.6444054065277493E-2</v>
      </c>
      <c r="BN57" s="115">
        <f t="shared" ref="BN57:BO57" si="49">+BN12+BN17+BN22+BN27+BN32+BN37+BN42+BN47+BN52</f>
        <v>252915630</v>
      </c>
      <c r="BO57" s="115">
        <f t="shared" si="49"/>
        <v>0</v>
      </c>
      <c r="BP57" s="153">
        <f t="shared" ref="BP57:BP58" si="50">+BN57-BO57</f>
        <v>252915630</v>
      </c>
      <c r="BQ57" s="118"/>
      <c r="BR57" s="73"/>
      <c r="BS57" s="113"/>
      <c r="BT57" s="113" t="b">
        <f>+R57+Y57+AF57+AT57+BA57+BH57+BO57=K57</f>
        <v>1</v>
      </c>
      <c r="BU57" s="113" t="b">
        <f>+BG57+BG58+AZ57+AZ58+AS57+AS58+AE57+AE58+X57+X58+Q57+Q58+BN57+BN58=([5]지급비율!$F$21+[5]지급비율!$F$22)*1.1*D56/1000</f>
        <v>0</v>
      </c>
      <c r="BV57" s="54"/>
      <c r="BW57" s="54"/>
      <c r="BX57" s="54"/>
      <c r="BY57" s="54"/>
      <c r="BZ57" s="54"/>
      <c r="CA57" s="54"/>
      <c r="CB57" s="54"/>
      <c r="CC57" s="54"/>
      <c r="CD57" s="58"/>
      <c r="CE57" s="58"/>
    </row>
    <row r="58" spans="1:83" ht="16.5" customHeight="1">
      <c r="A58" s="146"/>
      <c r="B58" s="1529"/>
      <c r="C58" s="1529"/>
      <c r="D58" s="1536"/>
      <c r="E58" s="1529"/>
      <c r="F58" s="114" t="s">
        <v>390</v>
      </c>
      <c r="G58" s="115">
        <f t="shared" si="33"/>
        <v>1589338000</v>
      </c>
      <c r="H58" s="115">
        <f t="shared" ref="H58" si="51">+G58*10%</f>
        <v>158933800</v>
      </c>
      <c r="I58" s="115">
        <f t="shared" si="24"/>
        <v>1748271800</v>
      </c>
      <c r="J58" s="114">
        <f t="shared" si="16"/>
        <v>1.0887048569907723E-2</v>
      </c>
      <c r="K58" s="115">
        <f t="shared" si="34"/>
        <v>19033520</v>
      </c>
      <c r="L58" s="115">
        <f t="shared" si="35"/>
        <v>1729238280</v>
      </c>
      <c r="M58" s="422"/>
      <c r="N58" s="152"/>
      <c r="O58" s="152"/>
      <c r="P58" s="117">
        <f t="shared" si="18"/>
        <v>0.23076501033763744</v>
      </c>
      <c r="Q58" s="115">
        <f t="shared" si="25"/>
        <v>403439960</v>
      </c>
      <c r="R58" s="115">
        <f t="shared" si="25"/>
        <v>19033520</v>
      </c>
      <c r="S58" s="153">
        <f t="shared" si="36"/>
        <v>384406440</v>
      </c>
      <c r="T58" s="118"/>
      <c r="U58" s="152"/>
      <c r="V58" s="152"/>
      <c r="W58" s="117">
        <f t="shared" si="19"/>
        <v>0.16212309779291756</v>
      </c>
      <c r="X58" s="115">
        <f t="shared" ref="X58:Y58" si="52">+X13+X18+X23+X28+X33+X38+X43+X48+X53</f>
        <v>283435240</v>
      </c>
      <c r="Y58" s="115">
        <f t="shared" si="52"/>
        <v>0</v>
      </c>
      <c r="Z58" s="153">
        <f t="shared" si="38"/>
        <v>283435240</v>
      </c>
      <c r="AA58" s="118"/>
      <c r="AB58" s="152"/>
      <c r="AC58" s="152"/>
      <c r="AD58" s="117">
        <f t="shared" si="20"/>
        <v>0.48222027032638748</v>
      </c>
      <c r="AE58" s="115">
        <f t="shared" ref="AE58:AF58" si="53">+AE13+AE18+AE23+AE28+AE33+AE38+AE43+AE48+AE53</f>
        <v>843052100</v>
      </c>
      <c r="AF58" s="115">
        <f t="shared" si="53"/>
        <v>0</v>
      </c>
      <c r="AG58" s="153">
        <f t="shared" si="40"/>
        <v>843052100</v>
      </c>
      <c r="AH58" s="118"/>
      <c r="AI58" s="152"/>
      <c r="AJ58" s="152"/>
      <c r="AK58" s="117">
        <f t="shared" si="6"/>
        <v>0</v>
      </c>
      <c r="AL58" s="115">
        <f t="shared" ref="AL58:AM58" si="54">+AL13+AL18+AL23+AL28+AL33+AL38+AL43+AL48+AL53</f>
        <v>0</v>
      </c>
      <c r="AM58" s="115">
        <f t="shared" si="54"/>
        <v>0</v>
      </c>
      <c r="AN58" s="153">
        <f t="shared" si="42"/>
        <v>0</v>
      </c>
      <c r="AO58" s="118"/>
      <c r="AP58" s="152"/>
      <c r="AQ58" s="152"/>
      <c r="AR58" s="117">
        <f t="shared" si="21"/>
        <v>0</v>
      </c>
      <c r="AS58" s="115">
        <f t="shared" ref="AS58:AT58" si="55">+AS13+AS18+AS23+AS28+AS33+AS38+AS43+AS48+AS53</f>
        <v>0</v>
      </c>
      <c r="AT58" s="115">
        <f t="shared" si="55"/>
        <v>0</v>
      </c>
      <c r="AU58" s="153">
        <f t="shared" si="44"/>
        <v>0</v>
      </c>
      <c r="AV58" s="118"/>
      <c r="AW58" s="152"/>
      <c r="AX58" s="152"/>
      <c r="AY58" s="117">
        <f t="shared" si="22"/>
        <v>0</v>
      </c>
      <c r="AZ58" s="115">
        <f t="shared" ref="AZ58:BA58" si="56">+AZ13+AZ18+AZ23+AZ28+AZ33+AZ38+AZ43+AZ48+AZ53</f>
        <v>0</v>
      </c>
      <c r="BA58" s="115">
        <f t="shared" si="56"/>
        <v>0</v>
      </c>
      <c r="BB58" s="153">
        <f t="shared" si="46"/>
        <v>0</v>
      </c>
      <c r="BC58" s="118"/>
      <c r="BD58" s="152"/>
      <c r="BE58" s="152"/>
      <c r="BF58" s="117">
        <f t="shared" si="23"/>
        <v>0</v>
      </c>
      <c r="BG58" s="115">
        <f t="shared" ref="BG58:BH58" si="57">+BG13+BG18+BG23+BG28+BG33+BG38+BG43+BG48+BG53</f>
        <v>0</v>
      </c>
      <c r="BH58" s="115">
        <f t="shared" si="57"/>
        <v>0</v>
      </c>
      <c r="BI58" s="153">
        <f t="shared" si="48"/>
        <v>0</v>
      </c>
      <c r="BJ58" s="118"/>
      <c r="BK58" s="152"/>
      <c r="BL58" s="152"/>
      <c r="BM58" s="117">
        <f t="shared" si="11"/>
        <v>9.6444054065277507E-2</v>
      </c>
      <c r="BN58" s="115">
        <f t="shared" ref="BN58:BO58" si="58">+BN13+BN18+BN23+BN28+BN33+BN38+BN43+BN48+BN53</f>
        <v>168610420.00000003</v>
      </c>
      <c r="BO58" s="115">
        <f t="shared" si="58"/>
        <v>0</v>
      </c>
      <c r="BP58" s="153">
        <f t="shared" si="50"/>
        <v>168610420.00000003</v>
      </c>
      <c r="BQ58" s="118"/>
      <c r="BR58" s="73"/>
      <c r="BS58" s="113"/>
      <c r="BT58" s="113" t="b">
        <f>+R58+Y58+AF58+AT58+BA58+BH58+BO58=K58</f>
        <v>1</v>
      </c>
      <c r="BU58" s="113"/>
      <c r="BV58" s="54"/>
      <c r="BW58" s="54"/>
      <c r="BX58" s="54"/>
      <c r="BY58" s="54"/>
      <c r="BZ58" s="54"/>
      <c r="CA58" s="54"/>
      <c r="CB58" s="54"/>
      <c r="CC58" s="54"/>
      <c r="CD58" s="58"/>
      <c r="CE58" s="58"/>
    </row>
    <row r="59" spans="1:83" ht="16.5" customHeight="1">
      <c r="A59" s="146"/>
      <c r="B59" s="1529"/>
      <c r="C59" s="1529"/>
      <c r="D59" s="1536"/>
      <c r="E59" s="1529"/>
      <c r="F59" s="119" t="s">
        <v>391</v>
      </c>
      <c r="G59" s="120">
        <f t="shared" si="33"/>
        <v>1589338000</v>
      </c>
      <c r="H59" s="120">
        <f>+G59*0.1</f>
        <v>158933800</v>
      </c>
      <c r="I59" s="120">
        <f>SUM(G59:H59)</f>
        <v>1748271800</v>
      </c>
      <c r="J59" s="154"/>
      <c r="K59" s="120">
        <f t="shared" si="34"/>
        <v>0</v>
      </c>
      <c r="L59" s="120">
        <f t="shared" si="35"/>
        <v>1748271800</v>
      </c>
      <c r="M59" s="423"/>
      <c r="N59" s="155"/>
      <c r="O59" s="155"/>
      <c r="P59" s="121">
        <f t="shared" si="18"/>
        <v>0</v>
      </c>
      <c r="Q59" s="120">
        <f t="shared" si="25"/>
        <v>0</v>
      </c>
      <c r="R59" s="120">
        <f t="shared" si="25"/>
        <v>0</v>
      </c>
      <c r="S59" s="156">
        <f>+Q59-R59</f>
        <v>0</v>
      </c>
      <c r="T59" s="157"/>
      <c r="U59" s="155"/>
      <c r="V59" s="155"/>
      <c r="W59" s="121">
        <f t="shared" si="19"/>
        <v>0</v>
      </c>
      <c r="X59" s="120">
        <f t="shared" ref="X59:Y59" si="59">+X14+X19+X24+X29+X34+X39+X44+X49+X54</f>
        <v>0</v>
      </c>
      <c r="Y59" s="120">
        <f t="shared" si="59"/>
        <v>0</v>
      </c>
      <c r="Z59" s="156">
        <f>+X59-Y59</f>
        <v>0</v>
      </c>
      <c r="AA59" s="157"/>
      <c r="AB59" s="155"/>
      <c r="AC59" s="155"/>
      <c r="AD59" s="121">
        <f t="shared" si="20"/>
        <v>0</v>
      </c>
      <c r="AE59" s="120">
        <f t="shared" ref="AE59:AF59" si="60">+AE14+AE19+AE24+AE29+AE34+AE39+AE44+AE49+AE54</f>
        <v>0</v>
      </c>
      <c r="AF59" s="120">
        <f t="shared" si="60"/>
        <v>0</v>
      </c>
      <c r="AG59" s="156">
        <f>+AE59-AF59</f>
        <v>0</v>
      </c>
      <c r="AH59" s="157"/>
      <c r="AI59" s="155"/>
      <c r="AJ59" s="155"/>
      <c r="AK59" s="121">
        <f t="shared" si="6"/>
        <v>0</v>
      </c>
      <c r="AL59" s="120">
        <f t="shared" ref="AL59:AM59" si="61">+AL14+AL19+AL24+AL29+AL34+AL39+AL44+AL49+AL54</f>
        <v>0</v>
      </c>
      <c r="AM59" s="120">
        <f t="shared" si="61"/>
        <v>0</v>
      </c>
      <c r="AN59" s="156">
        <f>+AL59-AM59</f>
        <v>0</v>
      </c>
      <c r="AO59" s="157"/>
      <c r="AP59" s="155"/>
      <c r="AQ59" s="155"/>
      <c r="AR59" s="121">
        <f t="shared" si="21"/>
        <v>0</v>
      </c>
      <c r="AS59" s="120">
        <f t="shared" ref="AS59:AT59" si="62">+AS14+AS19+AS24+AS29+AS34+AS39+AS44+AS49+AS54</f>
        <v>0</v>
      </c>
      <c r="AT59" s="120">
        <f t="shared" si="62"/>
        <v>0</v>
      </c>
      <c r="AU59" s="156">
        <f>+AS59-AT59</f>
        <v>0</v>
      </c>
      <c r="AV59" s="157"/>
      <c r="AW59" s="155"/>
      <c r="AX59" s="155"/>
      <c r="AY59" s="121">
        <f t="shared" si="22"/>
        <v>0</v>
      </c>
      <c r="AZ59" s="120">
        <f t="shared" ref="AZ59:BA59" si="63">+AZ14+AZ19+AZ24+AZ29+AZ34+AZ39+AZ44+AZ49+AZ54</f>
        <v>0</v>
      </c>
      <c r="BA59" s="120">
        <f t="shared" si="63"/>
        <v>0</v>
      </c>
      <c r="BB59" s="156">
        <f>+AZ59-BA59</f>
        <v>0</v>
      </c>
      <c r="BC59" s="157"/>
      <c r="BD59" s="155"/>
      <c r="BE59" s="155"/>
      <c r="BF59" s="121">
        <f t="shared" si="23"/>
        <v>0</v>
      </c>
      <c r="BG59" s="120">
        <f t="shared" ref="BG59:BH59" si="64">+BG14+BG19+BG24+BG29+BG34+BG39+BG44+BG49+BG54</f>
        <v>0</v>
      </c>
      <c r="BH59" s="120">
        <f t="shared" si="64"/>
        <v>0</v>
      </c>
      <c r="BI59" s="156">
        <f>+BG59-BH59</f>
        <v>0</v>
      </c>
      <c r="BJ59" s="157"/>
      <c r="BK59" s="155"/>
      <c r="BL59" s="155"/>
      <c r="BM59" s="121">
        <f t="shared" si="11"/>
        <v>0.96444054065277496</v>
      </c>
      <c r="BN59" s="120">
        <f t="shared" ref="BN59:BO59" si="65">+BN14+BN19+BN24+BN29+BN34+BN39+BN44+BN49+BN54</f>
        <v>1686104200</v>
      </c>
      <c r="BO59" s="120">
        <f t="shared" si="65"/>
        <v>0</v>
      </c>
      <c r="BP59" s="156">
        <f>+BN59-BO59</f>
        <v>1686104200</v>
      </c>
      <c r="BQ59" s="157"/>
      <c r="BR59" s="158"/>
      <c r="BS59" s="122"/>
      <c r="BT59" s="123" t="b">
        <f>+R59+Y59+AF59+AT59+BA59+BH59+BO59=K59</f>
        <v>1</v>
      </c>
      <c r="BU59" s="122"/>
      <c r="BV59" s="54"/>
      <c r="BW59" s="54"/>
      <c r="BX59" s="54"/>
      <c r="BY59" s="54"/>
      <c r="BZ59" s="54"/>
      <c r="CA59" s="54"/>
      <c r="CB59" s="54"/>
      <c r="CC59" s="54"/>
      <c r="CD59" s="54"/>
      <c r="CE59" s="54"/>
    </row>
    <row r="60" spans="1:83" ht="16.5" customHeight="1">
      <c r="A60" s="62"/>
      <c r="B60" s="1529"/>
      <c r="C60" s="1529"/>
      <c r="D60" s="1536"/>
      <c r="E60" s="1529"/>
      <c r="F60" s="124" t="s">
        <v>392</v>
      </c>
      <c r="G60" s="125">
        <f>SUM(G56:G59)</f>
        <v>14304042000</v>
      </c>
      <c r="H60" s="125">
        <f>SUM(H56:H59)</f>
        <v>1430404200</v>
      </c>
      <c r="I60" s="125">
        <f>SUM(I56:I59)</f>
        <v>15734446200</v>
      </c>
      <c r="J60" s="124">
        <f t="shared" ref="J60" si="66">+IFERROR(K60/I60,"-")</f>
        <v>3.0241801583077007E-3</v>
      </c>
      <c r="K60" s="125">
        <f>SUM(K56:K59)</f>
        <v>47583800</v>
      </c>
      <c r="L60" s="125">
        <f>SUM(L56:L59)</f>
        <v>15686862400</v>
      </c>
      <c r="M60" s="424"/>
      <c r="N60" s="126"/>
      <c r="O60" s="124"/>
      <c r="P60" s="127">
        <f t="shared" si="18"/>
        <v>6.4101391760454846E-2</v>
      </c>
      <c r="Q60" s="125">
        <f>SUM(Q56:Q59)</f>
        <v>1008599900</v>
      </c>
      <c r="R60" s="125">
        <f>SUM(R56:R59)</f>
        <v>47583800</v>
      </c>
      <c r="S60" s="128">
        <f t="shared" ref="S60" si="67">+Q60-R60</f>
        <v>961016100</v>
      </c>
      <c r="T60" s="124"/>
      <c r="U60" s="126"/>
      <c r="V60" s="124"/>
      <c r="W60" s="127">
        <f t="shared" si="19"/>
        <v>4.503419383136599E-2</v>
      </c>
      <c r="X60" s="125">
        <f>SUM(X56:X59)</f>
        <v>708588100</v>
      </c>
      <c r="Y60" s="125">
        <f>SUM(Y56:Y59)</f>
        <v>0</v>
      </c>
      <c r="Z60" s="128">
        <f t="shared" ref="Z60" si="68">+X60-Y60</f>
        <v>708588100</v>
      </c>
      <c r="AA60" s="124"/>
      <c r="AB60" s="126"/>
      <c r="AC60" s="124"/>
      <c r="AD60" s="127">
        <f t="shared" si="20"/>
        <v>0.42864024029012221</v>
      </c>
      <c r="AE60" s="125">
        <f>SUM(AE56:AE59)</f>
        <v>6744416800</v>
      </c>
      <c r="AF60" s="125">
        <f>SUM(AF56:AF59)</f>
        <v>0</v>
      </c>
      <c r="AG60" s="128">
        <f t="shared" ref="AG60" si="69">+AE60-AF60</f>
        <v>6744416800</v>
      </c>
      <c r="AH60" s="124"/>
      <c r="AI60" s="126"/>
      <c r="AJ60" s="124"/>
      <c r="AK60" s="127">
        <f t="shared" si="6"/>
        <v>0</v>
      </c>
      <c r="AL60" s="125">
        <f>SUM(AL56:AL59)</f>
        <v>0</v>
      </c>
      <c r="AM60" s="125">
        <f>SUM(AM56:AM59)</f>
        <v>0</v>
      </c>
      <c r="AN60" s="128">
        <f t="shared" ref="AN60" si="70">+AL60-AM60</f>
        <v>0</v>
      </c>
      <c r="AO60" s="124"/>
      <c r="AP60" s="126"/>
      <c r="AQ60" s="124"/>
      <c r="AR60" s="127">
        <f t="shared" si="21"/>
        <v>0</v>
      </c>
      <c r="AS60" s="125">
        <f>SUM(AS56:AS59)</f>
        <v>0</v>
      </c>
      <c r="AT60" s="125">
        <f>SUM(AT56:AT59)</f>
        <v>0</v>
      </c>
      <c r="AU60" s="128">
        <f t="shared" ref="AU60" si="71">+AS60-AT60</f>
        <v>0</v>
      </c>
      <c r="AV60" s="124"/>
      <c r="AW60" s="126"/>
      <c r="AX60" s="124"/>
      <c r="AY60" s="127">
        <f t="shared" si="22"/>
        <v>0</v>
      </c>
      <c r="AZ60" s="125">
        <f>SUM(AZ56:AZ59)</f>
        <v>0</v>
      </c>
      <c r="BA60" s="125">
        <f>SUM(BA56:BA59)</f>
        <v>0</v>
      </c>
      <c r="BB60" s="128">
        <f t="shared" ref="BB60" si="72">+AZ60-BA60</f>
        <v>0</v>
      </c>
      <c r="BC60" s="124"/>
      <c r="BD60" s="126"/>
      <c r="BE60" s="124"/>
      <c r="BF60" s="127">
        <f t="shared" si="23"/>
        <v>0.2357521321595672</v>
      </c>
      <c r="BG60" s="125">
        <f>SUM(BG56:BG59)</f>
        <v>3709429240</v>
      </c>
      <c r="BH60" s="125">
        <f>SUM(BH56:BH59)</f>
        <v>0</v>
      </c>
      <c r="BI60" s="128">
        <f t="shared" ref="BI60" si="73">+BG60-BH60</f>
        <v>3709429240</v>
      </c>
      <c r="BJ60" s="124"/>
      <c r="BK60" s="126"/>
      <c r="BL60" s="124"/>
      <c r="BM60" s="127">
        <f t="shared" si="11"/>
        <v>0.19288810813055499</v>
      </c>
      <c r="BN60" s="125">
        <f>SUM(BN56:BN59)</f>
        <v>3034987560</v>
      </c>
      <c r="BO60" s="125">
        <f>SUM(BO56:BO59)</f>
        <v>0</v>
      </c>
      <c r="BP60" s="128">
        <f t="shared" ref="BP60" si="74">+BN60-BO60</f>
        <v>3034987560</v>
      </c>
      <c r="BQ60" s="124"/>
      <c r="BR60" s="88"/>
      <c r="BS60" s="129"/>
      <c r="BT60" s="129"/>
      <c r="BU60" s="129"/>
      <c r="BV60" s="54"/>
      <c r="BW60" s="54"/>
      <c r="BX60" s="54"/>
      <c r="BY60" s="54"/>
      <c r="BZ60" s="54"/>
      <c r="CA60" s="54"/>
      <c r="CB60" s="54"/>
      <c r="CC60" s="54"/>
      <c r="CD60" s="58"/>
      <c r="CE60" s="58"/>
    </row>
    <row r="61" spans="1:83">
      <c r="R61" s="132"/>
      <c r="T61" s="132"/>
      <c r="Y61" s="132"/>
      <c r="AA61" s="132"/>
      <c r="AF61" s="132"/>
      <c r="AH61" s="132"/>
      <c r="AM61" s="132"/>
      <c r="AO61" s="132"/>
      <c r="AT61" s="132"/>
      <c r="AV61" s="132"/>
      <c r="BA61" s="132"/>
      <c r="BC61" s="132"/>
      <c r="BH61" s="132"/>
      <c r="BJ61" s="132"/>
      <c r="BO61" s="132"/>
      <c r="BQ61" s="132"/>
      <c r="BR61" s="133"/>
    </row>
    <row r="62" spans="1:83">
      <c r="N62" s="143"/>
      <c r="O62" s="143"/>
      <c r="R62" s="132"/>
      <c r="T62" s="132"/>
      <c r="U62" s="143"/>
      <c r="V62" s="143"/>
      <c r="Y62" s="132"/>
      <c r="AA62" s="132"/>
      <c r="AB62" s="143"/>
      <c r="AC62" s="143"/>
      <c r="AF62" s="132"/>
      <c r="AH62" s="132"/>
      <c r="AI62" s="143"/>
      <c r="AJ62" s="143"/>
      <c r="AM62" s="132"/>
      <c r="AO62" s="132"/>
      <c r="AP62" s="143"/>
      <c r="AQ62" s="143"/>
      <c r="AT62" s="132"/>
      <c r="AV62" s="132"/>
      <c r="AW62" s="143"/>
      <c r="AX62" s="143"/>
      <c r="BA62" s="132"/>
      <c r="BC62" s="132"/>
      <c r="BD62" s="143"/>
      <c r="BE62" s="143"/>
      <c r="BH62" s="132"/>
      <c r="BJ62" s="132"/>
      <c r="BK62" s="143"/>
      <c r="BL62" s="143"/>
      <c r="BO62" s="132"/>
      <c r="BQ62" s="132"/>
      <c r="BR62" s="133"/>
    </row>
    <row r="63" spans="1:83">
      <c r="Q63" s="449"/>
      <c r="R63" s="449"/>
      <c r="S63" s="449"/>
    </row>
    <row r="64" spans="1:83">
      <c r="Q64" s="131"/>
      <c r="R64" s="132"/>
      <c r="S64" s="449"/>
      <c r="T64" s="132"/>
      <c r="Y64" s="132"/>
      <c r="AA64" s="132"/>
      <c r="AF64" s="132"/>
      <c r="AH64" s="132"/>
      <c r="AM64" s="132"/>
      <c r="AO64" s="132"/>
      <c r="AT64" s="132"/>
      <c r="AV64" s="132"/>
      <c r="BA64" s="132"/>
      <c r="BC64" s="132"/>
      <c r="BH64" s="132"/>
      <c r="BJ64" s="132"/>
      <c r="BO64" s="132"/>
      <c r="BQ64" s="132"/>
      <c r="BR64" s="133"/>
    </row>
    <row r="65" spans="17:70">
      <c r="Q65" s="449"/>
      <c r="R65" s="144"/>
      <c r="S65" s="449"/>
      <c r="T65" s="144"/>
      <c r="Y65" s="144"/>
      <c r="AA65" s="144"/>
      <c r="AF65" s="144"/>
      <c r="AH65" s="144"/>
      <c r="AM65" s="144"/>
      <c r="AO65" s="144"/>
      <c r="AT65" s="144"/>
      <c r="AV65" s="144"/>
      <c r="BA65" s="144"/>
      <c r="BC65" s="144"/>
      <c r="BH65" s="144"/>
      <c r="BJ65" s="144"/>
      <c r="BO65" s="144"/>
      <c r="BQ65" s="144"/>
      <c r="BR65" s="144"/>
    </row>
    <row r="66" spans="17:70">
      <c r="R66" s="132"/>
      <c r="T66" s="132"/>
      <c r="Y66" s="132"/>
      <c r="AA66" s="132"/>
      <c r="AF66" s="132"/>
      <c r="AH66" s="132"/>
      <c r="AM66" s="132"/>
      <c r="AO66" s="132"/>
      <c r="AT66" s="132"/>
      <c r="AV66" s="132"/>
      <c r="BA66" s="132"/>
      <c r="BC66" s="132"/>
      <c r="BH66" s="132"/>
      <c r="BJ66" s="132"/>
      <c r="BO66" s="132"/>
      <c r="BQ66" s="132"/>
      <c r="BR66" s="133"/>
    </row>
    <row r="67" spans="17:70">
      <c r="R67" s="132"/>
      <c r="T67" s="132"/>
      <c r="Y67" s="132"/>
      <c r="AA67" s="132"/>
      <c r="AF67" s="132"/>
      <c r="AH67" s="132"/>
      <c r="AM67" s="132"/>
      <c r="AO67" s="132"/>
      <c r="AT67" s="132"/>
      <c r="AV67" s="132"/>
      <c r="BA67" s="132"/>
      <c r="BC67" s="132"/>
      <c r="BH67" s="132"/>
      <c r="BJ67" s="132"/>
      <c r="BO67" s="132"/>
      <c r="BQ67" s="132"/>
      <c r="BR67" s="133"/>
    </row>
    <row r="76" spans="17:70">
      <c r="R76" s="132"/>
      <c r="T76" s="132"/>
      <c r="Y76" s="132"/>
      <c r="AA76" s="132"/>
      <c r="AF76" s="132"/>
      <c r="AH76" s="132"/>
      <c r="AM76" s="132"/>
      <c r="AO76" s="132"/>
      <c r="AT76" s="132"/>
      <c r="AV76" s="132"/>
      <c r="BA76" s="132"/>
      <c r="BC76" s="132"/>
      <c r="BH76" s="132"/>
      <c r="BJ76" s="132"/>
      <c r="BO76" s="132"/>
      <c r="BQ76" s="132"/>
      <c r="BR76" s="133"/>
    </row>
  </sheetData>
  <mergeCells count="64">
    <mergeCell ref="B21:B25"/>
    <mergeCell ref="C21:C25"/>
    <mergeCell ref="D21:D25"/>
    <mergeCell ref="E21:E25"/>
    <mergeCell ref="B16:B20"/>
    <mergeCell ref="C16:C20"/>
    <mergeCell ref="D16:D20"/>
    <mergeCell ref="E16:E20"/>
    <mergeCell ref="B9:B10"/>
    <mergeCell ref="C9:C10"/>
    <mergeCell ref="D9:D10"/>
    <mergeCell ref="E9:E10"/>
    <mergeCell ref="F9:F10"/>
    <mergeCell ref="E11:E15"/>
    <mergeCell ref="BS9:BU10"/>
    <mergeCell ref="H9:H10"/>
    <mergeCell ref="I9:I10"/>
    <mergeCell ref="J9:L9"/>
    <mergeCell ref="N9:T9"/>
    <mergeCell ref="U9:AA9"/>
    <mergeCell ref="AB9:AH9"/>
    <mergeCell ref="AI9:AO9"/>
    <mergeCell ref="AP9:AV9"/>
    <mergeCell ref="AW9:BC9"/>
    <mergeCell ref="BD9:BJ9"/>
    <mergeCell ref="BK9:BQ9"/>
    <mergeCell ref="G9:G10"/>
    <mergeCell ref="B46:B50"/>
    <mergeCell ref="C46:C50"/>
    <mergeCell ref="D46:D50"/>
    <mergeCell ref="E46:E50"/>
    <mergeCell ref="M9:M10"/>
    <mergeCell ref="B31:B35"/>
    <mergeCell ref="B26:B30"/>
    <mergeCell ref="C31:C35"/>
    <mergeCell ref="D31:D35"/>
    <mergeCell ref="E31:E35"/>
    <mergeCell ref="C26:C30"/>
    <mergeCell ref="D26:D30"/>
    <mergeCell ref="E26:E30"/>
    <mergeCell ref="B11:B15"/>
    <mergeCell ref="C11:C15"/>
    <mergeCell ref="D11:D15"/>
    <mergeCell ref="B56:C60"/>
    <mergeCell ref="D56:D60"/>
    <mergeCell ref="E56:E60"/>
    <mergeCell ref="B51:B55"/>
    <mergeCell ref="C51:C55"/>
    <mergeCell ref="D51:D55"/>
    <mergeCell ref="E51:E55"/>
    <mergeCell ref="B36:B40"/>
    <mergeCell ref="C36:C40"/>
    <mergeCell ref="D36:D40"/>
    <mergeCell ref="E36:E40"/>
    <mergeCell ref="B41:B45"/>
    <mergeCell ref="C41:C45"/>
    <mergeCell ref="D41:D45"/>
    <mergeCell ref="E41:E45"/>
    <mergeCell ref="M46:M49"/>
    <mergeCell ref="M51:M54"/>
    <mergeCell ref="M26:M29"/>
    <mergeCell ref="M31:M34"/>
    <mergeCell ref="M36:M39"/>
    <mergeCell ref="M41:M44"/>
  </mergeCells>
  <phoneticPr fontId="9" type="noConversion"/>
  <printOptions horizontalCentered="1"/>
  <pageMargins left="0" right="0" top="0.39370078740157483" bottom="0" header="0" footer="0"/>
  <pageSetup paperSize="8" scale="24" orientation="landscape"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6873A-4B97-4332-8BA7-9F2D87EB63E3}">
  <sheetPr>
    <pageSetUpPr fitToPage="1"/>
  </sheetPr>
  <dimension ref="A1:CE71"/>
  <sheetViews>
    <sheetView showGridLines="0" zoomScaleNormal="100" zoomScaleSheetLayoutView="55" workbookViewId="0">
      <pane xSplit="6" ySplit="10" topLeftCell="N18" activePane="bottomRight" state="frozen"/>
      <selection pane="topRight" activeCell="W56" sqref="W56"/>
      <selection pane="bottomLeft" activeCell="W56" sqref="W56"/>
      <selection pane="bottomRight" activeCell="P13" sqref="P13"/>
    </sheetView>
  </sheetViews>
  <sheetFormatPr defaultColWidth="10.28515625" defaultRowHeight="12.75" outlineLevelCol="1"/>
  <cols>
    <col min="1" max="1" width="1.85546875" style="53" customWidth="1"/>
    <col min="2" max="2" width="5.5703125" style="53" customWidth="1"/>
    <col min="3" max="3" width="19.85546875" style="53" customWidth="1"/>
    <col min="4" max="4" width="10.140625" style="53" customWidth="1"/>
    <col min="5" max="5" width="14.140625" style="53" customWidth="1"/>
    <col min="6" max="6" width="18.85546875" style="53" bestFit="1" customWidth="1"/>
    <col min="7" max="9" width="13.28515625" style="53" customWidth="1"/>
    <col min="10" max="10" width="7.5703125" style="53" customWidth="1"/>
    <col min="11" max="12" width="13.28515625" style="53" customWidth="1"/>
    <col min="13" max="13" width="13.28515625" style="425" customWidth="1"/>
    <col min="14" max="15" width="11.5703125" style="53" customWidth="1"/>
    <col min="16" max="16" width="7.5703125" style="53" customWidth="1"/>
    <col min="17" max="19" width="13.28515625" style="53" customWidth="1"/>
    <col min="20" max="20" width="13.85546875" style="53" customWidth="1"/>
    <col min="21" max="22" width="11.5703125" style="53" customWidth="1"/>
    <col min="23" max="23" width="7.5703125" style="53" customWidth="1"/>
    <col min="24"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customWidth="1" outlineLevel="1"/>
    <col min="37" max="37" width="7.5703125" style="53" customWidth="1" outlineLevel="1"/>
    <col min="38" max="40" width="13.28515625" style="53" customWidth="1" outlineLevel="1"/>
    <col min="41" max="41" width="13.85546875" style="53" customWidth="1" outlineLevel="1"/>
    <col min="42" max="43" width="11.5703125" style="53" customWidth="1"/>
    <col min="44" max="44" width="7.5703125" style="53" customWidth="1"/>
    <col min="45" max="47" width="13.28515625" style="53" customWidth="1"/>
    <col min="48" max="48" width="13.85546875" style="53" customWidth="1"/>
    <col min="49" max="50" width="11.5703125" style="53" customWidth="1"/>
    <col min="51" max="51" width="7.5703125" style="53" customWidth="1"/>
    <col min="52" max="54" width="13.28515625" style="53" customWidth="1"/>
    <col min="55" max="55" width="13.85546875" style="53" customWidth="1"/>
    <col min="56" max="57" width="11.5703125" style="53" customWidth="1"/>
    <col min="58" max="58" width="7.5703125" style="53" customWidth="1"/>
    <col min="59" max="61" width="13.28515625" style="53" customWidth="1"/>
    <col min="62" max="62" width="13.85546875" style="53"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7.5703125" style="53" customWidth="1"/>
    <col min="74" max="74" width="10.28515625" style="53"/>
    <col min="75" max="75" width="23.28515625" style="53" bestFit="1" customWidth="1"/>
    <col min="76" max="16384" width="10.28515625" style="53"/>
  </cols>
  <sheetData>
    <row r="1" spans="1:83" s="52" customFormat="1">
      <c r="M1" s="415"/>
      <c r="BR1" s="53"/>
    </row>
    <row r="2" spans="1:83" s="52" customFormat="1">
      <c r="B2" s="52" t="s">
        <v>346</v>
      </c>
      <c r="D2" s="52" t="s">
        <v>929</v>
      </c>
      <c r="G2" s="401">
        <v>1100000000</v>
      </c>
      <c r="M2" s="415"/>
      <c r="BR2" s="53"/>
    </row>
    <row r="3" spans="1:83" s="52" customFormat="1">
      <c r="B3" s="52" t="s">
        <v>348</v>
      </c>
      <c r="D3" s="52" t="s">
        <v>930</v>
      </c>
      <c r="M3" s="415"/>
      <c r="BR3" s="53"/>
    </row>
    <row r="4" spans="1:83" s="52" customFormat="1">
      <c r="B4" s="52" t="s">
        <v>350</v>
      </c>
      <c r="D4" s="52" t="s">
        <v>931</v>
      </c>
      <c r="M4" s="415"/>
      <c r="V4" s="159"/>
      <c r="BR4" s="53"/>
    </row>
    <row r="5" spans="1:83" s="52" customFormat="1">
      <c r="B5" s="52" t="s">
        <v>352</v>
      </c>
      <c r="D5" s="52" t="s">
        <v>932</v>
      </c>
      <c r="M5" s="415"/>
      <c r="V5" s="159"/>
      <c r="BR5" s="53"/>
    </row>
    <row r="6" spans="1:83" s="52" customFormat="1">
      <c r="B6" s="52" t="s">
        <v>354</v>
      </c>
      <c r="D6" s="52" t="s">
        <v>355</v>
      </c>
      <c r="M6" s="415"/>
      <c r="BR6" s="53"/>
    </row>
    <row r="7" spans="1:83" s="52" customFormat="1">
      <c r="B7" s="52" t="s">
        <v>356</v>
      </c>
      <c r="D7" s="52" t="s">
        <v>933</v>
      </c>
      <c r="M7" s="415"/>
      <c r="BR7" s="53"/>
    </row>
    <row r="8" spans="1:83">
      <c r="A8" s="54"/>
      <c r="B8" s="55"/>
      <c r="C8" s="5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885</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886</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28.15" customHeight="1">
      <c r="A10" s="54"/>
      <c r="B10" s="1318"/>
      <c r="C10" s="1318"/>
      <c r="D10" s="1320"/>
      <c r="E10" s="1315"/>
      <c r="F10" s="1320"/>
      <c r="G10" s="1320"/>
      <c r="H10" s="1320"/>
      <c r="I10" s="1320"/>
      <c r="J10" s="59" t="s">
        <v>377</v>
      </c>
      <c r="K10" s="59" t="s">
        <v>378</v>
      </c>
      <c r="L10" s="59" t="s">
        <v>379</v>
      </c>
      <c r="M10" s="1552"/>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146"/>
      <c r="B11" s="1322">
        <v>1</v>
      </c>
      <c r="C11" s="1532" t="s">
        <v>934</v>
      </c>
      <c r="D11" s="1340">
        <v>225.78</v>
      </c>
      <c r="E11" s="1324" t="s">
        <v>888</v>
      </c>
      <c r="F11" s="63" t="s">
        <v>388</v>
      </c>
      <c r="G11" s="64">
        <f>+$G$2*D11/1000</f>
        <v>248358000</v>
      </c>
      <c r="H11" s="64">
        <f>+G11*10%</f>
        <v>24835800</v>
      </c>
      <c r="I11" s="64">
        <f>SUM(G11:H11)</f>
        <v>273193800</v>
      </c>
      <c r="J11" s="63">
        <f t="shared" ref="J11:J53" si="0">+IFERROR(K11/I11,"-")</f>
        <v>0</v>
      </c>
      <c r="K11" s="134">
        <f>+IFERROR(R11+Y11+AF11+AM11+BA11+BH11,"-")</f>
        <v>0</v>
      </c>
      <c r="L11" s="134">
        <f>+I11-K11</f>
        <v>273193800</v>
      </c>
      <c r="M11" s="416"/>
      <c r="N11" s="67"/>
      <c r="O11" s="160"/>
      <c r="P11" s="135"/>
      <c r="Q11" s="134"/>
      <c r="R11" s="134"/>
      <c r="S11" s="134">
        <f t="shared" ref="S11:S55" si="1">+Q11-R11</f>
        <v>0</v>
      </c>
      <c r="T11" s="145"/>
      <c r="U11" s="67"/>
      <c r="V11" s="160"/>
      <c r="W11" s="135"/>
      <c r="X11" s="134"/>
      <c r="Y11" s="134"/>
      <c r="Z11" s="134">
        <f t="shared" ref="Z11:Z26" si="2">+X11-Y11</f>
        <v>0</v>
      </c>
      <c r="AA11" s="145"/>
      <c r="AB11" s="67">
        <f>+EDATE(AI11,2)</f>
        <v>46020</v>
      </c>
      <c r="AC11" s="160"/>
      <c r="AD11" s="135">
        <f>+IFERROR(AE11/$I11,"-")</f>
        <v>0.5</v>
      </c>
      <c r="AE11" s="134">
        <f>+$I11*지급비율!U24</f>
        <v>136596900</v>
      </c>
      <c r="AF11" s="134">
        <v>0</v>
      </c>
      <c r="AG11" s="134">
        <f t="shared" ref="AG11:AG26" si="3">+AE11-AF11</f>
        <v>136596900</v>
      </c>
      <c r="AH11" s="145"/>
      <c r="AI11" s="67">
        <f>+EDATE(AP11,-1)</f>
        <v>45959</v>
      </c>
      <c r="AJ11" s="160"/>
      <c r="AK11" s="135">
        <f t="shared" ref="AK11:AK26" si="4">+IFERROR(AL11/$I11,"-")</f>
        <v>0</v>
      </c>
      <c r="AL11" s="134">
        <f>+$I11*지급비율!AB24</f>
        <v>0</v>
      </c>
      <c r="AM11" s="134">
        <v>0</v>
      </c>
      <c r="AN11" s="134">
        <f t="shared" ref="AN11:AN26" si="5">+AL11-AM11</f>
        <v>0</v>
      </c>
      <c r="AO11" s="145"/>
      <c r="AP11" s="67">
        <f>+EDATE(AW11,-1)+1</f>
        <v>45990</v>
      </c>
      <c r="AQ11" s="160"/>
      <c r="AR11" s="135">
        <f>+IFERROR(AS11/$I11,"-")</f>
        <v>0</v>
      </c>
      <c r="AS11" s="134">
        <f>+$I11*지급비율!AI24</f>
        <v>0</v>
      </c>
      <c r="AT11" s="134">
        <v>0</v>
      </c>
      <c r="AU11" s="134">
        <f t="shared" ref="AU11:AU29" si="6">+AS11-AT11</f>
        <v>0</v>
      </c>
      <c r="AV11" s="145"/>
      <c r="AW11" s="67">
        <f>+EDATE(BD11,-1)</f>
        <v>46019</v>
      </c>
      <c r="AX11" s="160"/>
      <c r="AY11" s="135">
        <f>+IFERROR(AZ11/$I11,"-")</f>
        <v>0</v>
      </c>
      <c r="AZ11" s="134">
        <f>+$I11*지급비율!AP24</f>
        <v>0</v>
      </c>
      <c r="BA11" s="134">
        <v>0</v>
      </c>
      <c r="BB11" s="134">
        <f t="shared" ref="BB11:BB29" si="7">+AZ11-BA11</f>
        <v>0</v>
      </c>
      <c r="BC11" s="145"/>
      <c r="BD11" s="67">
        <f>+EDATE(BK11,-1)</f>
        <v>46050</v>
      </c>
      <c r="BE11" s="160"/>
      <c r="BF11" s="135">
        <f>+IFERROR(BG11/$I11,"-")</f>
        <v>0.4</v>
      </c>
      <c r="BG11" s="134">
        <f>+$I11*지급비율!AW24</f>
        <v>109277520</v>
      </c>
      <c r="BH11" s="134">
        <v>0</v>
      </c>
      <c r="BI11" s="134">
        <f t="shared" ref="BI11:BI29" si="8">+BG11-BH11</f>
        <v>109277520</v>
      </c>
      <c r="BJ11" s="145"/>
      <c r="BK11" s="78">
        <v>46081</v>
      </c>
      <c r="BL11" s="160"/>
      <c r="BM11" s="79">
        <f t="shared" ref="BM11:BM55" si="9">+IFERROR(BN11/$I11,"-")</f>
        <v>0.1</v>
      </c>
      <c r="BN11" s="134">
        <f>+I11*지급비율!BD24</f>
        <v>27319380</v>
      </c>
      <c r="BO11" s="134">
        <v>0</v>
      </c>
      <c r="BP11" s="134">
        <f t="shared" ref="BP11:BP29" si="10">+BN11-BO11</f>
        <v>27319380</v>
      </c>
      <c r="BQ11" s="145"/>
      <c r="BR11" s="73"/>
      <c r="BS11" s="74" t="b">
        <f>+Q11+X11+AE11+AS11+AZ11+BG11+BN11=I11</f>
        <v>1</v>
      </c>
      <c r="BT11" s="74" t="b">
        <f>+R11+Y11+AF11+AT11+BA11+BH11+BO11=K11</f>
        <v>1</v>
      </c>
      <c r="BU11" s="74"/>
      <c r="BV11" s="58"/>
      <c r="BW11" s="58"/>
      <c r="BX11" s="58"/>
      <c r="BY11" s="58"/>
      <c r="BZ11" s="58"/>
      <c r="CA11" s="58"/>
      <c r="CB11" s="58"/>
      <c r="CC11" s="58"/>
      <c r="CD11" s="58"/>
      <c r="CE11" s="58"/>
    </row>
    <row r="12" spans="1:83" ht="16.5" customHeight="1">
      <c r="A12" s="146"/>
      <c r="B12" s="1322"/>
      <c r="C12" s="1532"/>
      <c r="D12" s="1341"/>
      <c r="E12" s="1324"/>
      <c r="F12" s="75" t="s">
        <v>389</v>
      </c>
      <c r="G12" s="76">
        <f>+[5]지급비율!$F$25*D11/1000</f>
        <v>67734000</v>
      </c>
      <c r="H12" s="76">
        <f>+G12*10%</f>
        <v>6773400</v>
      </c>
      <c r="I12" s="76">
        <f>SUM(G12:H12)</f>
        <v>74507400</v>
      </c>
      <c r="J12" s="75">
        <f t="shared" si="0"/>
        <v>1.2723890512888654</v>
      </c>
      <c r="K12" s="80">
        <f>+IFERROR(R12+Y12+AF12+AM12+BA12+BH12,"-")</f>
        <v>94802400</v>
      </c>
      <c r="L12" s="80">
        <f>+I12-K12</f>
        <v>-20295000</v>
      </c>
      <c r="M12" s="417"/>
      <c r="N12" s="78">
        <f>+O12</f>
        <v>45650</v>
      </c>
      <c r="O12" s="78">
        <v>45650</v>
      </c>
      <c r="P12" s="79">
        <f>+IFERROR(Q12/$I12,"-")</f>
        <v>0.2</v>
      </c>
      <c r="Q12" s="80">
        <f>+$I12*지급비율!G25</f>
        <v>14901480</v>
      </c>
      <c r="R12" s="80">
        <v>21067200</v>
      </c>
      <c r="S12" s="80">
        <f t="shared" si="1"/>
        <v>-6165720</v>
      </c>
      <c r="T12" s="81"/>
      <c r="U12" s="78">
        <f>+V12</f>
        <v>45737</v>
      </c>
      <c r="V12" s="78">
        <v>45737</v>
      </c>
      <c r="W12" s="79">
        <f>+IFERROR(X12/$I12,"-")</f>
        <v>0.2</v>
      </c>
      <c r="X12" s="80">
        <f>+$I12*지급비율!N25</f>
        <v>14901480</v>
      </c>
      <c r="Y12" s="80">
        <v>21067200</v>
      </c>
      <c r="Z12" s="80">
        <f t="shared" si="2"/>
        <v>-6165720</v>
      </c>
      <c r="AA12" s="81"/>
      <c r="AB12" s="78">
        <v>45791</v>
      </c>
      <c r="AC12" s="78">
        <v>45791</v>
      </c>
      <c r="AD12" s="79">
        <f>+IFERROR(AE12/$I12,"-")</f>
        <v>0.5</v>
      </c>
      <c r="AE12" s="80">
        <f>+$I12*지급비율!U25</f>
        <v>37253700</v>
      </c>
      <c r="AF12" s="80">
        <v>52668000</v>
      </c>
      <c r="AG12" s="80">
        <f t="shared" si="3"/>
        <v>-15414300</v>
      </c>
      <c r="AH12" s="161"/>
      <c r="AI12" s="78"/>
      <c r="AJ12" s="78"/>
      <c r="AK12" s="79">
        <f t="shared" si="4"/>
        <v>0</v>
      </c>
      <c r="AL12" s="80">
        <f>+$I12*지급비율!AB25</f>
        <v>0</v>
      </c>
      <c r="AM12" s="80">
        <v>0</v>
      </c>
      <c r="AN12" s="80">
        <f t="shared" si="5"/>
        <v>0</v>
      </c>
      <c r="AO12" s="81"/>
      <c r="AP12" s="78"/>
      <c r="AQ12" s="78"/>
      <c r="AR12" s="79"/>
      <c r="AS12" s="80">
        <f>+$I12*지급비율!AI25</f>
        <v>0</v>
      </c>
      <c r="AT12" s="80"/>
      <c r="AU12" s="80">
        <f t="shared" si="6"/>
        <v>0</v>
      </c>
      <c r="AV12" s="81"/>
      <c r="AW12" s="78"/>
      <c r="AX12" s="78"/>
      <c r="AY12" s="79"/>
      <c r="AZ12" s="80">
        <f>+$I12*지급비율!AP25</f>
        <v>0</v>
      </c>
      <c r="BA12" s="80"/>
      <c r="BB12" s="80">
        <f t="shared" si="7"/>
        <v>0</v>
      </c>
      <c r="BC12" s="81"/>
      <c r="BD12" s="78"/>
      <c r="BE12" s="78"/>
      <c r="BF12" s="79"/>
      <c r="BG12" s="80">
        <f>+$I12*지급비율!AW25</f>
        <v>0</v>
      </c>
      <c r="BH12" s="80"/>
      <c r="BI12" s="80">
        <f t="shared" si="8"/>
        <v>0</v>
      </c>
      <c r="BJ12" s="81"/>
      <c r="BK12" s="78">
        <v>46053</v>
      </c>
      <c r="BL12" s="78"/>
      <c r="BM12" s="79">
        <f t="shared" si="9"/>
        <v>0.1</v>
      </c>
      <c r="BN12" s="80">
        <f>+$I12*지급비율!BD25</f>
        <v>7450740</v>
      </c>
      <c r="BO12" s="80">
        <v>0</v>
      </c>
      <c r="BP12" s="80">
        <f t="shared" si="10"/>
        <v>7450740</v>
      </c>
      <c r="BQ12" s="81"/>
      <c r="BR12" s="73"/>
      <c r="BS12" s="74" t="b">
        <f>+Q12+X12+AE12+AS12+AZ12+BG12+BN12=I12</f>
        <v>1</v>
      </c>
      <c r="BT12" s="74" t="b">
        <f>+R12+Y12+AF12+AT12+BA12+BH12+BO12=K12</f>
        <v>1</v>
      </c>
      <c r="BU12" s="74" t="b">
        <f>+BG12+BG13+AZ12+AZ13+AS12+AS13+AE12+AE13+X12+X13+Q12+Q13+BN12+BN13=([5]지급비율!$F$21+[5]지급비율!$F$22)*1.1*D11/1000</f>
        <v>1</v>
      </c>
      <c r="BV12" s="58"/>
      <c r="BW12" s="58"/>
      <c r="BX12" s="58"/>
      <c r="BY12" s="58"/>
      <c r="BZ12" s="58"/>
      <c r="CA12" s="58"/>
      <c r="CB12" s="58"/>
      <c r="CC12" s="58"/>
      <c r="CD12" s="58"/>
      <c r="CE12" s="58"/>
    </row>
    <row r="13" spans="1:83" ht="16.5" customHeight="1">
      <c r="A13" s="146"/>
      <c r="B13" s="1322"/>
      <c r="C13" s="1532"/>
      <c r="D13" s="1341"/>
      <c r="E13" s="1324"/>
      <c r="F13" s="75" t="s">
        <v>390</v>
      </c>
      <c r="G13" s="76">
        <f>+[5]지급비율!$F$26*D11/1000</f>
        <v>45156000</v>
      </c>
      <c r="H13" s="76">
        <f>+G13*10%</f>
        <v>4515600</v>
      </c>
      <c r="I13" s="76">
        <f>SUM(G13:H13)</f>
        <v>49671600</v>
      </c>
      <c r="J13" s="75">
        <f t="shared" si="0"/>
        <v>1.2723890512888654</v>
      </c>
      <c r="K13" s="80">
        <f>+IFERROR(R13+Y13+AF13+AM13+BA13+BH13,"-")</f>
        <v>63201600</v>
      </c>
      <c r="L13" s="80">
        <f>+I13-K13</f>
        <v>-13530000</v>
      </c>
      <c r="M13" s="417"/>
      <c r="N13" s="78">
        <f>+O13</f>
        <v>45650</v>
      </c>
      <c r="O13" s="72">
        <v>45650</v>
      </c>
      <c r="P13" s="79">
        <f>+IFERROR(Q13/$I13,"-")</f>
        <v>0.2</v>
      </c>
      <c r="Q13" s="80">
        <f>+$I13*지급비율!G26</f>
        <v>9934320</v>
      </c>
      <c r="R13" s="80">
        <v>14044800</v>
      </c>
      <c r="S13" s="80">
        <f t="shared" si="1"/>
        <v>-4110480</v>
      </c>
      <c r="T13" s="81"/>
      <c r="U13" s="78">
        <f>+V13</f>
        <v>45737</v>
      </c>
      <c r="V13" s="72">
        <f>+V12</f>
        <v>45737</v>
      </c>
      <c r="W13" s="79">
        <f>+IFERROR(X13/$I13,"-")</f>
        <v>0.2</v>
      </c>
      <c r="X13" s="80">
        <f>+$I13*지급비율!N26</f>
        <v>9934320</v>
      </c>
      <c r="Y13" s="80">
        <v>14044800</v>
      </c>
      <c r="Z13" s="80">
        <f t="shared" si="2"/>
        <v>-4110480</v>
      </c>
      <c r="AA13" s="81"/>
      <c r="AB13" s="78">
        <v>45791</v>
      </c>
      <c r="AC13" s="78">
        <v>45791</v>
      </c>
      <c r="AD13" s="79">
        <f>+IFERROR(AE13/$I13,"-")</f>
        <v>0.5</v>
      </c>
      <c r="AE13" s="80">
        <f>+$I13*지급비율!U26</f>
        <v>24835800</v>
      </c>
      <c r="AF13" s="80">
        <v>35112000</v>
      </c>
      <c r="AG13" s="80">
        <f t="shared" si="3"/>
        <v>-10276200</v>
      </c>
      <c r="AH13" s="161"/>
      <c r="AI13" s="72"/>
      <c r="AJ13" s="72"/>
      <c r="AK13" s="79">
        <f t="shared" si="4"/>
        <v>0</v>
      </c>
      <c r="AL13" s="80">
        <f>+$I13*지급비율!AB26</f>
        <v>0</v>
      </c>
      <c r="AM13" s="80">
        <v>0</v>
      </c>
      <c r="AN13" s="80">
        <f t="shared" si="5"/>
        <v>0</v>
      </c>
      <c r="AO13" s="81"/>
      <c r="AP13" s="72"/>
      <c r="AQ13" s="72"/>
      <c r="AR13" s="79"/>
      <c r="AS13" s="80">
        <f>+$I13*지급비율!AI26</f>
        <v>0</v>
      </c>
      <c r="AT13" s="80"/>
      <c r="AU13" s="80">
        <f t="shared" si="6"/>
        <v>0</v>
      </c>
      <c r="AV13" s="81"/>
      <c r="AW13" s="72"/>
      <c r="AX13" s="72"/>
      <c r="AY13" s="79"/>
      <c r="AZ13" s="80">
        <f>+$I13*지급비율!AP26</f>
        <v>0</v>
      </c>
      <c r="BA13" s="80"/>
      <c r="BB13" s="80">
        <f t="shared" si="7"/>
        <v>0</v>
      </c>
      <c r="BC13" s="81"/>
      <c r="BD13" s="72"/>
      <c r="BE13" s="72"/>
      <c r="BF13" s="79"/>
      <c r="BG13" s="80">
        <f>+$I13*지급비율!AW26</f>
        <v>0</v>
      </c>
      <c r="BH13" s="80"/>
      <c r="BI13" s="80">
        <f t="shared" si="8"/>
        <v>0</v>
      </c>
      <c r="BJ13" s="81"/>
      <c r="BK13" s="78">
        <v>46053</v>
      </c>
      <c r="BL13" s="72"/>
      <c r="BM13" s="79">
        <f t="shared" si="9"/>
        <v>0.1</v>
      </c>
      <c r="BN13" s="80">
        <f>+$I13*지급비율!BD26</f>
        <v>4967160</v>
      </c>
      <c r="BO13" s="80">
        <v>0</v>
      </c>
      <c r="BP13" s="80">
        <f t="shared" si="10"/>
        <v>4967160</v>
      </c>
      <c r="BQ13" s="81"/>
      <c r="BR13" s="73"/>
      <c r="BS13" s="74" t="b">
        <f>+Q13+X13+AE13+AS13+AZ13+BG13+BN13=I13</f>
        <v>1</v>
      </c>
      <c r="BT13" s="74" t="b">
        <f>+R13+Y13+AF13+AT13+BA13+BH13+BO13=K13</f>
        <v>1</v>
      </c>
      <c r="BU13" s="74"/>
      <c r="BV13" s="58"/>
      <c r="BW13" s="58"/>
      <c r="BX13" s="58"/>
      <c r="BY13" s="58"/>
      <c r="BZ13" s="58"/>
      <c r="CA13" s="58"/>
      <c r="CB13" s="58"/>
      <c r="CC13" s="58"/>
      <c r="CD13" s="58"/>
      <c r="CE13" s="58"/>
    </row>
    <row r="14" spans="1:83" ht="16.5" customHeight="1">
      <c r="A14" s="146"/>
      <c r="B14" s="1322"/>
      <c r="C14" s="1532"/>
      <c r="D14" s="1341"/>
      <c r="E14" s="1324"/>
      <c r="F14" s="101" t="s">
        <v>391</v>
      </c>
      <c r="G14" s="102">
        <f>+[5]지급비율!$F$27*D11/1000</f>
        <v>63218400</v>
      </c>
      <c r="H14" s="102">
        <f>+G14*0.1</f>
        <v>6321840</v>
      </c>
      <c r="I14" s="102">
        <f>SUM(G14:H14)</f>
        <v>69540240</v>
      </c>
      <c r="J14" s="101">
        <f t="shared" si="0"/>
        <v>0</v>
      </c>
      <c r="K14" s="106">
        <f>+IFERROR(R14+Y14+AF14+AM14+BA14+BH14,"-")</f>
        <v>0</v>
      </c>
      <c r="L14" s="106">
        <f>+I14-K14</f>
        <v>69540240</v>
      </c>
      <c r="M14" s="418"/>
      <c r="N14" s="85"/>
      <c r="O14" s="101"/>
      <c r="P14" s="105"/>
      <c r="Q14" s="106">
        <f>+$I14*지급비율!G27</f>
        <v>0</v>
      </c>
      <c r="R14" s="106"/>
      <c r="S14" s="106">
        <f t="shared" si="1"/>
        <v>0</v>
      </c>
      <c r="T14" s="101"/>
      <c r="U14" s="85"/>
      <c r="V14" s="101"/>
      <c r="W14" s="105"/>
      <c r="X14" s="106">
        <f>+$I14*지급비율!N27</f>
        <v>0</v>
      </c>
      <c r="Y14" s="106"/>
      <c r="Z14" s="106">
        <f t="shared" si="2"/>
        <v>0</v>
      </c>
      <c r="AA14" s="101"/>
      <c r="AB14" s="85"/>
      <c r="AC14" s="101"/>
      <c r="AD14" s="105"/>
      <c r="AE14" s="106">
        <f>+$I14*지급비율!U27</f>
        <v>0</v>
      </c>
      <c r="AF14" s="106"/>
      <c r="AG14" s="106">
        <f t="shared" si="3"/>
        <v>0</v>
      </c>
      <c r="AH14" s="101"/>
      <c r="AI14" s="85"/>
      <c r="AJ14" s="101"/>
      <c r="AK14" s="105">
        <f t="shared" si="4"/>
        <v>0</v>
      </c>
      <c r="AL14" s="106">
        <f>+$I14*지급비율!AB27</f>
        <v>0</v>
      </c>
      <c r="AM14" s="106">
        <v>0</v>
      </c>
      <c r="AN14" s="106">
        <f t="shared" si="5"/>
        <v>0</v>
      </c>
      <c r="AO14" s="101"/>
      <c r="AP14" s="85"/>
      <c r="AQ14" s="101"/>
      <c r="AR14" s="105"/>
      <c r="AS14" s="106">
        <f>+$I14*지급비율!AI27</f>
        <v>0</v>
      </c>
      <c r="AT14" s="106"/>
      <c r="AU14" s="106">
        <f t="shared" si="6"/>
        <v>0</v>
      </c>
      <c r="AV14" s="101"/>
      <c r="AW14" s="85"/>
      <c r="AX14" s="101"/>
      <c r="AY14" s="105"/>
      <c r="AZ14" s="106">
        <f>+$I14*지급비율!AP27</f>
        <v>0</v>
      </c>
      <c r="BA14" s="106"/>
      <c r="BB14" s="106">
        <f t="shared" si="7"/>
        <v>0</v>
      </c>
      <c r="BC14" s="101"/>
      <c r="BD14" s="85"/>
      <c r="BE14" s="101"/>
      <c r="BF14" s="105"/>
      <c r="BG14" s="106">
        <f>+$I14*지급비율!AW27</f>
        <v>0</v>
      </c>
      <c r="BH14" s="106"/>
      <c r="BI14" s="106">
        <f t="shared" si="8"/>
        <v>0</v>
      </c>
      <c r="BJ14" s="101"/>
      <c r="BK14" s="104">
        <v>46053</v>
      </c>
      <c r="BL14" s="101"/>
      <c r="BM14" s="105">
        <f t="shared" si="9"/>
        <v>1</v>
      </c>
      <c r="BN14" s="106">
        <f>+$I14*지급비율!BD27</f>
        <v>69540240</v>
      </c>
      <c r="BO14" s="106">
        <v>0</v>
      </c>
      <c r="BP14" s="106">
        <f t="shared" si="10"/>
        <v>69540240</v>
      </c>
      <c r="BQ14" s="101"/>
      <c r="BR14" s="88"/>
      <c r="BS14" s="89" t="b">
        <f>+Q14+X14+AE14+AS14+AZ14+BG14+BN14=I14</f>
        <v>1</v>
      </c>
      <c r="BT14" s="90" t="b">
        <f>+R14+Y14+AF14+AT14+BA14+BH14+BO14=K14</f>
        <v>1</v>
      </c>
      <c r="BU14" s="89"/>
      <c r="BV14" s="58"/>
      <c r="BW14" s="355"/>
      <c r="BX14" s="58"/>
      <c r="BY14" s="58"/>
      <c r="BZ14" s="58"/>
      <c r="CA14" s="58"/>
      <c r="CB14" s="58"/>
      <c r="CC14" s="58"/>
      <c r="CD14" s="58"/>
      <c r="CE14" s="58"/>
    </row>
    <row r="15" spans="1:83" ht="16.5" customHeight="1">
      <c r="A15" s="62"/>
      <c r="B15" s="1322"/>
      <c r="C15" s="1532"/>
      <c r="D15" s="1342"/>
      <c r="E15" s="1324"/>
      <c r="F15" s="91" t="s">
        <v>392</v>
      </c>
      <c r="G15" s="92">
        <f>SUM(G11:G14)</f>
        <v>424466400</v>
      </c>
      <c r="H15" s="92">
        <f>SUM(H11:H14)</f>
        <v>42446640</v>
      </c>
      <c r="I15" s="92">
        <f>SUM(I11:I14)</f>
        <v>466913040</v>
      </c>
      <c r="J15" s="91">
        <f t="shared" si="0"/>
        <v>0.33840134342788969</v>
      </c>
      <c r="K15" s="92">
        <f>SUM(K11:K14)</f>
        <v>158004000</v>
      </c>
      <c r="L15" s="92">
        <f>SUM(L11:L14)</f>
        <v>308909040</v>
      </c>
      <c r="M15" s="419"/>
      <c r="N15" s="93"/>
      <c r="O15" s="91"/>
      <c r="P15" s="94">
        <f>+IFERROR(Q15/$I15,"-")</f>
        <v>5.3191489361702128E-2</v>
      </c>
      <c r="Q15" s="92">
        <f>SUM(Q11:Q14)</f>
        <v>24835800</v>
      </c>
      <c r="R15" s="170">
        <f>SUM(R11:R14)</f>
        <v>35112000</v>
      </c>
      <c r="S15" s="92">
        <f t="shared" si="1"/>
        <v>-10276200</v>
      </c>
      <c r="T15" s="91"/>
      <c r="U15" s="93"/>
      <c r="V15" s="91"/>
      <c r="W15" s="94">
        <f>+IFERROR(X15/$I15,"-")</f>
        <v>5.3191489361702128E-2</v>
      </c>
      <c r="X15" s="92">
        <f>SUM(X11:X14)</f>
        <v>24835800</v>
      </c>
      <c r="Y15" s="170">
        <f>SUM(Y11:Y14)</f>
        <v>35112000</v>
      </c>
      <c r="Z15" s="92">
        <f t="shared" si="2"/>
        <v>-10276200</v>
      </c>
      <c r="AA15" s="91"/>
      <c r="AB15" s="93"/>
      <c r="AC15" s="91"/>
      <c r="AD15" s="94">
        <f>+IFERROR(AE15/$I15,"-")</f>
        <v>0.42553191489361702</v>
      </c>
      <c r="AE15" s="92">
        <f>SUM(AE11:AE14)</f>
        <v>198686400</v>
      </c>
      <c r="AF15" s="170">
        <f>SUM(AF11:AF14)</f>
        <v>87780000</v>
      </c>
      <c r="AG15" s="92">
        <f t="shared" si="3"/>
        <v>110906400</v>
      </c>
      <c r="AH15" s="91"/>
      <c r="AI15" s="93"/>
      <c r="AJ15" s="91"/>
      <c r="AK15" s="94">
        <f t="shared" si="4"/>
        <v>0</v>
      </c>
      <c r="AL15" s="92">
        <f>SUM(AL11:AL14)</f>
        <v>0</v>
      </c>
      <c r="AM15" s="92">
        <f>SUM(AM11:AM14)</f>
        <v>0</v>
      </c>
      <c r="AN15" s="92">
        <f t="shared" si="5"/>
        <v>0</v>
      </c>
      <c r="AO15" s="91"/>
      <c r="AP15" s="93"/>
      <c r="AQ15" s="91"/>
      <c r="AR15" s="94">
        <f>+IFERROR(AS15/$I15,"-")</f>
        <v>0</v>
      </c>
      <c r="AS15" s="92">
        <f>SUM(AS11:AS14)</f>
        <v>0</v>
      </c>
      <c r="AT15" s="92">
        <f>SUM(AT11:AT14)</f>
        <v>0</v>
      </c>
      <c r="AU15" s="92">
        <f t="shared" si="6"/>
        <v>0</v>
      </c>
      <c r="AV15" s="91"/>
      <c r="AW15" s="93"/>
      <c r="AX15" s="91"/>
      <c r="AY15" s="94">
        <f>+IFERROR(AZ15/$I15,"-")</f>
        <v>0</v>
      </c>
      <c r="AZ15" s="92">
        <f>SUM(AZ11:AZ14)</f>
        <v>0</v>
      </c>
      <c r="BA15" s="92">
        <f>SUM(BA11:BA14)</f>
        <v>0</v>
      </c>
      <c r="BB15" s="92">
        <f t="shared" si="7"/>
        <v>0</v>
      </c>
      <c r="BC15" s="91"/>
      <c r="BD15" s="93"/>
      <c r="BE15" s="91"/>
      <c r="BF15" s="94">
        <f>+IFERROR(BG15/$I15,"-")</f>
        <v>0.23404255319148937</v>
      </c>
      <c r="BG15" s="92">
        <f>SUM(BG11:BG14)</f>
        <v>109277520</v>
      </c>
      <c r="BH15" s="92">
        <f>SUM(BH11:BH14)</f>
        <v>0</v>
      </c>
      <c r="BI15" s="92">
        <f t="shared" si="8"/>
        <v>109277520</v>
      </c>
      <c r="BJ15" s="91"/>
      <c r="BK15" s="93"/>
      <c r="BL15" s="91"/>
      <c r="BM15" s="94">
        <f t="shared" si="9"/>
        <v>0.23404255319148937</v>
      </c>
      <c r="BN15" s="92">
        <f>SUM(BN11:BN14)</f>
        <v>109277520</v>
      </c>
      <c r="BO15" s="92">
        <f>SUM(BO11:BO14)</f>
        <v>0</v>
      </c>
      <c r="BP15" s="92">
        <f t="shared" si="10"/>
        <v>109277520</v>
      </c>
      <c r="BQ15" s="91"/>
      <c r="BR15" s="88"/>
      <c r="BS15" s="96"/>
      <c r="BT15" s="96"/>
      <c r="BU15" s="139"/>
      <c r="BV15" s="54"/>
      <c r="BW15" s="54"/>
      <c r="BX15" s="54"/>
      <c r="BY15" s="54"/>
      <c r="BZ15" s="54"/>
      <c r="CA15" s="54"/>
      <c r="CB15" s="54"/>
      <c r="CC15" s="54"/>
      <c r="CD15" s="58"/>
      <c r="CE15" s="58"/>
    </row>
    <row r="16" spans="1:83" ht="16.5" customHeight="1">
      <c r="A16" s="146"/>
      <c r="B16" s="1322">
        <f>+B11+1</f>
        <v>2</v>
      </c>
      <c r="C16" s="1531" t="s">
        <v>935</v>
      </c>
      <c r="D16" s="1340">
        <v>545.46</v>
      </c>
      <c r="E16" s="1324" t="s">
        <v>888</v>
      </c>
      <c r="F16" s="63" t="s">
        <v>388</v>
      </c>
      <c r="G16" s="64">
        <f>+$G$2*D16/1000</f>
        <v>600006000</v>
      </c>
      <c r="H16" s="64">
        <f>+G16*10%</f>
        <v>60000600</v>
      </c>
      <c r="I16" s="64">
        <f>SUM(G16:H16)</f>
        <v>660006600</v>
      </c>
      <c r="J16" s="63">
        <f t="shared" si="0"/>
        <v>3.0117729125739047E-2</v>
      </c>
      <c r="K16" s="134">
        <f>+IFERROR(R16+Y16+AF16+AM16+BA16+BH16,"-")</f>
        <v>19877900</v>
      </c>
      <c r="L16" s="134">
        <f>+I16-K16</f>
        <v>640128700</v>
      </c>
      <c r="M16" s="1331" t="s">
        <v>265</v>
      </c>
      <c r="N16" s="67"/>
      <c r="O16" s="160"/>
      <c r="P16" s="135"/>
      <c r="Q16" s="134">
        <f>+$I16*지급비율!G20</f>
        <v>0</v>
      </c>
      <c r="R16" s="134"/>
      <c r="S16" s="134">
        <f t="shared" si="1"/>
        <v>0</v>
      </c>
      <c r="T16" s="145"/>
      <c r="U16" s="67"/>
      <c r="V16" s="160">
        <v>45975</v>
      </c>
      <c r="W16" s="135"/>
      <c r="X16" s="134">
        <f>+$I16*지급비율!N20</f>
        <v>0</v>
      </c>
      <c r="Y16" s="134">
        <f>14625600+2886160+2366140</f>
        <v>19877900</v>
      </c>
      <c r="Z16" s="134">
        <f t="shared" si="2"/>
        <v>-19877900</v>
      </c>
      <c r="AA16" s="145"/>
      <c r="AB16" s="67">
        <f>+EDATE(AI16,2)</f>
        <v>46020</v>
      </c>
      <c r="AC16" s="160"/>
      <c r="AD16" s="135">
        <f>+IFERROR(AE16/$I16,"-")</f>
        <v>0.5</v>
      </c>
      <c r="AE16" s="134">
        <f>+$I16*지급비율!U20</f>
        <v>330003300</v>
      </c>
      <c r="AF16" s="134">
        <v>0</v>
      </c>
      <c r="AG16" s="134">
        <f t="shared" si="3"/>
        <v>330003300</v>
      </c>
      <c r="AH16" s="145"/>
      <c r="AI16" s="67">
        <f>+EDATE(AP16,-1)</f>
        <v>45959</v>
      </c>
      <c r="AJ16" s="160"/>
      <c r="AK16" s="135">
        <f t="shared" si="4"/>
        <v>0</v>
      </c>
      <c r="AL16" s="134">
        <f>+$I16*지급비율!AB20</f>
        <v>0</v>
      </c>
      <c r="AM16" s="134">
        <v>0</v>
      </c>
      <c r="AN16" s="134">
        <f t="shared" si="5"/>
        <v>0</v>
      </c>
      <c r="AO16" s="145"/>
      <c r="AP16" s="67">
        <f>+EDATE(AW16,-1)+1</f>
        <v>45990</v>
      </c>
      <c r="AQ16" s="160"/>
      <c r="AR16" s="135">
        <f>+IFERROR(AS16/$I16,"-")</f>
        <v>0</v>
      </c>
      <c r="AS16" s="134">
        <f>+$I16*지급비율!AI20</f>
        <v>0</v>
      </c>
      <c r="AT16" s="134">
        <v>0</v>
      </c>
      <c r="AU16" s="134">
        <f t="shared" si="6"/>
        <v>0</v>
      </c>
      <c r="AV16" s="145"/>
      <c r="AW16" s="67">
        <f>+EDATE(BD16,-1)</f>
        <v>46019</v>
      </c>
      <c r="AX16" s="160"/>
      <c r="AY16" s="135">
        <f>+IFERROR(AZ16/$I16,"-")</f>
        <v>0</v>
      </c>
      <c r="AZ16" s="134">
        <f>+$I16*지급비율!AP20</f>
        <v>0</v>
      </c>
      <c r="BA16" s="134">
        <v>0</v>
      </c>
      <c r="BB16" s="134">
        <f t="shared" si="7"/>
        <v>0</v>
      </c>
      <c r="BC16" s="145"/>
      <c r="BD16" s="67">
        <f>+EDATE(BK16,-1)</f>
        <v>46050</v>
      </c>
      <c r="BE16" s="160"/>
      <c r="BF16" s="135">
        <f>+IFERROR(BG16/$I16,"-")</f>
        <v>0.4</v>
      </c>
      <c r="BG16" s="134">
        <f>+$I16*지급비율!AW20</f>
        <v>264002640</v>
      </c>
      <c r="BH16" s="134">
        <v>0</v>
      </c>
      <c r="BI16" s="134">
        <f t="shared" si="8"/>
        <v>264002640</v>
      </c>
      <c r="BJ16" s="145"/>
      <c r="BK16" s="78">
        <v>46081</v>
      </c>
      <c r="BL16" s="160"/>
      <c r="BM16" s="79">
        <f t="shared" si="9"/>
        <v>0.1</v>
      </c>
      <c r="BN16" s="134">
        <f>+$I16*지급비율!BD20</f>
        <v>66000660</v>
      </c>
      <c r="BO16" s="134">
        <v>0</v>
      </c>
      <c r="BP16" s="134">
        <f t="shared" si="10"/>
        <v>66000660</v>
      </c>
      <c r="BQ16" s="145"/>
      <c r="BR16" s="73"/>
      <c r="BS16" s="74" t="b">
        <f>+Q16+X16+AE16+AS16+AZ16+BG16+BN16=I16</f>
        <v>1</v>
      </c>
      <c r="BT16" s="74" t="b">
        <f>+R16+Y16+AF16+AT16+BA16+BH16+BO16=K16</f>
        <v>1</v>
      </c>
      <c r="BU16" s="74"/>
      <c r="BV16" s="58"/>
      <c r="BW16" s="58"/>
      <c r="BX16" s="58"/>
      <c r="BY16" s="58"/>
      <c r="BZ16" s="58"/>
      <c r="CA16" s="58"/>
      <c r="CB16" s="58"/>
      <c r="CC16" s="58"/>
      <c r="CD16" s="58"/>
      <c r="CE16" s="58"/>
    </row>
    <row r="17" spans="1:83" ht="16.5" customHeight="1">
      <c r="A17" s="146"/>
      <c r="B17" s="1322"/>
      <c r="C17" s="1531"/>
      <c r="D17" s="1341"/>
      <c r="E17" s="1324"/>
      <c r="F17" s="75" t="s">
        <v>389</v>
      </c>
      <c r="G17" s="76">
        <f>+[5]지급비율!$F$21*D16/1000</f>
        <v>163638000</v>
      </c>
      <c r="H17" s="76">
        <f>+G17*10%</f>
        <v>16363800</v>
      </c>
      <c r="I17" s="76">
        <f>SUM(G17:H17)</f>
        <v>180001800</v>
      </c>
      <c r="J17" s="75">
        <f t="shared" si="0"/>
        <v>0.4</v>
      </c>
      <c r="K17" s="80">
        <f>+IFERROR(R17+Y17+AF17+AM17+BA17+BH17,"-")</f>
        <v>72000720</v>
      </c>
      <c r="L17" s="80">
        <f>+I17-K17</f>
        <v>108001080</v>
      </c>
      <c r="M17" s="1332"/>
      <c r="N17" s="78">
        <f>+O17</f>
        <v>45679</v>
      </c>
      <c r="O17" s="78">
        <v>45679</v>
      </c>
      <c r="P17" s="79">
        <f>+IFERROR(Q17/$I17,"-")</f>
        <v>0.2</v>
      </c>
      <c r="Q17" s="80">
        <f>+$I17*지급비율!G21</f>
        <v>36000360</v>
      </c>
      <c r="R17" s="80">
        <f>36000140+220</f>
        <v>36000360</v>
      </c>
      <c r="S17" s="80">
        <f t="shared" si="1"/>
        <v>0</v>
      </c>
      <c r="T17" s="81"/>
      <c r="U17" s="78">
        <v>45791</v>
      </c>
      <c r="V17" s="78">
        <v>45791</v>
      </c>
      <c r="W17" s="79">
        <f>+IFERROR(X17/$I17,"-")</f>
        <v>0.2</v>
      </c>
      <c r="X17" s="80">
        <f>+$I17*지급비율!N21</f>
        <v>36000360</v>
      </c>
      <c r="Y17" s="80">
        <f>36000140+220</f>
        <v>36000360</v>
      </c>
      <c r="Z17" s="80">
        <f t="shared" si="2"/>
        <v>0</v>
      </c>
      <c r="AA17" s="161"/>
      <c r="AB17" s="402">
        <v>45991</v>
      </c>
      <c r="AC17" s="402"/>
      <c r="AD17" s="403">
        <f>+IFERROR(AE17/$I17,"-")</f>
        <v>0.5</v>
      </c>
      <c r="AE17" s="413">
        <f>+$I17*지급비율!U21</f>
        <v>90000900</v>
      </c>
      <c r="AF17" s="413">
        <v>0</v>
      </c>
      <c r="AG17" s="413">
        <f t="shared" si="3"/>
        <v>90000900</v>
      </c>
      <c r="AH17" s="343"/>
      <c r="AI17" s="78"/>
      <c r="AJ17" s="78"/>
      <c r="AK17" s="79">
        <f t="shared" si="4"/>
        <v>0</v>
      </c>
      <c r="AL17" s="80">
        <f>+$I17*지급비율!AB21</f>
        <v>0</v>
      </c>
      <c r="AM17" s="80">
        <v>0</v>
      </c>
      <c r="AN17" s="80">
        <f t="shared" si="5"/>
        <v>0</v>
      </c>
      <c r="AO17" s="81"/>
      <c r="AP17" s="78"/>
      <c r="AQ17" s="78"/>
      <c r="AR17" s="79"/>
      <c r="AS17" s="80">
        <f>+$I17*지급비율!AI21</f>
        <v>0</v>
      </c>
      <c r="AT17" s="80"/>
      <c r="AU17" s="80">
        <f t="shared" si="6"/>
        <v>0</v>
      </c>
      <c r="AV17" s="81"/>
      <c r="AW17" s="78"/>
      <c r="AX17" s="78"/>
      <c r="AY17" s="79"/>
      <c r="AZ17" s="80">
        <f>+$I17*지급비율!AP21</f>
        <v>0</v>
      </c>
      <c r="BA17" s="80"/>
      <c r="BB17" s="80">
        <f t="shared" si="7"/>
        <v>0</v>
      </c>
      <c r="BC17" s="81"/>
      <c r="BD17" s="78"/>
      <c r="BE17" s="78"/>
      <c r="BF17" s="79"/>
      <c r="BG17" s="80">
        <f>+$I17*지급비율!AW21</f>
        <v>0</v>
      </c>
      <c r="BH17" s="80"/>
      <c r="BI17" s="80">
        <f t="shared" si="8"/>
        <v>0</v>
      </c>
      <c r="BJ17" s="81"/>
      <c r="BK17" s="78">
        <v>46053</v>
      </c>
      <c r="BL17" s="78"/>
      <c r="BM17" s="79">
        <f t="shared" si="9"/>
        <v>0.1</v>
      </c>
      <c r="BN17" s="80">
        <f>+$I17*지급비율!BD21</f>
        <v>18000180</v>
      </c>
      <c r="BO17" s="80">
        <v>0</v>
      </c>
      <c r="BP17" s="80">
        <f t="shared" si="10"/>
        <v>18000180</v>
      </c>
      <c r="BQ17" s="81"/>
      <c r="BR17" s="73"/>
      <c r="BS17" s="74" t="b">
        <f>+Q17+X17+AE17+AS17+AZ17+BG17+BN17=I17</f>
        <v>1</v>
      </c>
      <c r="BT17" s="74" t="b">
        <f>+R17+Y17+AF17+AT17+BA17+BH17+BO17=K17</f>
        <v>1</v>
      </c>
      <c r="BU17" s="74" t="b">
        <f>+BG17+BG18+AZ17+AZ18+AS17+AS18+AE17+AE18+X17+X18+Q17+Q18+BN17+BN18=([5]지급비율!$F$21+[5]지급비율!$F$22)*1.1*D16/1000</f>
        <v>1</v>
      </c>
      <c r="BV17" s="58"/>
      <c r="BW17" s="58"/>
      <c r="BX17" s="58"/>
      <c r="BY17" s="58"/>
      <c r="BZ17" s="58"/>
      <c r="CA17" s="58"/>
      <c r="CB17" s="58"/>
      <c r="CC17" s="58"/>
      <c r="CD17" s="58"/>
      <c r="CE17" s="58"/>
    </row>
    <row r="18" spans="1:83" ht="16.5" customHeight="1">
      <c r="A18" s="146"/>
      <c r="B18" s="1322"/>
      <c r="C18" s="1531"/>
      <c r="D18" s="1341"/>
      <c r="E18" s="1324"/>
      <c r="F18" s="75" t="s">
        <v>390</v>
      </c>
      <c r="G18" s="76">
        <f>+[5]지급비율!$F$22*D16/1000</f>
        <v>109092000</v>
      </c>
      <c r="H18" s="76">
        <f>+G18*10%</f>
        <v>10909200</v>
      </c>
      <c r="I18" s="76">
        <f>SUM(G18:H18)</f>
        <v>120001200</v>
      </c>
      <c r="J18" s="75">
        <f t="shared" si="0"/>
        <v>0.4</v>
      </c>
      <c r="K18" s="80">
        <f>+IFERROR(R18+Y18+AF18+AM18+BA18+BH18,"-")</f>
        <v>48000480</v>
      </c>
      <c r="L18" s="80">
        <f>+I18-K18</f>
        <v>72000720</v>
      </c>
      <c r="M18" s="1332"/>
      <c r="N18" s="78">
        <f>+O18</f>
        <v>45679</v>
      </c>
      <c r="O18" s="78">
        <v>45679</v>
      </c>
      <c r="P18" s="79">
        <f>+IFERROR(Q18/$I18,"-")</f>
        <v>0.2</v>
      </c>
      <c r="Q18" s="80">
        <f>+$I18*지급비율!G22</f>
        <v>24000240</v>
      </c>
      <c r="R18" s="80">
        <f>24000460-220</f>
        <v>24000240</v>
      </c>
      <c r="S18" s="80">
        <f t="shared" si="1"/>
        <v>0</v>
      </c>
      <c r="T18" s="81"/>
      <c r="U18" s="78">
        <v>45791</v>
      </c>
      <c r="V18" s="78">
        <v>45791</v>
      </c>
      <c r="W18" s="79">
        <f>+IFERROR(X18/$I18,"-")</f>
        <v>0.2</v>
      </c>
      <c r="X18" s="80">
        <f>+$I18*지급비율!N22</f>
        <v>24000240</v>
      </c>
      <c r="Y18" s="80">
        <f>24000460-220</f>
        <v>24000240</v>
      </c>
      <c r="Z18" s="80">
        <f t="shared" si="2"/>
        <v>0</v>
      </c>
      <c r="AA18" s="81"/>
      <c r="AB18" s="402">
        <v>45991</v>
      </c>
      <c r="AC18" s="402"/>
      <c r="AD18" s="403">
        <f>+IFERROR(AE18/$I18,"-")</f>
        <v>0.5</v>
      </c>
      <c r="AE18" s="413">
        <f>+$I18*지급비율!U22</f>
        <v>60000600</v>
      </c>
      <c r="AF18" s="413">
        <v>0</v>
      </c>
      <c r="AG18" s="413">
        <f t="shared" si="3"/>
        <v>60000600</v>
      </c>
      <c r="AH18" s="344"/>
      <c r="AI18" s="72"/>
      <c r="AJ18" s="78"/>
      <c r="AK18" s="79">
        <f t="shared" si="4"/>
        <v>0</v>
      </c>
      <c r="AL18" s="80">
        <f>+$I18*지급비율!AB22</f>
        <v>0</v>
      </c>
      <c r="AM18" s="80">
        <v>0</v>
      </c>
      <c r="AN18" s="80">
        <f t="shared" si="5"/>
        <v>0</v>
      </c>
      <c r="AO18" s="81"/>
      <c r="AP18" s="72"/>
      <c r="AQ18" s="78"/>
      <c r="AR18" s="79"/>
      <c r="AS18" s="80">
        <f>+$I18*지급비율!AI22</f>
        <v>0</v>
      </c>
      <c r="AT18" s="80"/>
      <c r="AU18" s="80">
        <f t="shared" si="6"/>
        <v>0</v>
      </c>
      <c r="AV18" s="81"/>
      <c r="AW18" s="72"/>
      <c r="AX18" s="78"/>
      <c r="AY18" s="79"/>
      <c r="AZ18" s="80">
        <f>+$I18*지급비율!AP22</f>
        <v>0</v>
      </c>
      <c r="BA18" s="80"/>
      <c r="BB18" s="80">
        <f t="shared" si="7"/>
        <v>0</v>
      </c>
      <c r="BC18" s="81"/>
      <c r="BD18" s="72"/>
      <c r="BE18" s="72"/>
      <c r="BF18" s="79"/>
      <c r="BG18" s="80">
        <f>+$I18*지급비율!AW22</f>
        <v>0</v>
      </c>
      <c r="BH18" s="80"/>
      <c r="BI18" s="80">
        <f t="shared" si="8"/>
        <v>0</v>
      </c>
      <c r="BJ18" s="81"/>
      <c r="BK18" s="78">
        <v>46053</v>
      </c>
      <c r="BL18" s="78"/>
      <c r="BM18" s="79">
        <f t="shared" si="9"/>
        <v>0.1</v>
      </c>
      <c r="BN18" s="80">
        <f>+$I18*지급비율!BD22</f>
        <v>12000120</v>
      </c>
      <c r="BO18" s="80">
        <v>0</v>
      </c>
      <c r="BP18" s="80">
        <f t="shared" si="10"/>
        <v>12000120</v>
      </c>
      <c r="BQ18" s="81"/>
      <c r="BR18" s="73"/>
      <c r="BS18" s="74" t="b">
        <f>+Q18+X18+AE18+AS18+AZ18+BG18+BN18=I18</f>
        <v>1</v>
      </c>
      <c r="BT18" s="74" t="b">
        <f>+R18+Y18+AF18+AT18+BA18+BH18+BO18=K18</f>
        <v>1</v>
      </c>
      <c r="BU18" s="74"/>
      <c r="BV18" s="58"/>
      <c r="BW18" s="58"/>
      <c r="BX18" s="58"/>
      <c r="BY18" s="58"/>
      <c r="BZ18" s="58"/>
      <c r="CA18" s="58"/>
      <c r="CB18" s="58"/>
      <c r="CC18" s="58"/>
      <c r="CD18" s="58"/>
      <c r="CE18" s="58"/>
    </row>
    <row r="19" spans="1:83" ht="16.5" customHeight="1">
      <c r="A19" s="146"/>
      <c r="B19" s="1322"/>
      <c r="C19" s="1531"/>
      <c r="D19" s="1341"/>
      <c r="E19" s="1324"/>
      <c r="F19" s="101" t="s">
        <v>391</v>
      </c>
      <c r="G19" s="102">
        <f>+[5]지급비율!$F$23*D16/1000</f>
        <v>109092000</v>
      </c>
      <c r="H19" s="102">
        <f>+G19*0.1</f>
        <v>10909200</v>
      </c>
      <c r="I19" s="102">
        <f>SUM(G19:H19)</f>
        <v>120001200</v>
      </c>
      <c r="J19" s="101">
        <f t="shared" si="0"/>
        <v>0</v>
      </c>
      <c r="K19" s="106">
        <f>+IFERROR(R19+Y19+AF19+AM19+BA19+BH19,"-")</f>
        <v>0</v>
      </c>
      <c r="L19" s="106">
        <f>+I19-K19</f>
        <v>120001200</v>
      </c>
      <c r="M19" s="1333"/>
      <c r="N19" s="85"/>
      <c r="O19" s="101"/>
      <c r="P19" s="105"/>
      <c r="Q19" s="106">
        <f>+$I19*지급비율!G23</f>
        <v>0</v>
      </c>
      <c r="R19" s="106"/>
      <c r="S19" s="106">
        <f t="shared" si="1"/>
        <v>0</v>
      </c>
      <c r="T19" s="101"/>
      <c r="U19" s="85"/>
      <c r="V19" s="101"/>
      <c r="W19" s="105"/>
      <c r="X19" s="106">
        <f>+$I19*지급비율!N23</f>
        <v>0</v>
      </c>
      <c r="Y19" s="106"/>
      <c r="Z19" s="106">
        <f t="shared" si="2"/>
        <v>0</v>
      </c>
      <c r="AA19" s="101"/>
      <c r="AB19" s="85"/>
      <c r="AC19" s="101"/>
      <c r="AD19" s="105"/>
      <c r="AE19" s="106">
        <f>+$I19*지급비율!U23</f>
        <v>0</v>
      </c>
      <c r="AF19" s="106"/>
      <c r="AG19" s="106">
        <f t="shared" si="3"/>
        <v>0</v>
      </c>
      <c r="AH19" s="101"/>
      <c r="AI19" s="85"/>
      <c r="AJ19" s="101"/>
      <c r="AK19" s="105">
        <f t="shared" si="4"/>
        <v>0</v>
      </c>
      <c r="AL19" s="106">
        <f>+$I19*지급비율!AB23</f>
        <v>0</v>
      </c>
      <c r="AM19" s="106">
        <v>0</v>
      </c>
      <c r="AN19" s="106">
        <f t="shared" si="5"/>
        <v>0</v>
      </c>
      <c r="AO19" s="101"/>
      <c r="AP19" s="85"/>
      <c r="AQ19" s="101"/>
      <c r="AR19" s="105"/>
      <c r="AS19" s="106">
        <f>+$I19*지급비율!AI23</f>
        <v>0</v>
      </c>
      <c r="AT19" s="106"/>
      <c r="AU19" s="106">
        <f t="shared" si="6"/>
        <v>0</v>
      </c>
      <c r="AV19" s="101"/>
      <c r="AW19" s="85"/>
      <c r="AX19" s="101"/>
      <c r="AY19" s="105"/>
      <c r="AZ19" s="106">
        <f>+$I19*지급비율!AP23</f>
        <v>0</v>
      </c>
      <c r="BA19" s="106"/>
      <c r="BB19" s="106">
        <f t="shared" si="7"/>
        <v>0</v>
      </c>
      <c r="BC19" s="101"/>
      <c r="BD19" s="85"/>
      <c r="BE19" s="101"/>
      <c r="BF19" s="105"/>
      <c r="BG19" s="106">
        <f>+$I19*지급비율!AW23</f>
        <v>0</v>
      </c>
      <c r="BH19" s="106"/>
      <c r="BI19" s="106">
        <f t="shared" si="8"/>
        <v>0</v>
      </c>
      <c r="BJ19" s="101"/>
      <c r="BK19" s="104">
        <v>46053</v>
      </c>
      <c r="BL19" s="101"/>
      <c r="BM19" s="105">
        <f t="shared" si="9"/>
        <v>1</v>
      </c>
      <c r="BN19" s="106">
        <f>+$I19*지급비율!BD23</f>
        <v>120001200</v>
      </c>
      <c r="BO19" s="106">
        <v>0</v>
      </c>
      <c r="BP19" s="106">
        <f t="shared" si="10"/>
        <v>120001200</v>
      </c>
      <c r="BQ19" s="101"/>
      <c r="BR19" s="88"/>
      <c r="BS19" s="89" t="b">
        <f>+Q19+X19+AE19+AS19+AZ19+BG19+BN19=I19</f>
        <v>1</v>
      </c>
      <c r="BT19" s="90" t="b">
        <f>+R19+Y19+AF19+AT19+BA19+BH19+BO19=K19</f>
        <v>1</v>
      </c>
      <c r="BU19" s="89"/>
      <c r="BV19" s="58"/>
      <c r="BW19" s="58"/>
      <c r="BX19" s="58"/>
      <c r="BY19" s="58"/>
      <c r="BZ19" s="58"/>
      <c r="CA19" s="58"/>
      <c r="CB19" s="58"/>
      <c r="CC19" s="58"/>
      <c r="CD19" s="58"/>
      <c r="CE19" s="58"/>
    </row>
    <row r="20" spans="1:83" ht="16.5" customHeight="1">
      <c r="A20" s="62"/>
      <c r="B20" s="1322"/>
      <c r="C20" s="1531"/>
      <c r="D20" s="1342"/>
      <c r="E20" s="1324"/>
      <c r="F20" s="91" t="s">
        <v>392</v>
      </c>
      <c r="G20" s="92">
        <f>SUM(G16:G19)</f>
        <v>981828000</v>
      </c>
      <c r="H20" s="92">
        <f>SUM(H16:H19)</f>
        <v>98182800</v>
      </c>
      <c r="I20" s="92">
        <f>SUM(I16:I19)</f>
        <v>1080010800</v>
      </c>
      <c r="J20" s="91">
        <f t="shared" si="0"/>
        <v>0.12951639002128498</v>
      </c>
      <c r="K20" s="92">
        <f>SUM(K16:K19)</f>
        <v>139879100</v>
      </c>
      <c r="L20" s="92">
        <f>SUM(L16:L19)</f>
        <v>940131700</v>
      </c>
      <c r="M20" s="419">
        <v>150001500</v>
      </c>
      <c r="N20" s="93"/>
      <c r="O20" s="91"/>
      <c r="P20" s="94">
        <f>+IFERROR(Q20/$I20,"-")</f>
        <v>5.5555555555555552E-2</v>
      </c>
      <c r="Q20" s="92">
        <f>SUM(Q16:Q19)</f>
        <v>60000600</v>
      </c>
      <c r="R20" s="170">
        <f>SUM(R16:R19)</f>
        <v>60000600</v>
      </c>
      <c r="S20" s="92">
        <f t="shared" si="1"/>
        <v>0</v>
      </c>
      <c r="T20" s="91"/>
      <c r="U20" s="93"/>
      <c r="V20" s="91"/>
      <c r="W20" s="94">
        <f>+IFERROR(X20/$I20,"-")</f>
        <v>5.5555555555555552E-2</v>
      </c>
      <c r="X20" s="92">
        <f>SUM(X16:X19)</f>
        <v>60000600</v>
      </c>
      <c r="Y20" s="170">
        <f>SUM(Y16:Y19)</f>
        <v>79878500</v>
      </c>
      <c r="Z20" s="92">
        <f t="shared" si="2"/>
        <v>-19877900</v>
      </c>
      <c r="AA20" s="91"/>
      <c r="AB20" s="93"/>
      <c r="AC20" s="91"/>
      <c r="AD20" s="94">
        <f>+IFERROR(AE20/$I20,"-")</f>
        <v>0.44444444444444442</v>
      </c>
      <c r="AE20" s="92">
        <f>SUM(AE16:AE19)</f>
        <v>480004800</v>
      </c>
      <c r="AF20" s="92">
        <f>SUM(AF16:AF19)</f>
        <v>0</v>
      </c>
      <c r="AG20" s="92">
        <f t="shared" si="3"/>
        <v>480004800</v>
      </c>
      <c r="AH20" s="91"/>
      <c r="AI20" s="93"/>
      <c r="AJ20" s="91"/>
      <c r="AK20" s="94">
        <f t="shared" si="4"/>
        <v>0</v>
      </c>
      <c r="AL20" s="92">
        <f>SUM(AL16:AL19)</f>
        <v>0</v>
      </c>
      <c r="AM20" s="92">
        <f>SUM(AM16:AM19)</f>
        <v>0</v>
      </c>
      <c r="AN20" s="92">
        <f t="shared" si="5"/>
        <v>0</v>
      </c>
      <c r="AO20" s="91"/>
      <c r="AP20" s="93"/>
      <c r="AQ20" s="91"/>
      <c r="AR20" s="94">
        <f>+IFERROR(AS20/$I20,"-")</f>
        <v>0</v>
      </c>
      <c r="AS20" s="92">
        <f>SUM(AS16:AS19)</f>
        <v>0</v>
      </c>
      <c r="AT20" s="92">
        <f>SUM(AT16:AT19)</f>
        <v>0</v>
      </c>
      <c r="AU20" s="92">
        <f t="shared" si="6"/>
        <v>0</v>
      </c>
      <c r="AV20" s="91"/>
      <c r="AW20" s="93"/>
      <c r="AX20" s="91"/>
      <c r="AY20" s="94">
        <f>+IFERROR(AZ20/$I20,"-")</f>
        <v>0</v>
      </c>
      <c r="AZ20" s="92">
        <f>SUM(AZ16:AZ19)</f>
        <v>0</v>
      </c>
      <c r="BA20" s="92">
        <f>SUM(BA16:BA19)</f>
        <v>0</v>
      </c>
      <c r="BB20" s="92">
        <f t="shared" si="7"/>
        <v>0</v>
      </c>
      <c r="BC20" s="91"/>
      <c r="BD20" s="93"/>
      <c r="BE20" s="91"/>
      <c r="BF20" s="94">
        <f>+IFERROR(BG20/$I20,"-")</f>
        <v>0.24444444444444444</v>
      </c>
      <c r="BG20" s="92">
        <f>SUM(BG16:BG19)</f>
        <v>264002640</v>
      </c>
      <c r="BH20" s="92">
        <f>SUM(BH16:BH19)</f>
        <v>0</v>
      </c>
      <c r="BI20" s="92">
        <f t="shared" si="8"/>
        <v>264002640</v>
      </c>
      <c r="BJ20" s="91"/>
      <c r="BK20" s="93"/>
      <c r="BL20" s="91"/>
      <c r="BM20" s="94">
        <f t="shared" si="9"/>
        <v>0.2</v>
      </c>
      <c r="BN20" s="92">
        <f>SUM(BN16:BN19)</f>
        <v>216002160</v>
      </c>
      <c r="BO20" s="92">
        <f>SUM(BO16:BO19)</f>
        <v>0</v>
      </c>
      <c r="BP20" s="92">
        <f t="shared" si="10"/>
        <v>216002160</v>
      </c>
      <c r="BQ20" s="91"/>
      <c r="BR20" s="88"/>
      <c r="BS20" s="96"/>
      <c r="BT20" s="96"/>
      <c r="BU20" s="139"/>
      <c r="BV20" s="54"/>
      <c r="BW20" s="54"/>
      <c r="BX20" s="54"/>
      <c r="BY20" s="54"/>
      <c r="BZ20" s="54"/>
      <c r="CA20" s="54"/>
      <c r="CB20" s="54"/>
      <c r="CC20" s="54"/>
      <c r="CD20" s="58"/>
      <c r="CE20" s="58"/>
    </row>
    <row r="21" spans="1:83" ht="16.5" customHeight="1">
      <c r="A21" s="146"/>
      <c r="B21" s="1322">
        <f t="shared" ref="B21" si="11">+B16+1</f>
        <v>3</v>
      </c>
      <c r="C21" s="1540" t="s">
        <v>936</v>
      </c>
      <c r="D21" s="1543">
        <v>207.36</v>
      </c>
      <c r="E21" s="1324" t="s">
        <v>888</v>
      </c>
      <c r="F21" s="63" t="s">
        <v>388</v>
      </c>
      <c r="G21" s="64">
        <f>+$G$2*D21/1000</f>
        <v>228096000</v>
      </c>
      <c r="H21" s="64">
        <f>+G21*10%</f>
        <v>22809600</v>
      </c>
      <c r="I21" s="64">
        <f>SUM(G21:H21)</f>
        <v>250905600</v>
      </c>
      <c r="J21" s="63">
        <f t="shared" si="0"/>
        <v>0</v>
      </c>
      <c r="K21" s="134">
        <f>+IFERROR(R21+Y21+AF21+AM21+BA21+BH21,"-")</f>
        <v>0</v>
      </c>
      <c r="L21" s="134">
        <f>+I21-K21</f>
        <v>250905600</v>
      </c>
      <c r="M21" s="1331" t="s">
        <v>937</v>
      </c>
      <c r="N21" s="67"/>
      <c r="O21" s="160"/>
      <c r="P21" s="135"/>
      <c r="Q21" s="134">
        <f>+$I21*지급비율!G20</f>
        <v>0</v>
      </c>
      <c r="R21" s="134"/>
      <c r="S21" s="134">
        <f t="shared" si="1"/>
        <v>0</v>
      </c>
      <c r="T21" s="145"/>
      <c r="U21" s="67"/>
      <c r="V21" s="160"/>
      <c r="W21" s="135"/>
      <c r="X21" s="134">
        <f>+$I21*지급비율!N20</f>
        <v>0</v>
      </c>
      <c r="Y21" s="134"/>
      <c r="Z21" s="134">
        <f t="shared" si="2"/>
        <v>0</v>
      </c>
      <c r="AA21" s="145"/>
      <c r="AB21" s="67">
        <f>+EDATE(AI21,1)</f>
        <v>46020</v>
      </c>
      <c r="AC21" s="160"/>
      <c r="AD21" s="135">
        <f>+IFERROR(AE21/$I21,"-")</f>
        <v>0.5</v>
      </c>
      <c r="AE21" s="134">
        <f>+$I21*지급비율!U20</f>
        <v>125452800</v>
      </c>
      <c r="AF21" s="134">
        <v>0</v>
      </c>
      <c r="AG21" s="134">
        <f t="shared" si="3"/>
        <v>125452800</v>
      </c>
      <c r="AH21" s="145"/>
      <c r="AI21" s="67">
        <f>+EDATE(AP21,-1)</f>
        <v>45990</v>
      </c>
      <c r="AJ21" s="160"/>
      <c r="AK21" s="135">
        <f t="shared" si="4"/>
        <v>0</v>
      </c>
      <c r="AL21" s="134">
        <f>+$I21*지급비율!AB20</f>
        <v>0</v>
      </c>
      <c r="AM21" s="134">
        <v>0</v>
      </c>
      <c r="AN21" s="134">
        <f t="shared" si="5"/>
        <v>0</v>
      </c>
      <c r="AO21" s="145"/>
      <c r="AP21" s="67">
        <f>+EDATE(AW21,-1)+1</f>
        <v>46020</v>
      </c>
      <c r="AQ21" s="160"/>
      <c r="AR21" s="135">
        <f>+IFERROR(AS21/$I21,"-")</f>
        <v>0</v>
      </c>
      <c r="AS21" s="134">
        <f>+$I21*지급비율!AI20</f>
        <v>0</v>
      </c>
      <c r="AT21" s="134">
        <v>0</v>
      </c>
      <c r="AU21" s="134">
        <f t="shared" si="6"/>
        <v>0</v>
      </c>
      <c r="AV21" s="145"/>
      <c r="AW21" s="67">
        <f>+EDATE(BD21,-1)</f>
        <v>46050</v>
      </c>
      <c r="AX21" s="160"/>
      <c r="AY21" s="135">
        <f>+IFERROR(AZ21/$I21,"-")</f>
        <v>0</v>
      </c>
      <c r="AZ21" s="134">
        <f>+$I21*지급비율!AP20</f>
        <v>0</v>
      </c>
      <c r="BA21" s="134">
        <v>0</v>
      </c>
      <c r="BB21" s="134">
        <f t="shared" si="7"/>
        <v>0</v>
      </c>
      <c r="BC21" s="145"/>
      <c r="BD21" s="67">
        <f>+EDATE(BK21,-1)</f>
        <v>46081</v>
      </c>
      <c r="BE21" s="160"/>
      <c r="BF21" s="135">
        <f>+IFERROR(BG21/$I21,"-")</f>
        <v>0.4</v>
      </c>
      <c r="BG21" s="134">
        <f>+$I21*지급비율!AW20</f>
        <v>100362240</v>
      </c>
      <c r="BH21" s="134">
        <v>0</v>
      </c>
      <c r="BI21" s="134">
        <f t="shared" si="8"/>
        <v>100362240</v>
      </c>
      <c r="BJ21" s="145"/>
      <c r="BK21" s="78">
        <v>46112</v>
      </c>
      <c r="BL21" s="160"/>
      <c r="BM21" s="79">
        <f t="shared" si="9"/>
        <v>0.1</v>
      </c>
      <c r="BN21" s="134">
        <f>+$I21*지급비율!BD20</f>
        <v>25090560</v>
      </c>
      <c r="BO21" s="134">
        <v>0</v>
      </c>
      <c r="BP21" s="134">
        <f t="shared" si="10"/>
        <v>25090560</v>
      </c>
      <c r="BQ21" s="145"/>
      <c r="BR21" s="73"/>
      <c r="BS21" s="74" t="b">
        <f>+Q21+X21+AE21+AS21+AZ21+BG21+BN21=I21</f>
        <v>1</v>
      </c>
      <c r="BT21" s="74" t="b">
        <f>+R21+Y21+AF21+AT21+BA21+BH21+BO21=K21</f>
        <v>1</v>
      </c>
      <c r="BU21" s="74"/>
      <c r="BV21" s="58"/>
      <c r="BW21" s="58"/>
      <c r="BX21" s="58"/>
      <c r="BY21" s="54"/>
      <c r="BZ21" s="58"/>
      <c r="CA21" s="58"/>
      <c r="CB21" s="58"/>
      <c r="CC21" s="58"/>
      <c r="CD21" s="58"/>
      <c r="CE21" s="58"/>
    </row>
    <row r="22" spans="1:83" ht="16.5" customHeight="1">
      <c r="A22" s="146"/>
      <c r="B22" s="1322"/>
      <c r="C22" s="1541"/>
      <c r="D22" s="1544"/>
      <c r="E22" s="1324"/>
      <c r="F22" s="75" t="s">
        <v>389</v>
      </c>
      <c r="G22" s="76">
        <f>+[5]지급비율!$F$21*D21/1000</f>
        <v>62208000.000000007</v>
      </c>
      <c r="H22" s="76">
        <f>+G22*10%</f>
        <v>6220800.0000000009</v>
      </c>
      <c r="I22" s="76">
        <f>SUM(G22:H22)</f>
        <v>68428800.000000015</v>
      </c>
      <c r="J22" s="75">
        <f t="shared" si="0"/>
        <v>0.97037037037037011</v>
      </c>
      <c r="K22" s="80">
        <f>+IFERROR(R22+Y22+AF22+AM22+BA22+BH22,"-")</f>
        <v>66401280</v>
      </c>
      <c r="L22" s="80">
        <f>+I22-K22</f>
        <v>2027520.0000000149</v>
      </c>
      <c r="M22" s="1332"/>
      <c r="N22" s="78">
        <v>45808</v>
      </c>
      <c r="O22" s="78">
        <v>45791</v>
      </c>
      <c r="P22" s="79">
        <f>+IFERROR(Q22/$I22,"-")</f>
        <v>0.2</v>
      </c>
      <c r="Q22" s="80">
        <f>+$I22*지급비율!G21</f>
        <v>13685760.000000004</v>
      </c>
      <c r="R22" s="80">
        <v>16093440</v>
      </c>
      <c r="S22" s="80">
        <f t="shared" si="1"/>
        <v>-2407679.9999999963</v>
      </c>
      <c r="T22" s="81"/>
      <c r="U22" s="78">
        <v>45855</v>
      </c>
      <c r="V22" s="78">
        <v>45867</v>
      </c>
      <c r="W22" s="79">
        <f>+IFERROR(X22/$I22,"-")</f>
        <v>0.2</v>
      </c>
      <c r="X22" s="80">
        <f>+$I22*지급비율!N21</f>
        <v>13685760.000000004</v>
      </c>
      <c r="Y22" s="80">
        <v>16093440</v>
      </c>
      <c r="Z22" s="80">
        <f t="shared" si="2"/>
        <v>-2407679.9999999963</v>
      </c>
      <c r="AA22" s="81"/>
      <c r="AB22" s="476">
        <v>45930</v>
      </c>
      <c r="AC22" s="476">
        <v>45922</v>
      </c>
      <c r="AD22" s="477">
        <f>+IFERROR(AE22/$I22,"-")</f>
        <v>0.5</v>
      </c>
      <c r="AE22" s="417">
        <f>+$I22*지급비율!U21</f>
        <v>34214400.000000007</v>
      </c>
      <c r="AF22" s="417">
        <v>34214400</v>
      </c>
      <c r="AG22" s="417">
        <f t="shared" si="3"/>
        <v>0</v>
      </c>
      <c r="AH22" s="479"/>
      <c r="AI22" s="78"/>
      <c r="AJ22" s="78"/>
      <c r="AK22" s="79">
        <f t="shared" si="4"/>
        <v>0</v>
      </c>
      <c r="AL22" s="80">
        <f>+$I22*지급비율!AB21</f>
        <v>0</v>
      </c>
      <c r="AM22" s="80">
        <v>0</v>
      </c>
      <c r="AN22" s="80">
        <f t="shared" si="5"/>
        <v>0</v>
      </c>
      <c r="AO22" s="81"/>
      <c r="AP22" s="78"/>
      <c r="AQ22" s="78"/>
      <c r="AR22" s="79"/>
      <c r="AS22" s="80">
        <f>+$I22*지급비율!AI21</f>
        <v>0</v>
      </c>
      <c r="AT22" s="80"/>
      <c r="AU22" s="80">
        <f t="shared" si="6"/>
        <v>0</v>
      </c>
      <c r="AV22" s="81"/>
      <c r="AW22" s="78"/>
      <c r="AX22" s="78"/>
      <c r="AY22" s="79"/>
      <c r="AZ22" s="80">
        <f>+$I22*지급비율!AP21</f>
        <v>0</v>
      </c>
      <c r="BA22" s="80"/>
      <c r="BB22" s="80">
        <f t="shared" si="7"/>
        <v>0</v>
      </c>
      <c r="BC22" s="81"/>
      <c r="BD22" s="78"/>
      <c r="BE22" s="78"/>
      <c r="BF22" s="79"/>
      <c r="BG22" s="80">
        <f>+$I22*지급비율!AW21</f>
        <v>0</v>
      </c>
      <c r="BH22" s="80"/>
      <c r="BI22" s="80">
        <f t="shared" si="8"/>
        <v>0</v>
      </c>
      <c r="BJ22" s="81"/>
      <c r="BK22" s="78">
        <v>46112</v>
      </c>
      <c r="BL22" s="78"/>
      <c r="BM22" s="79">
        <f t="shared" si="9"/>
        <v>0.1</v>
      </c>
      <c r="BN22" s="80">
        <f>+$I22*지급비율!BD21</f>
        <v>6842880.0000000019</v>
      </c>
      <c r="BO22" s="80">
        <v>0</v>
      </c>
      <c r="BP22" s="80">
        <f t="shared" si="10"/>
        <v>6842880.0000000019</v>
      </c>
      <c r="BQ22" s="81"/>
      <c r="BR22" s="73"/>
      <c r="BS22" s="74" t="b">
        <f>+Q22+X22+AE22+AS22+AZ22+BG22+BN22=I22</f>
        <v>1</v>
      </c>
      <c r="BT22" s="74" t="b">
        <f>+R22+Y22+AF22+AT22+BA22+BH22+BO22=K22</f>
        <v>1</v>
      </c>
      <c r="BU22" s="74" t="b">
        <f>+BG22+BG23+AZ22+AZ23+AS22+AS23+AE22+AE23+X22+X23+Q22+Q23+BN22+BN23=([5]지급비율!$F$21+[5]지급비율!$F$22)*1.1*D21/1000</f>
        <v>1</v>
      </c>
      <c r="BV22" s="58"/>
      <c r="BW22" s="58"/>
      <c r="BX22" s="58"/>
      <c r="BY22" s="58"/>
      <c r="BZ22" s="58"/>
      <c r="CA22" s="58"/>
      <c r="CB22" s="58"/>
      <c r="CC22" s="58"/>
      <c r="CD22" s="58"/>
      <c r="CE22" s="58"/>
    </row>
    <row r="23" spans="1:83" ht="16.5" customHeight="1">
      <c r="A23" s="146"/>
      <c r="B23" s="1322"/>
      <c r="C23" s="1541"/>
      <c r="D23" s="1544"/>
      <c r="E23" s="1324"/>
      <c r="F23" s="75" t="s">
        <v>390</v>
      </c>
      <c r="G23" s="76">
        <f>+[5]지급비율!$F$22*D21/1000</f>
        <v>41472000</v>
      </c>
      <c r="H23" s="76">
        <f>+G23*10%</f>
        <v>4147200</v>
      </c>
      <c r="I23" s="76">
        <f>SUM(G23:H23)</f>
        <v>45619200</v>
      </c>
      <c r="J23" s="75">
        <f t="shared" si="0"/>
        <v>0.7944444444444444</v>
      </c>
      <c r="K23" s="80">
        <f>+IFERROR(R23+Y23+AF23+AM23+BA23+BH23,"-")</f>
        <v>36241920</v>
      </c>
      <c r="L23" s="80">
        <f>+I23-K23</f>
        <v>9377280</v>
      </c>
      <c r="M23" s="1332"/>
      <c r="N23" s="78">
        <v>45808</v>
      </c>
      <c r="O23" s="78">
        <v>45791</v>
      </c>
      <c r="P23" s="79">
        <f>+IFERROR(Q23/$I23,"-")</f>
        <v>0.2</v>
      </c>
      <c r="Q23" s="80">
        <f>+$I23*지급비율!G22</f>
        <v>9123840</v>
      </c>
      <c r="R23" s="80">
        <v>10728960</v>
      </c>
      <c r="S23" s="80">
        <f t="shared" si="1"/>
        <v>-1605120</v>
      </c>
      <c r="T23" s="81"/>
      <c r="U23" s="78">
        <v>45855</v>
      </c>
      <c r="V23" s="78">
        <v>45867</v>
      </c>
      <c r="W23" s="79">
        <f>+IFERROR(X23/$I23,"-")</f>
        <v>0.2</v>
      </c>
      <c r="X23" s="80">
        <f>+$I23*지급비율!N22</f>
        <v>9123840</v>
      </c>
      <c r="Y23" s="80">
        <v>10728960</v>
      </c>
      <c r="Z23" s="80">
        <f t="shared" si="2"/>
        <v>-1605120</v>
      </c>
      <c r="AA23" s="81"/>
      <c r="AB23" s="476">
        <v>45930</v>
      </c>
      <c r="AC23" s="476">
        <v>45922</v>
      </c>
      <c r="AD23" s="477">
        <f>+IFERROR(AE23/$I23,"-")</f>
        <v>0.5</v>
      </c>
      <c r="AE23" s="417">
        <f>+$I23*지급비율!U22</f>
        <v>22809600</v>
      </c>
      <c r="AF23" s="417">
        <f>48998400-34214400</f>
        <v>14784000</v>
      </c>
      <c r="AG23" s="417">
        <f t="shared" si="3"/>
        <v>8025600</v>
      </c>
      <c r="AH23" s="479"/>
      <c r="AI23" s="72"/>
      <c r="AJ23" s="78"/>
      <c r="AK23" s="79">
        <f t="shared" si="4"/>
        <v>0</v>
      </c>
      <c r="AL23" s="80">
        <f>+$I23*지급비율!AB22</f>
        <v>0</v>
      </c>
      <c r="AM23" s="80">
        <v>0</v>
      </c>
      <c r="AN23" s="80">
        <f t="shared" si="5"/>
        <v>0</v>
      </c>
      <c r="AO23" s="81"/>
      <c r="AP23" s="72"/>
      <c r="AQ23" s="78"/>
      <c r="AR23" s="79"/>
      <c r="AS23" s="80">
        <f>+$I23*지급비율!AI22</f>
        <v>0</v>
      </c>
      <c r="AT23" s="80"/>
      <c r="AU23" s="80">
        <f t="shared" si="6"/>
        <v>0</v>
      </c>
      <c r="AV23" s="81"/>
      <c r="AW23" s="72"/>
      <c r="AX23" s="78"/>
      <c r="AY23" s="79"/>
      <c r="AZ23" s="80">
        <f>+$I23*지급비율!AP22</f>
        <v>0</v>
      </c>
      <c r="BA23" s="80"/>
      <c r="BB23" s="80">
        <f t="shared" si="7"/>
        <v>0</v>
      </c>
      <c r="BC23" s="81"/>
      <c r="BD23" s="72"/>
      <c r="BE23" s="72"/>
      <c r="BF23" s="79"/>
      <c r="BG23" s="80">
        <f>+$I23*지급비율!AW22</f>
        <v>0</v>
      </c>
      <c r="BH23" s="80"/>
      <c r="BI23" s="80">
        <f t="shared" si="8"/>
        <v>0</v>
      </c>
      <c r="BJ23" s="81"/>
      <c r="BK23" s="78">
        <v>46112</v>
      </c>
      <c r="BL23" s="78"/>
      <c r="BM23" s="79">
        <f t="shared" si="9"/>
        <v>0.1</v>
      </c>
      <c r="BN23" s="80">
        <f>+$I23*지급비율!BD22</f>
        <v>4561920</v>
      </c>
      <c r="BO23" s="80">
        <v>0</v>
      </c>
      <c r="BP23" s="80">
        <f t="shared" si="10"/>
        <v>4561920</v>
      </c>
      <c r="BQ23" s="81"/>
      <c r="BR23" s="73"/>
      <c r="BS23" s="74" t="b">
        <f>+Q23+X23+AE23+AS23+AZ23+BG23+BN23=I23</f>
        <v>1</v>
      </c>
      <c r="BT23" s="74" t="b">
        <f>+R23+Y23+AF23+AT23+BA23+BH23+BO23=K23</f>
        <v>1</v>
      </c>
      <c r="BU23" s="74"/>
      <c r="BV23" s="58"/>
      <c r="BW23" s="58"/>
      <c r="BX23" s="58"/>
      <c r="BY23" s="58"/>
      <c r="BZ23" s="58"/>
      <c r="CA23" s="58"/>
      <c r="CB23" s="58"/>
      <c r="CC23" s="58"/>
      <c r="CD23" s="58"/>
      <c r="CE23" s="58"/>
    </row>
    <row r="24" spans="1:83" ht="16.5" customHeight="1">
      <c r="A24" s="146"/>
      <c r="B24" s="1322"/>
      <c r="C24" s="1541"/>
      <c r="D24" s="1544"/>
      <c r="E24" s="1324"/>
      <c r="F24" s="101" t="s">
        <v>391</v>
      </c>
      <c r="G24" s="102">
        <f>+[5]지급비율!$F$23*D21/1000</f>
        <v>41472000</v>
      </c>
      <c r="H24" s="102">
        <f>+G24*0.1</f>
        <v>4147200</v>
      </c>
      <c r="I24" s="102">
        <f>SUM(G24:H24)</f>
        <v>45619200</v>
      </c>
      <c r="J24" s="101">
        <f t="shared" si="0"/>
        <v>0</v>
      </c>
      <c r="K24" s="106">
        <f>+IFERROR(R24+Y24+AF24+AM24+BA24+BH24,"-")</f>
        <v>0</v>
      </c>
      <c r="L24" s="106">
        <f>+I24-K24</f>
        <v>45619200</v>
      </c>
      <c r="M24" s="1333"/>
      <c r="N24" s="85"/>
      <c r="O24" s="101"/>
      <c r="P24" s="105"/>
      <c r="Q24" s="106">
        <f>+$I24*지급비율!G23</f>
        <v>0</v>
      </c>
      <c r="R24" s="106"/>
      <c r="S24" s="106">
        <f t="shared" si="1"/>
        <v>0</v>
      </c>
      <c r="T24" s="101"/>
      <c r="U24" s="85"/>
      <c r="V24" s="101"/>
      <c r="W24" s="105"/>
      <c r="X24" s="106">
        <f>+$I24*지급비율!N23</f>
        <v>0</v>
      </c>
      <c r="Y24" s="106"/>
      <c r="Z24" s="106">
        <f t="shared" si="2"/>
        <v>0</v>
      </c>
      <c r="AA24" s="101"/>
      <c r="AB24" s="85"/>
      <c r="AC24" s="101"/>
      <c r="AD24" s="105"/>
      <c r="AE24" s="106">
        <f>+$I24*지급비율!U23</f>
        <v>0</v>
      </c>
      <c r="AF24" s="106"/>
      <c r="AG24" s="106">
        <f t="shared" si="3"/>
        <v>0</v>
      </c>
      <c r="AH24" s="101"/>
      <c r="AI24" s="85"/>
      <c r="AJ24" s="101"/>
      <c r="AK24" s="105">
        <f t="shared" si="4"/>
        <v>0</v>
      </c>
      <c r="AL24" s="106">
        <f>+$I24*지급비율!AB23</f>
        <v>0</v>
      </c>
      <c r="AM24" s="106">
        <v>0</v>
      </c>
      <c r="AN24" s="106">
        <f t="shared" si="5"/>
        <v>0</v>
      </c>
      <c r="AO24" s="101"/>
      <c r="AP24" s="85"/>
      <c r="AQ24" s="101"/>
      <c r="AR24" s="105"/>
      <c r="AS24" s="106">
        <f>+$I24*지급비율!AI23</f>
        <v>0</v>
      </c>
      <c r="AT24" s="106"/>
      <c r="AU24" s="106">
        <f t="shared" si="6"/>
        <v>0</v>
      </c>
      <c r="AV24" s="101"/>
      <c r="AW24" s="85"/>
      <c r="AX24" s="101"/>
      <c r="AY24" s="105"/>
      <c r="AZ24" s="106">
        <f>+$I24*지급비율!AP23</f>
        <v>0</v>
      </c>
      <c r="BA24" s="106"/>
      <c r="BB24" s="106">
        <f t="shared" si="7"/>
        <v>0</v>
      </c>
      <c r="BC24" s="101"/>
      <c r="BD24" s="85"/>
      <c r="BE24" s="101"/>
      <c r="BF24" s="105"/>
      <c r="BG24" s="106">
        <f>+$I24*지급비율!AW23</f>
        <v>0</v>
      </c>
      <c r="BH24" s="106"/>
      <c r="BI24" s="106">
        <f t="shared" si="8"/>
        <v>0</v>
      </c>
      <c r="BJ24" s="101"/>
      <c r="BK24" s="104">
        <v>46112</v>
      </c>
      <c r="BL24" s="101"/>
      <c r="BM24" s="105">
        <f t="shared" si="9"/>
        <v>1</v>
      </c>
      <c r="BN24" s="106">
        <f>+$I24*지급비율!BD23</f>
        <v>45619200</v>
      </c>
      <c r="BO24" s="106">
        <v>0</v>
      </c>
      <c r="BP24" s="106">
        <f t="shared" si="10"/>
        <v>45619200</v>
      </c>
      <c r="BQ24" s="101"/>
      <c r="BR24" s="88"/>
      <c r="BS24" s="89" t="b">
        <f>+Q24+X24+AE24+AS24+AZ24+BG24+BN24=I24</f>
        <v>1</v>
      </c>
      <c r="BT24" s="90" t="b">
        <f>+R24+Y24+AF24+AT24+BA24+BH24+BO24=K24</f>
        <v>1</v>
      </c>
      <c r="BU24" s="89"/>
      <c r="BV24" s="58"/>
      <c r="BW24" s="58"/>
      <c r="BX24" s="58"/>
      <c r="BY24" s="58"/>
      <c r="BZ24" s="58"/>
      <c r="CA24" s="58"/>
      <c r="CB24" s="58"/>
      <c r="CC24" s="58"/>
      <c r="CD24" s="58"/>
      <c r="CE24" s="58"/>
    </row>
    <row r="25" spans="1:83" ht="16.5" customHeight="1">
      <c r="A25" s="62"/>
      <c r="B25" s="1322"/>
      <c r="C25" s="1542"/>
      <c r="D25" s="1545"/>
      <c r="E25" s="1324"/>
      <c r="F25" s="91" t="s">
        <v>392</v>
      </c>
      <c r="G25" s="92">
        <f>SUM(G21:G24)</f>
        <v>373248000</v>
      </c>
      <c r="H25" s="92">
        <f>SUM(H21:H24)</f>
        <v>37324800</v>
      </c>
      <c r="I25" s="92">
        <f>SUM(I21:I24)</f>
        <v>410572800</v>
      </c>
      <c r="J25" s="91">
        <f t="shared" si="0"/>
        <v>0.25</v>
      </c>
      <c r="K25" s="92">
        <f>SUM(K21:K24)</f>
        <v>102643200</v>
      </c>
      <c r="L25" s="92">
        <f>SUM(L21:L24)</f>
        <v>307929600</v>
      </c>
      <c r="M25" s="419">
        <v>48998400</v>
      </c>
      <c r="N25" s="93"/>
      <c r="O25" s="91"/>
      <c r="P25" s="94">
        <f>+IFERROR(Q25/$I25,"-")</f>
        <v>5.5555555555555566E-2</v>
      </c>
      <c r="Q25" s="92">
        <f>SUM(Q21:Q24)</f>
        <v>22809600.000000004</v>
      </c>
      <c r="R25" s="170">
        <f>SUM(R21:R24)</f>
        <v>26822400</v>
      </c>
      <c r="S25" s="92">
        <f t="shared" si="1"/>
        <v>-4012799.9999999963</v>
      </c>
      <c r="T25" s="91"/>
      <c r="U25" s="93"/>
      <c r="V25" s="91"/>
      <c r="W25" s="94">
        <f>+IFERROR(X25/$I25,"-")</f>
        <v>5.5555555555555566E-2</v>
      </c>
      <c r="X25" s="92">
        <f>SUM(X21:X24)</f>
        <v>22809600.000000004</v>
      </c>
      <c r="Y25" s="170">
        <f>SUM(Y21:Y24)</f>
        <v>26822400</v>
      </c>
      <c r="Z25" s="92">
        <f t="shared" si="2"/>
        <v>-4012799.9999999963</v>
      </c>
      <c r="AA25" s="91"/>
      <c r="AB25" s="93"/>
      <c r="AC25" s="91"/>
      <c r="AD25" s="94">
        <f>+IFERROR(AE25/$I25,"-")</f>
        <v>0.44444444444444442</v>
      </c>
      <c r="AE25" s="92">
        <f>SUM(AE21:AE24)</f>
        <v>182476800</v>
      </c>
      <c r="AF25" s="170">
        <f>SUM(AF21:AF24)</f>
        <v>48998400</v>
      </c>
      <c r="AG25" s="92">
        <f t="shared" si="3"/>
        <v>133478400</v>
      </c>
      <c r="AH25" s="91"/>
      <c r="AI25" s="93"/>
      <c r="AJ25" s="91"/>
      <c r="AK25" s="94">
        <f t="shared" si="4"/>
        <v>0</v>
      </c>
      <c r="AL25" s="92">
        <f>SUM(AL21:AL24)</f>
        <v>0</v>
      </c>
      <c r="AM25" s="92">
        <f>SUM(AM21:AM24)</f>
        <v>0</v>
      </c>
      <c r="AN25" s="92">
        <f t="shared" si="5"/>
        <v>0</v>
      </c>
      <c r="AO25" s="91"/>
      <c r="AP25" s="93"/>
      <c r="AQ25" s="91"/>
      <c r="AR25" s="94">
        <f>+IFERROR(AS25/$I25,"-")</f>
        <v>0</v>
      </c>
      <c r="AS25" s="92">
        <f>SUM(AS21:AS24)</f>
        <v>0</v>
      </c>
      <c r="AT25" s="92">
        <f>SUM(AT21:AT24)</f>
        <v>0</v>
      </c>
      <c r="AU25" s="92">
        <f t="shared" si="6"/>
        <v>0</v>
      </c>
      <c r="AV25" s="91"/>
      <c r="AW25" s="93"/>
      <c r="AX25" s="91"/>
      <c r="AY25" s="94">
        <f>+IFERROR(AZ25/$I25,"-")</f>
        <v>0</v>
      </c>
      <c r="AZ25" s="92">
        <f>SUM(AZ21:AZ24)</f>
        <v>0</v>
      </c>
      <c r="BA25" s="92">
        <f>SUM(BA21:BA24)</f>
        <v>0</v>
      </c>
      <c r="BB25" s="92">
        <f t="shared" si="7"/>
        <v>0</v>
      </c>
      <c r="BC25" s="91"/>
      <c r="BD25" s="93"/>
      <c r="BE25" s="91"/>
      <c r="BF25" s="94">
        <f>+IFERROR(BG25/$I25,"-")</f>
        <v>0.24444444444444444</v>
      </c>
      <c r="BG25" s="92">
        <f>SUM(BG21:BG24)</f>
        <v>100362240</v>
      </c>
      <c r="BH25" s="92">
        <f>SUM(BH21:BH24)</f>
        <v>0</v>
      </c>
      <c r="BI25" s="92">
        <f t="shared" si="8"/>
        <v>100362240</v>
      </c>
      <c r="BJ25" s="91"/>
      <c r="BK25" s="93"/>
      <c r="BL25" s="91"/>
      <c r="BM25" s="94">
        <f t="shared" si="9"/>
        <v>0.2</v>
      </c>
      <c r="BN25" s="92">
        <f>SUM(BN21:BN24)</f>
        <v>82114560</v>
      </c>
      <c r="BO25" s="92">
        <f>SUM(BO21:BO24)</f>
        <v>0</v>
      </c>
      <c r="BP25" s="92">
        <f t="shared" si="10"/>
        <v>82114560</v>
      </c>
      <c r="BQ25" s="91"/>
      <c r="BR25" s="88"/>
      <c r="BS25" s="96"/>
      <c r="BT25" s="96"/>
      <c r="BU25" s="139"/>
      <c r="BV25" s="54"/>
      <c r="BW25" s="54"/>
      <c r="BX25" s="54"/>
      <c r="BY25" s="54"/>
      <c r="BZ25" s="54"/>
      <c r="CA25" s="54"/>
      <c r="CB25" s="54"/>
      <c r="CC25" s="54"/>
      <c r="CD25" s="58"/>
      <c r="CE25" s="58"/>
    </row>
    <row r="26" spans="1:83" ht="16.5" customHeight="1">
      <c r="A26" s="146"/>
      <c r="B26" s="1322">
        <f t="shared" ref="B26" si="12">+B21+1</f>
        <v>4</v>
      </c>
      <c r="C26" s="1546" t="s">
        <v>938</v>
      </c>
      <c r="D26" s="1549">
        <v>210.82</v>
      </c>
      <c r="E26" s="1324" t="s">
        <v>888</v>
      </c>
      <c r="F26" s="63" t="s">
        <v>388</v>
      </c>
      <c r="G26" s="406">
        <f>+지급비율!F20*$D$26/1000</f>
        <v>231902000</v>
      </c>
      <c r="H26" s="64">
        <f>+G26*10%</f>
        <v>23190200</v>
      </c>
      <c r="I26" s="64">
        <f t="shared" ref="I26:I28" si="13">SUM(G26:H26)</f>
        <v>255092200</v>
      </c>
      <c r="J26" s="63">
        <f t="shared" si="0"/>
        <v>0</v>
      </c>
      <c r="K26" s="134">
        <f>+IFERROR(R26+Y26+AF26+AM26+BA26+BH26,"-")</f>
        <v>0</v>
      </c>
      <c r="L26" s="134">
        <f>+I26-K26</f>
        <v>255092200</v>
      </c>
      <c r="M26" s="1331" t="s">
        <v>265</v>
      </c>
      <c r="N26" s="67"/>
      <c r="O26" s="160"/>
      <c r="P26" s="135"/>
      <c r="Q26" s="134">
        <f>+지급비율!G20*$I26</f>
        <v>0</v>
      </c>
      <c r="R26" s="134"/>
      <c r="S26" s="134">
        <f t="shared" si="1"/>
        <v>0</v>
      </c>
      <c r="T26" s="145"/>
      <c r="U26" s="67"/>
      <c r="V26" s="160"/>
      <c r="W26" s="135"/>
      <c r="X26" s="134">
        <f>+지급비율!N20*$I26</f>
        <v>0</v>
      </c>
      <c r="Y26" s="134"/>
      <c r="Z26" s="134">
        <f t="shared" si="2"/>
        <v>0</v>
      </c>
      <c r="AA26" s="145"/>
      <c r="AB26" s="67">
        <f>+EDATE(AI26,1)</f>
        <v>46020</v>
      </c>
      <c r="AC26" s="160"/>
      <c r="AD26" s="135">
        <f>+IFERROR(AE26/$I26,"-")</f>
        <v>0.5</v>
      </c>
      <c r="AE26" s="134">
        <f>+지급비율!U20*$I26</f>
        <v>127546100</v>
      </c>
      <c r="AF26" s="134">
        <v>0</v>
      </c>
      <c r="AG26" s="134">
        <f t="shared" si="3"/>
        <v>127546100</v>
      </c>
      <c r="AH26" s="145"/>
      <c r="AI26" s="67">
        <f>+EDATE(AP26,-1)</f>
        <v>45990</v>
      </c>
      <c r="AJ26" s="160"/>
      <c r="AK26" s="135">
        <f t="shared" si="4"/>
        <v>0</v>
      </c>
      <c r="AL26" s="134">
        <f>+지급비율!AB20*$I26</f>
        <v>0</v>
      </c>
      <c r="AM26" s="134">
        <v>0</v>
      </c>
      <c r="AN26" s="134">
        <f t="shared" si="5"/>
        <v>0</v>
      </c>
      <c r="AO26" s="145"/>
      <c r="AP26" s="67">
        <f>+EDATE(AW26,-1)+1</f>
        <v>46020</v>
      </c>
      <c r="AQ26" s="160"/>
      <c r="AR26" s="135">
        <f t="shared" ref="AR26:AR29" si="14">+IFERROR(AS26/$I26,"-")</f>
        <v>0</v>
      </c>
      <c r="AS26" s="134">
        <f>+지급비율!AI20*$I26</f>
        <v>0</v>
      </c>
      <c r="AT26" s="134">
        <v>0</v>
      </c>
      <c r="AU26" s="134">
        <f t="shared" si="6"/>
        <v>0</v>
      </c>
      <c r="AV26" s="145"/>
      <c r="AW26" s="67">
        <f>+EDATE(BD26,-1)</f>
        <v>46050</v>
      </c>
      <c r="AX26" s="160"/>
      <c r="AY26" s="135">
        <f t="shared" ref="AY26:AY29" si="15">+IFERROR(AZ26/$I26,"-")</f>
        <v>0</v>
      </c>
      <c r="AZ26" s="134">
        <f>+지급비율!AP20*$I26</f>
        <v>0</v>
      </c>
      <c r="BA26" s="134">
        <v>0</v>
      </c>
      <c r="BB26" s="134">
        <f t="shared" si="7"/>
        <v>0</v>
      </c>
      <c r="BC26" s="145"/>
      <c r="BD26" s="67">
        <f>+EDATE(BK26,-1)</f>
        <v>46081</v>
      </c>
      <c r="BE26" s="160"/>
      <c r="BF26" s="135">
        <f t="shared" ref="BF26:BF29" si="16">+IFERROR(BG26/$I26,"-")</f>
        <v>0.4</v>
      </c>
      <c r="BG26" s="134">
        <f>+지급비율!AW20*$I26</f>
        <v>102036880</v>
      </c>
      <c r="BH26" s="134">
        <v>0</v>
      </c>
      <c r="BI26" s="134">
        <f t="shared" si="8"/>
        <v>102036880</v>
      </c>
      <c r="BJ26" s="145"/>
      <c r="BK26" s="78">
        <v>46112</v>
      </c>
      <c r="BL26" s="160"/>
      <c r="BM26" s="135">
        <f t="shared" si="9"/>
        <v>0.1</v>
      </c>
      <c r="BN26" s="134">
        <f>+지급비율!BD20*$I26</f>
        <v>25509220</v>
      </c>
      <c r="BO26" s="134">
        <v>0</v>
      </c>
      <c r="BP26" s="134">
        <f t="shared" si="10"/>
        <v>25509220</v>
      </c>
      <c r="BQ26" s="145"/>
      <c r="BR26" s="73"/>
      <c r="BS26" s="74" t="b">
        <f>+Q26+X26+AE26+AS26+AZ26+BG26+BN26=I26</f>
        <v>1</v>
      </c>
      <c r="BT26" s="74" t="b">
        <f>+R26+Y26+AF26+AT26+BA26+BH26+BO26=K26</f>
        <v>1</v>
      </c>
      <c r="BU26" s="74"/>
      <c r="BV26" s="58"/>
      <c r="BW26" s="58"/>
      <c r="BX26" s="58"/>
      <c r="BY26" s="58"/>
      <c r="BZ26" s="58"/>
      <c r="CA26" s="58"/>
      <c r="CB26" s="58"/>
      <c r="CC26" s="58"/>
      <c r="CD26" s="58"/>
      <c r="CE26" s="58"/>
    </row>
    <row r="27" spans="1:83" ht="16.5" customHeight="1">
      <c r="A27" s="146"/>
      <c r="B27" s="1322"/>
      <c r="C27" s="1547"/>
      <c r="D27" s="1550"/>
      <c r="E27" s="1324"/>
      <c r="F27" s="75" t="s">
        <v>389</v>
      </c>
      <c r="G27" s="76">
        <f>+지급비율!F21*$D$26/1000</f>
        <v>63246000</v>
      </c>
      <c r="H27" s="76">
        <f>+G27*10%</f>
        <v>6324600</v>
      </c>
      <c r="I27" s="76">
        <f t="shared" si="13"/>
        <v>69570600</v>
      </c>
      <c r="J27" s="75">
        <f t="shared" si="0"/>
        <v>0.9</v>
      </c>
      <c r="K27" s="80">
        <f t="shared" ref="K27:K29" si="17">+IFERROR(R27+Y27+AF27+AM27+BA27+BH27,"-")</f>
        <v>62613540</v>
      </c>
      <c r="L27" s="80">
        <f>+I27-K27</f>
        <v>6957060</v>
      </c>
      <c r="M27" s="1332"/>
      <c r="N27" s="78">
        <f>+O27</f>
        <v>45737</v>
      </c>
      <c r="O27" s="78">
        <v>45737</v>
      </c>
      <c r="P27" s="79">
        <f t="shared" ref="P27:P28" si="18">+IFERROR(Q27/$I27,"-")</f>
        <v>0.2</v>
      </c>
      <c r="Q27" s="80">
        <f>+지급비율!G21*$I27</f>
        <v>13914120</v>
      </c>
      <c r="R27" s="80">
        <f>+I27*'[5]ref.지급기준 (2)'!G225</f>
        <v>13914120</v>
      </c>
      <c r="S27" s="80">
        <f t="shared" si="1"/>
        <v>0</v>
      </c>
      <c r="T27" s="81"/>
      <c r="U27" s="78">
        <v>45820</v>
      </c>
      <c r="V27" s="78">
        <v>45820</v>
      </c>
      <c r="W27" s="79">
        <f t="shared" ref="W27:W28" si="19">+IFERROR(X27/$I27,"-")</f>
        <v>0.2</v>
      </c>
      <c r="X27" s="80">
        <f>+지급비율!N21*$I27</f>
        <v>13914120</v>
      </c>
      <c r="Y27" s="80">
        <v>13914120</v>
      </c>
      <c r="Z27" s="80">
        <f t="shared" ref="Z27:Z50" si="20">+X27-Y27</f>
        <v>0</v>
      </c>
      <c r="AA27" s="161"/>
      <c r="AB27" s="78">
        <v>45900</v>
      </c>
      <c r="AC27" s="78">
        <v>45883</v>
      </c>
      <c r="AD27" s="79">
        <f t="shared" ref="AD27:AD29" si="21">+IFERROR(AE27/$I27,"-")</f>
        <v>0.5</v>
      </c>
      <c r="AE27" s="80">
        <f>+지급비율!U21*$I27</f>
        <v>34785300</v>
      </c>
      <c r="AF27" s="80">
        <v>34785300</v>
      </c>
      <c r="AG27" s="80">
        <f t="shared" ref="AG27:AG49" si="22">+AE27-AF27</f>
        <v>0</v>
      </c>
      <c r="AH27" s="161"/>
      <c r="AI27" s="78"/>
      <c r="AJ27" s="78"/>
      <c r="AK27" s="79">
        <f t="shared" ref="AK27:AK29" si="23">+IFERROR(AL27/$I27,"-")</f>
        <v>0</v>
      </c>
      <c r="AL27" s="80">
        <f>+지급비율!AB21*$I27</f>
        <v>0</v>
      </c>
      <c r="AM27" s="80">
        <v>0</v>
      </c>
      <c r="AN27" s="80">
        <f t="shared" ref="AN27:AN49" si="24">+AL27-AM27</f>
        <v>0</v>
      </c>
      <c r="AO27" s="81"/>
      <c r="AP27" s="78"/>
      <c r="AQ27" s="78"/>
      <c r="AR27" s="79">
        <f t="shared" si="14"/>
        <v>0</v>
      </c>
      <c r="AS27" s="80">
        <f>+지급비율!AI21*$I27</f>
        <v>0</v>
      </c>
      <c r="AT27" s="80">
        <v>0</v>
      </c>
      <c r="AU27" s="80">
        <f t="shared" si="6"/>
        <v>0</v>
      </c>
      <c r="AV27" s="81"/>
      <c r="AW27" s="78"/>
      <c r="AX27" s="78"/>
      <c r="AY27" s="79">
        <f t="shared" si="15"/>
        <v>0</v>
      </c>
      <c r="AZ27" s="80">
        <f>+지급비율!AP21*$I27</f>
        <v>0</v>
      </c>
      <c r="BA27" s="80">
        <v>0</v>
      </c>
      <c r="BB27" s="80">
        <f t="shared" si="7"/>
        <v>0</v>
      </c>
      <c r="BC27" s="81"/>
      <c r="BD27" s="78"/>
      <c r="BE27" s="78"/>
      <c r="BF27" s="79">
        <f t="shared" si="16"/>
        <v>0</v>
      </c>
      <c r="BG27" s="80">
        <f>+지급비율!AW21*$I27</f>
        <v>0</v>
      </c>
      <c r="BH27" s="80">
        <v>0</v>
      </c>
      <c r="BI27" s="80">
        <f t="shared" si="8"/>
        <v>0</v>
      </c>
      <c r="BJ27" s="81"/>
      <c r="BK27" s="78">
        <v>46112</v>
      </c>
      <c r="BL27" s="78"/>
      <c r="BM27" s="79">
        <f t="shared" si="9"/>
        <v>0.1</v>
      </c>
      <c r="BN27" s="80">
        <f>+지급비율!BD21*$I27</f>
        <v>6957060</v>
      </c>
      <c r="BO27" s="80">
        <v>0</v>
      </c>
      <c r="BP27" s="80">
        <f t="shared" si="10"/>
        <v>6957060</v>
      </c>
      <c r="BQ27" s="81"/>
      <c r="BR27" s="73"/>
      <c r="BS27" s="74" t="b">
        <f>+Q27+X27+AE27+AS27+AZ27+BG27+BN27=I27</f>
        <v>1</v>
      </c>
      <c r="BT27" s="74" t="b">
        <f>+R27+Y27+AF27+AT27+BA27+BH27+BO27=K27</f>
        <v>1</v>
      </c>
      <c r="BU27" s="74" t="b">
        <f>+BG27+BG28+AZ27+AZ28+AS27+AS28+AE27+AE28+X27+X28+Q27+Q28+BN27+BN28=([5]지급비율!$F$21+[5]지급비율!$F$22)*1.1*D26/1000</f>
        <v>1</v>
      </c>
      <c r="BV27" s="58"/>
      <c r="BW27" s="58"/>
      <c r="BX27" s="58"/>
      <c r="BY27" s="58"/>
      <c r="BZ27" s="58"/>
      <c r="CA27" s="58"/>
      <c r="CB27" s="58"/>
      <c r="CC27" s="58"/>
      <c r="CD27" s="58"/>
      <c r="CE27" s="58"/>
    </row>
    <row r="28" spans="1:83" ht="16.5" customHeight="1">
      <c r="A28" s="146"/>
      <c r="B28" s="1322"/>
      <c r="C28" s="1547"/>
      <c r="D28" s="1550"/>
      <c r="E28" s="1324"/>
      <c r="F28" s="75" t="s">
        <v>390</v>
      </c>
      <c r="G28" s="76">
        <f>+지급비율!F22*$D$26/1000</f>
        <v>42164000</v>
      </c>
      <c r="H28" s="76">
        <f t="shared" ref="H28" si="25">+G28*10%</f>
        <v>4216400</v>
      </c>
      <c r="I28" s="76">
        <f t="shared" si="13"/>
        <v>46380400</v>
      </c>
      <c r="J28" s="75">
        <f t="shared" si="0"/>
        <v>0.9</v>
      </c>
      <c r="K28" s="80">
        <f t="shared" si="17"/>
        <v>41742360</v>
      </c>
      <c r="L28" s="80">
        <f>+I28-K28</f>
        <v>4638040</v>
      </c>
      <c r="M28" s="1332"/>
      <c r="N28" s="78">
        <f>+O28</f>
        <v>45737</v>
      </c>
      <c r="O28" s="78">
        <f>O27</f>
        <v>45737</v>
      </c>
      <c r="P28" s="79">
        <f t="shared" si="18"/>
        <v>0.2</v>
      </c>
      <c r="Q28" s="80">
        <f>+지급비율!G22*$I28</f>
        <v>9276080</v>
      </c>
      <c r="R28" s="80">
        <f>+I28*'[5]ref.지급기준 (2)'!G232</f>
        <v>9276080</v>
      </c>
      <c r="S28" s="80">
        <f t="shared" si="1"/>
        <v>0</v>
      </c>
      <c r="T28" s="81"/>
      <c r="U28" s="78">
        <v>45820</v>
      </c>
      <c r="V28" s="78">
        <v>45820</v>
      </c>
      <c r="W28" s="79">
        <f t="shared" si="19"/>
        <v>0.2</v>
      </c>
      <c r="X28" s="80">
        <f>+지급비율!N22*$I28</f>
        <v>9276080</v>
      </c>
      <c r="Y28" s="80">
        <v>9276080</v>
      </c>
      <c r="Z28" s="80">
        <f t="shared" si="20"/>
        <v>0</v>
      </c>
      <c r="AA28" s="161"/>
      <c r="AB28" s="78">
        <v>45900</v>
      </c>
      <c r="AC28" s="78">
        <v>45883</v>
      </c>
      <c r="AD28" s="79">
        <f t="shared" si="21"/>
        <v>0.5</v>
      </c>
      <c r="AE28" s="80">
        <f>+지급비율!U22*$I28</f>
        <v>23190200</v>
      </c>
      <c r="AF28" s="80">
        <v>23190200</v>
      </c>
      <c r="AG28" s="80">
        <f t="shared" si="22"/>
        <v>0</v>
      </c>
      <c r="AH28" s="161"/>
      <c r="AI28" s="72"/>
      <c r="AJ28" s="78"/>
      <c r="AK28" s="79">
        <f t="shared" si="23"/>
        <v>0</v>
      </c>
      <c r="AL28" s="80">
        <f>+지급비율!AB22*$I28</f>
        <v>0</v>
      </c>
      <c r="AM28" s="80">
        <v>0</v>
      </c>
      <c r="AN28" s="80">
        <f t="shared" si="24"/>
        <v>0</v>
      </c>
      <c r="AO28" s="81"/>
      <c r="AP28" s="72"/>
      <c r="AQ28" s="78"/>
      <c r="AR28" s="79">
        <f t="shared" si="14"/>
        <v>0</v>
      </c>
      <c r="AS28" s="80">
        <f>+지급비율!AI22*$I28</f>
        <v>0</v>
      </c>
      <c r="AT28" s="80">
        <v>0</v>
      </c>
      <c r="AU28" s="80">
        <f t="shared" si="6"/>
        <v>0</v>
      </c>
      <c r="AV28" s="81"/>
      <c r="AW28" s="72"/>
      <c r="AX28" s="78"/>
      <c r="AY28" s="79">
        <f t="shared" si="15"/>
        <v>0</v>
      </c>
      <c r="AZ28" s="80">
        <f>+지급비율!AP22*$I28</f>
        <v>0</v>
      </c>
      <c r="BA28" s="80">
        <v>0</v>
      </c>
      <c r="BB28" s="80">
        <f t="shared" si="7"/>
        <v>0</v>
      </c>
      <c r="BC28" s="81"/>
      <c r="BD28" s="72"/>
      <c r="BE28" s="72"/>
      <c r="BF28" s="79">
        <f t="shared" si="16"/>
        <v>0</v>
      </c>
      <c r="BG28" s="80">
        <f>+지급비율!AW22*$I28</f>
        <v>0</v>
      </c>
      <c r="BH28" s="80">
        <v>0</v>
      </c>
      <c r="BI28" s="80">
        <f t="shared" si="8"/>
        <v>0</v>
      </c>
      <c r="BJ28" s="81"/>
      <c r="BK28" s="78">
        <v>46112</v>
      </c>
      <c r="BL28" s="78"/>
      <c r="BM28" s="79">
        <f t="shared" si="9"/>
        <v>0.1</v>
      </c>
      <c r="BN28" s="80">
        <f>+지급비율!BD22*$I28</f>
        <v>4638040</v>
      </c>
      <c r="BO28" s="80">
        <v>0</v>
      </c>
      <c r="BP28" s="80">
        <f t="shared" si="10"/>
        <v>4638040</v>
      </c>
      <c r="BQ28" s="81"/>
      <c r="BR28" s="73"/>
      <c r="BS28" s="74" t="b">
        <f>+Q28+X28+AE28+AS28+AZ28+BG28+BN28=I28</f>
        <v>1</v>
      </c>
      <c r="BT28" s="74" t="b">
        <f>+R28+Y28+AF28+AT28+BA28+BH28+BO28=K28</f>
        <v>1</v>
      </c>
      <c r="BU28" s="74"/>
      <c r="BV28" s="58"/>
      <c r="BW28" s="58"/>
      <c r="BX28" s="58"/>
      <c r="BY28" s="58"/>
      <c r="BZ28" s="58"/>
      <c r="CA28" s="58"/>
      <c r="CB28" s="58"/>
      <c r="CC28" s="58"/>
      <c r="CD28" s="58"/>
      <c r="CE28" s="58"/>
    </row>
    <row r="29" spans="1:83" ht="16.5" customHeight="1">
      <c r="A29" s="146"/>
      <c r="B29" s="1322"/>
      <c r="C29" s="1547"/>
      <c r="D29" s="1550"/>
      <c r="E29" s="1324"/>
      <c r="F29" s="101" t="s">
        <v>391</v>
      </c>
      <c r="G29" s="102">
        <f>+지급비율!F23*$D$26/1000</f>
        <v>42164000</v>
      </c>
      <c r="H29" s="102">
        <f>+G29*0.1</f>
        <v>4216400</v>
      </c>
      <c r="I29" s="102">
        <f>SUM(G29:H29)</f>
        <v>46380400</v>
      </c>
      <c r="J29" s="101">
        <f t="shared" si="0"/>
        <v>0</v>
      </c>
      <c r="K29" s="106">
        <f t="shared" si="17"/>
        <v>0</v>
      </c>
      <c r="L29" s="106">
        <f>+I29-K29</f>
        <v>46380400</v>
      </c>
      <c r="M29" s="1333"/>
      <c r="N29" s="85"/>
      <c r="O29" s="101"/>
      <c r="P29" s="105"/>
      <c r="Q29" s="106">
        <f>+지급비율!G23*$I29</f>
        <v>0</v>
      </c>
      <c r="R29" s="106"/>
      <c r="S29" s="106">
        <f t="shared" si="1"/>
        <v>0</v>
      </c>
      <c r="T29" s="101"/>
      <c r="U29" s="85"/>
      <c r="V29" s="101"/>
      <c r="W29" s="105"/>
      <c r="X29" s="106">
        <f>+지급비율!N23*$I29</f>
        <v>0</v>
      </c>
      <c r="Y29" s="106"/>
      <c r="Z29" s="106">
        <f t="shared" si="20"/>
        <v>0</v>
      </c>
      <c r="AA29" s="101"/>
      <c r="AB29" s="85"/>
      <c r="AC29" s="101"/>
      <c r="AD29" s="105">
        <f t="shared" si="21"/>
        <v>0</v>
      </c>
      <c r="AE29" s="106">
        <f>+지급비율!U23*$I29</f>
        <v>0</v>
      </c>
      <c r="AF29" s="106">
        <v>0</v>
      </c>
      <c r="AG29" s="106">
        <f t="shared" si="22"/>
        <v>0</v>
      </c>
      <c r="AH29" s="101"/>
      <c r="AI29" s="85"/>
      <c r="AJ29" s="101"/>
      <c r="AK29" s="105">
        <f t="shared" si="23"/>
        <v>0</v>
      </c>
      <c r="AL29" s="106">
        <f>+지급비율!AB23*$I29</f>
        <v>0</v>
      </c>
      <c r="AM29" s="106">
        <v>0</v>
      </c>
      <c r="AN29" s="106">
        <f t="shared" si="24"/>
        <v>0</v>
      </c>
      <c r="AO29" s="101"/>
      <c r="AP29" s="85"/>
      <c r="AQ29" s="101"/>
      <c r="AR29" s="105">
        <f t="shared" si="14"/>
        <v>0</v>
      </c>
      <c r="AS29" s="106">
        <f>+지급비율!AI23*$I29</f>
        <v>0</v>
      </c>
      <c r="AT29" s="106">
        <v>0</v>
      </c>
      <c r="AU29" s="106">
        <f t="shared" si="6"/>
        <v>0</v>
      </c>
      <c r="AV29" s="101"/>
      <c r="AW29" s="85"/>
      <c r="AX29" s="101"/>
      <c r="AY29" s="105">
        <f t="shared" si="15"/>
        <v>0</v>
      </c>
      <c r="AZ29" s="106">
        <f>+지급비율!AP23*$I29</f>
        <v>0</v>
      </c>
      <c r="BA29" s="106">
        <v>0</v>
      </c>
      <c r="BB29" s="106">
        <f t="shared" si="7"/>
        <v>0</v>
      </c>
      <c r="BC29" s="101"/>
      <c r="BD29" s="85"/>
      <c r="BE29" s="101"/>
      <c r="BF29" s="105">
        <f t="shared" si="16"/>
        <v>0</v>
      </c>
      <c r="BG29" s="106">
        <f>+지급비율!AW23*$I29</f>
        <v>0</v>
      </c>
      <c r="BH29" s="106">
        <v>0</v>
      </c>
      <c r="BI29" s="106">
        <f t="shared" si="8"/>
        <v>0</v>
      </c>
      <c r="BJ29" s="101"/>
      <c r="BK29" s="104">
        <v>46112</v>
      </c>
      <c r="BL29" s="101"/>
      <c r="BM29" s="105">
        <f t="shared" si="9"/>
        <v>1</v>
      </c>
      <c r="BN29" s="106">
        <f>+지급비율!BD23*$I29</f>
        <v>46380400</v>
      </c>
      <c r="BO29" s="106">
        <v>0</v>
      </c>
      <c r="BP29" s="106">
        <f t="shared" si="10"/>
        <v>46380400</v>
      </c>
      <c r="BQ29" s="101"/>
      <c r="BR29" s="162"/>
      <c r="BS29" s="89" t="b">
        <f>+Q29+X29+AE29+AS29+AZ29+BG29+BN29=I29</f>
        <v>1</v>
      </c>
      <c r="BT29" s="90" t="b">
        <f>+R29+Y29+AF29+AT29+BA29+BH29+BO29=K29</f>
        <v>1</v>
      </c>
      <c r="BU29" s="89"/>
      <c r="BV29" s="58"/>
      <c r="BW29" s="58"/>
      <c r="BX29" s="58"/>
      <c r="BY29" s="58"/>
      <c r="BZ29" s="58"/>
      <c r="CA29" s="58"/>
      <c r="CB29" s="58"/>
      <c r="CC29" s="58"/>
      <c r="CD29" s="58"/>
      <c r="CE29" s="58"/>
    </row>
    <row r="30" spans="1:83" ht="16.5" customHeight="1">
      <c r="A30" s="62"/>
      <c r="B30" s="1322"/>
      <c r="C30" s="1548"/>
      <c r="D30" s="1551"/>
      <c r="E30" s="1324"/>
      <c r="F30" s="91" t="s">
        <v>392</v>
      </c>
      <c r="G30" s="92">
        <f>SUM(G26:G29)</f>
        <v>379476000</v>
      </c>
      <c r="H30" s="92">
        <f>SUM(H26:H29)</f>
        <v>37947600</v>
      </c>
      <c r="I30" s="92">
        <f>SUM(I26:I29)</f>
        <v>417423600</v>
      </c>
      <c r="J30" s="91">
        <f t="shared" si="0"/>
        <v>0.25</v>
      </c>
      <c r="K30" s="92">
        <f>SUM(K26:K29)</f>
        <v>104355900</v>
      </c>
      <c r="L30" s="92">
        <f>SUM(L26:L29)</f>
        <v>313067700</v>
      </c>
      <c r="M30" s="419">
        <f>+AE27+AE28</f>
        <v>57975500</v>
      </c>
      <c r="N30" s="93"/>
      <c r="O30" s="91"/>
      <c r="P30" s="94">
        <f>+IFERROR(Q30/$I30,"-")</f>
        <v>5.5555555555555552E-2</v>
      </c>
      <c r="Q30" s="92">
        <f>SUM(Q26:Q29)</f>
        <v>23190200</v>
      </c>
      <c r="R30" s="170">
        <f>SUM(R26:R29)</f>
        <v>23190200</v>
      </c>
      <c r="S30" s="92">
        <f t="shared" si="1"/>
        <v>0</v>
      </c>
      <c r="T30" s="91"/>
      <c r="U30" s="93"/>
      <c r="V30" s="91"/>
      <c r="W30" s="94">
        <f>+IFERROR(X30/$I30,"-")</f>
        <v>5.5555555555555552E-2</v>
      </c>
      <c r="X30" s="92">
        <f>SUM(X26:X29)</f>
        <v>23190200</v>
      </c>
      <c r="Y30" s="170">
        <f>SUM(Y26:Y29)</f>
        <v>23190200</v>
      </c>
      <c r="Z30" s="92">
        <f t="shared" si="20"/>
        <v>0</v>
      </c>
      <c r="AA30" s="91"/>
      <c r="AB30" s="93"/>
      <c r="AC30" s="91"/>
      <c r="AD30" s="94">
        <f>+IFERROR(AE30/$I30,"-")</f>
        <v>0.44444444444444442</v>
      </c>
      <c r="AE30" s="92">
        <f>SUM(AE26:AE29)</f>
        <v>185521600</v>
      </c>
      <c r="AF30" s="170">
        <f>SUM(AF26:AF29)</f>
        <v>57975500</v>
      </c>
      <c r="AG30" s="92">
        <f t="shared" si="22"/>
        <v>127546100</v>
      </c>
      <c r="AH30" s="91"/>
      <c r="AI30" s="93"/>
      <c r="AJ30" s="91"/>
      <c r="AK30" s="94">
        <f>+IFERROR(AL30/$I30,"-")</f>
        <v>0</v>
      </c>
      <c r="AL30" s="92">
        <f>SUM(AL26:AL29)</f>
        <v>0</v>
      </c>
      <c r="AM30" s="92">
        <f>SUM(AM26:AM29)</f>
        <v>0</v>
      </c>
      <c r="AN30" s="92">
        <f t="shared" si="24"/>
        <v>0</v>
      </c>
      <c r="AO30" s="91"/>
      <c r="AP30" s="93"/>
      <c r="AQ30" s="91"/>
      <c r="AR30" s="94">
        <f>+IFERROR(AS30/$I30,"-")</f>
        <v>0</v>
      </c>
      <c r="AS30" s="92">
        <f>SUM(AS26:AS29)</f>
        <v>0</v>
      </c>
      <c r="AT30" s="92">
        <f>SUM(AT26:AT29)</f>
        <v>0</v>
      </c>
      <c r="AU30" s="92">
        <f t="shared" ref="AU30:AU49" si="26">+AS30-AT30</f>
        <v>0</v>
      </c>
      <c r="AV30" s="91"/>
      <c r="AW30" s="93"/>
      <c r="AX30" s="91"/>
      <c r="AY30" s="94">
        <f>+IFERROR(AZ30/$I30,"-")</f>
        <v>0</v>
      </c>
      <c r="AZ30" s="92">
        <f>SUM(AZ26:AZ29)</f>
        <v>0</v>
      </c>
      <c r="BA30" s="92">
        <f>SUM(BA26:BA29)</f>
        <v>0</v>
      </c>
      <c r="BB30" s="92">
        <f t="shared" ref="BB30:BB49" si="27">+AZ30-BA30</f>
        <v>0</v>
      </c>
      <c r="BC30" s="91"/>
      <c r="BD30" s="93"/>
      <c r="BE30" s="91"/>
      <c r="BF30" s="94">
        <f>+IFERROR(BG30/$I30,"-")</f>
        <v>0.24444444444444444</v>
      </c>
      <c r="BG30" s="92">
        <f>SUM(BG26:BG29)</f>
        <v>102036880</v>
      </c>
      <c r="BH30" s="92">
        <f>SUM(BH26:BH29)</f>
        <v>0</v>
      </c>
      <c r="BI30" s="92">
        <f t="shared" ref="BI30:BI49" si="28">+BG30-BH30</f>
        <v>102036880</v>
      </c>
      <c r="BJ30" s="91"/>
      <c r="BK30" s="93"/>
      <c r="BL30" s="91"/>
      <c r="BM30" s="94">
        <f t="shared" si="9"/>
        <v>0.2</v>
      </c>
      <c r="BN30" s="92">
        <f>SUM(BN26:BN29)</f>
        <v>83484720</v>
      </c>
      <c r="BO30" s="92">
        <f>SUM(BO26:BO29)</f>
        <v>0</v>
      </c>
      <c r="BP30" s="92">
        <f t="shared" ref="BP30:BP49" si="29">+BN30-BO30</f>
        <v>83484720</v>
      </c>
      <c r="BQ30" s="91"/>
      <c r="BR30" s="88"/>
      <c r="BS30" s="96"/>
      <c r="BT30" s="96"/>
      <c r="BU30" s="139"/>
      <c r="BV30" s="54"/>
      <c r="BW30" s="54"/>
      <c r="BX30" s="54"/>
      <c r="BY30" s="54"/>
      <c r="BZ30" s="54"/>
      <c r="CA30" s="54"/>
      <c r="CB30" s="54"/>
      <c r="CC30" s="54"/>
      <c r="CD30" s="58"/>
      <c r="CE30" s="58"/>
    </row>
    <row r="31" spans="1:83" ht="16.5" customHeight="1">
      <c r="A31" s="62"/>
      <c r="B31" s="1322">
        <f t="shared" ref="B31" si="30">+B26+1</f>
        <v>5</v>
      </c>
      <c r="C31" s="1532" t="s">
        <v>939</v>
      </c>
      <c r="D31" s="1343">
        <v>151.13</v>
      </c>
      <c r="E31" s="1324" t="s">
        <v>888</v>
      </c>
      <c r="F31" s="63" t="s">
        <v>388</v>
      </c>
      <c r="G31" s="406">
        <f>+지급비율!F20*$D$31/1000</f>
        <v>166243000</v>
      </c>
      <c r="H31" s="64">
        <f>+G31*10%</f>
        <v>16624300</v>
      </c>
      <c r="I31" s="64">
        <f>SUM(G31:H31)</f>
        <v>182867300</v>
      </c>
      <c r="J31" s="63">
        <f t="shared" si="0"/>
        <v>0</v>
      </c>
      <c r="K31" s="134">
        <f>+IFERROR(R31+Y31+AF31+AM31+BA31+BH31,"-")</f>
        <v>0</v>
      </c>
      <c r="L31" s="134">
        <f>+I31-K31</f>
        <v>182867300</v>
      </c>
      <c r="M31" s="416"/>
      <c r="N31" s="160"/>
      <c r="O31" s="135"/>
      <c r="P31" s="79">
        <f>+IFERROR(Q31/$I31,"-")</f>
        <v>0</v>
      </c>
      <c r="Q31" s="134">
        <f>+지급비율!G20*$I31</f>
        <v>0</v>
      </c>
      <c r="R31" s="134"/>
      <c r="S31" s="145">
        <f t="shared" ref="S31:S35" si="31">+Q31-R31</f>
        <v>0</v>
      </c>
      <c r="T31" s="67"/>
      <c r="U31" s="160"/>
      <c r="V31" s="160"/>
      <c r="W31" s="79">
        <f>+IFERROR(X31/$I31,"-")</f>
        <v>0</v>
      </c>
      <c r="X31" s="134">
        <f>+지급비율!N20*$I31</f>
        <v>0</v>
      </c>
      <c r="Y31" s="134"/>
      <c r="Z31" s="145">
        <f t="shared" si="20"/>
        <v>0</v>
      </c>
      <c r="AA31" s="67"/>
      <c r="AB31" s="160">
        <f>+EDATE(AI31,2)</f>
        <v>46051</v>
      </c>
      <c r="AC31" s="160"/>
      <c r="AD31" s="409">
        <f>+IFERROR(AE31/$I31,"-")</f>
        <v>0.5</v>
      </c>
      <c r="AE31" s="134">
        <f>+지급비율!U20*$I31</f>
        <v>91433650</v>
      </c>
      <c r="AF31" s="134"/>
      <c r="AG31" s="145">
        <f t="shared" si="22"/>
        <v>91433650</v>
      </c>
      <c r="AH31" s="67"/>
      <c r="AI31" s="160">
        <f>+EDATE(AP31,-1)</f>
        <v>45990</v>
      </c>
      <c r="AJ31" s="135"/>
      <c r="AK31" s="409">
        <f>+IFERROR(AL31/$I31,"-")</f>
        <v>0</v>
      </c>
      <c r="AL31" s="134">
        <f>+지급비율!AB20*$I31</f>
        <v>0</v>
      </c>
      <c r="AM31" s="134"/>
      <c r="AN31" s="145">
        <f t="shared" si="24"/>
        <v>0</v>
      </c>
      <c r="AO31" s="67"/>
      <c r="AP31" s="160">
        <f>+EDATE(AW31,-1)+1</f>
        <v>46020</v>
      </c>
      <c r="AQ31" s="135"/>
      <c r="AR31" s="409">
        <f>+IFERROR(AS31/$I31,"-")</f>
        <v>0</v>
      </c>
      <c r="AS31" s="134">
        <f>+지급비율!AI20*$I31</f>
        <v>0</v>
      </c>
      <c r="AT31" s="134"/>
      <c r="AU31" s="145">
        <f t="shared" si="26"/>
        <v>0</v>
      </c>
      <c r="AV31" s="67"/>
      <c r="AW31" s="160">
        <f>+EDATE(BD31,-1)</f>
        <v>46050</v>
      </c>
      <c r="AX31" s="135"/>
      <c r="AY31" s="409">
        <f>+IFERROR(AZ31/$I31,"-")</f>
        <v>0</v>
      </c>
      <c r="AZ31" s="134">
        <f>+지급비율!AP20*$I31</f>
        <v>0</v>
      </c>
      <c r="BA31" s="134"/>
      <c r="BB31" s="145">
        <f t="shared" si="27"/>
        <v>0</v>
      </c>
      <c r="BC31" s="67"/>
      <c r="BD31" s="160">
        <f>+EDATE(BK31,-1)</f>
        <v>46081</v>
      </c>
      <c r="BE31" s="135"/>
      <c r="BF31" s="409">
        <f>+IFERROR(BG31/$I31,"-")</f>
        <v>0.4</v>
      </c>
      <c r="BG31" s="134">
        <f>+지급비율!AW20*$I31</f>
        <v>73146920</v>
      </c>
      <c r="BH31" s="134"/>
      <c r="BI31" s="145">
        <f t="shared" si="28"/>
        <v>73146920</v>
      </c>
      <c r="BJ31" s="78"/>
      <c r="BK31" s="160">
        <v>46112</v>
      </c>
      <c r="BL31" s="79"/>
      <c r="BM31" s="409">
        <f>+IFERROR(BN31/$I31,"-")</f>
        <v>0.1</v>
      </c>
      <c r="BN31" s="134">
        <f>+지급비율!BD20*$I31</f>
        <v>18286730</v>
      </c>
      <c r="BO31" s="134"/>
      <c r="BP31" s="145">
        <f t="shared" si="29"/>
        <v>18286730</v>
      </c>
      <c r="BQ31" s="145"/>
      <c r="BR31" s="74"/>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22"/>
      <c r="C32" s="1532"/>
      <c r="D32" s="1344"/>
      <c r="E32" s="1324"/>
      <c r="F32" s="75" t="s">
        <v>389</v>
      </c>
      <c r="G32" s="76">
        <f>+지급비율!F21*$D$31/1000</f>
        <v>45339000</v>
      </c>
      <c r="H32" s="76">
        <f>+G32*10%</f>
        <v>4533900</v>
      </c>
      <c r="I32" s="76">
        <f>SUM(G32:H32)</f>
        <v>49872900</v>
      </c>
      <c r="J32" s="75">
        <f t="shared" si="0"/>
        <v>0.9</v>
      </c>
      <c r="K32" s="80">
        <f t="shared" ref="K32:K34" si="32">+IFERROR(R32+Y32+AF32+AM32+BA32+BH32,"-")</f>
        <v>44885610</v>
      </c>
      <c r="L32" s="80">
        <f>+I32-K32</f>
        <v>4987290</v>
      </c>
      <c r="M32" s="417"/>
      <c r="N32" s="78">
        <f>+O32</f>
        <v>45679</v>
      </c>
      <c r="O32" s="78">
        <v>45679</v>
      </c>
      <c r="P32" s="79">
        <f>+IFERROR(Q32/$I32,"-")</f>
        <v>0.2</v>
      </c>
      <c r="Q32" s="80">
        <f>+지급비율!G21*$I32</f>
        <v>9974580</v>
      </c>
      <c r="R32" s="80">
        <v>9974580</v>
      </c>
      <c r="S32" s="81">
        <f t="shared" si="31"/>
        <v>0</v>
      </c>
      <c r="T32" s="78"/>
      <c r="U32" s="78">
        <v>45791</v>
      </c>
      <c r="V32" s="78">
        <v>45791</v>
      </c>
      <c r="W32" s="79">
        <f>+IFERROR(X32/$I32,"-")</f>
        <v>0.2</v>
      </c>
      <c r="X32" s="80">
        <f>+지급비율!N21*$I32</f>
        <v>9974580</v>
      </c>
      <c r="Y32" s="80">
        <v>9974580</v>
      </c>
      <c r="Z32" s="81">
        <f t="shared" si="20"/>
        <v>0</v>
      </c>
      <c r="AA32" s="78"/>
      <c r="AB32" s="78">
        <v>45820</v>
      </c>
      <c r="AC32" s="78">
        <v>45820</v>
      </c>
      <c r="AD32" s="411">
        <f>+IFERROR(AE32/$I32,"-")</f>
        <v>0.5</v>
      </c>
      <c r="AE32" s="80">
        <f>+지급비율!U21*$I32</f>
        <v>24936450</v>
      </c>
      <c r="AF32" s="80">
        <v>24936450</v>
      </c>
      <c r="AG32" s="81">
        <f t="shared" si="22"/>
        <v>0</v>
      </c>
      <c r="AH32" s="78"/>
      <c r="AI32" s="78"/>
      <c r="AJ32" s="79"/>
      <c r="AK32" s="411">
        <f>+IFERROR(AL32/$I32,"-")</f>
        <v>0</v>
      </c>
      <c r="AL32" s="80">
        <f>+지급비율!AB21*$I32</f>
        <v>0</v>
      </c>
      <c r="AM32" s="80"/>
      <c r="AN32" s="81">
        <f t="shared" si="24"/>
        <v>0</v>
      </c>
      <c r="AO32" s="78"/>
      <c r="AP32" s="78"/>
      <c r="AQ32" s="79"/>
      <c r="AR32" s="411">
        <f>+IFERROR(AS32/$I32,"-")</f>
        <v>0</v>
      </c>
      <c r="AS32" s="80">
        <f>+지급비율!AI21*$I32</f>
        <v>0</v>
      </c>
      <c r="AT32" s="80"/>
      <c r="AU32" s="81">
        <f t="shared" si="26"/>
        <v>0</v>
      </c>
      <c r="AV32" s="78"/>
      <c r="AW32" s="78"/>
      <c r="AX32" s="79"/>
      <c r="AY32" s="411">
        <f>+IFERROR(AZ32/$I32,"-")</f>
        <v>0</v>
      </c>
      <c r="AZ32" s="80">
        <f>+지급비율!AP21*$I32</f>
        <v>0</v>
      </c>
      <c r="BA32" s="80"/>
      <c r="BB32" s="81">
        <f t="shared" si="27"/>
        <v>0</v>
      </c>
      <c r="BC32" s="78"/>
      <c r="BD32" s="78"/>
      <c r="BE32" s="79"/>
      <c r="BF32" s="411">
        <f>+IFERROR(BG32/$I32,"-")</f>
        <v>0</v>
      </c>
      <c r="BG32" s="80">
        <f>+지급비율!AW21*$I32</f>
        <v>0</v>
      </c>
      <c r="BH32" s="80"/>
      <c r="BI32" s="81">
        <f t="shared" si="28"/>
        <v>0</v>
      </c>
      <c r="BJ32" s="78"/>
      <c r="BK32" s="78">
        <v>46053</v>
      </c>
      <c r="BL32" s="79"/>
      <c r="BM32" s="411">
        <f>+IFERROR(BN32/$I32,"-")</f>
        <v>0.1</v>
      </c>
      <c r="BN32" s="80">
        <f>+지급비율!BD21*$I32</f>
        <v>4987290</v>
      </c>
      <c r="BO32" s="80"/>
      <c r="BP32" s="81">
        <f t="shared" si="29"/>
        <v>4987290</v>
      </c>
      <c r="BQ32" s="81"/>
      <c r="BR32" s="74"/>
      <c r="BS32" s="74" t="b">
        <f>+Q32+X32+AE32+AS32+AZ32+BG32+BN32=I32</f>
        <v>1</v>
      </c>
      <c r="BT32" s="74" t="b">
        <f>+R32+Y32+AF32+AT32+BA32+BH32+BO32=K32</f>
        <v>1</v>
      </c>
      <c r="BU32" s="74" t="b">
        <f>+BG32+BG33+AZ32+AZ33+AS32+AS33+AE32+AE33+X32+X33+Q32+Q33+BN32+BN33=([5]지급비율!$F$21+[5]지급비율!$F$22)*1.1*D31/1000</f>
        <v>1</v>
      </c>
      <c r="BV32" s="54"/>
      <c r="BW32" s="54"/>
      <c r="BX32" s="54"/>
      <c r="BY32" s="54"/>
      <c r="BZ32" s="54"/>
      <c r="CA32" s="54"/>
      <c r="CB32" s="54"/>
      <c r="CC32" s="54"/>
      <c r="CD32" s="58"/>
      <c r="CE32" s="58"/>
    </row>
    <row r="33" spans="1:83" ht="16.5" customHeight="1">
      <c r="A33" s="62"/>
      <c r="B33" s="1322"/>
      <c r="C33" s="1532"/>
      <c r="D33" s="1344"/>
      <c r="E33" s="1324"/>
      <c r="F33" s="75" t="s">
        <v>390</v>
      </c>
      <c r="G33" s="76">
        <f>+지급비율!F22*$D$31/1000</f>
        <v>30226000</v>
      </c>
      <c r="H33" s="76">
        <f>+G33*10%</f>
        <v>3022600</v>
      </c>
      <c r="I33" s="76">
        <f>SUM(G33:H33)</f>
        <v>33248600</v>
      </c>
      <c r="J33" s="75">
        <f t="shared" si="0"/>
        <v>0.9</v>
      </c>
      <c r="K33" s="80">
        <f t="shared" si="32"/>
        <v>29923740</v>
      </c>
      <c r="L33" s="80">
        <f>+I33-K33</f>
        <v>3324860</v>
      </c>
      <c r="M33" s="417"/>
      <c r="N33" s="78">
        <f>+O33</f>
        <v>45679</v>
      </c>
      <c r="O33" s="78">
        <f>O32</f>
        <v>45679</v>
      </c>
      <c r="P33" s="79">
        <f>+IFERROR(Q33/$I33,"-")</f>
        <v>0.2</v>
      </c>
      <c r="Q33" s="80">
        <f>+지급비율!G22*$I33</f>
        <v>6649720</v>
      </c>
      <c r="R33" s="80">
        <v>6649720</v>
      </c>
      <c r="S33" s="81">
        <f t="shared" si="31"/>
        <v>0</v>
      </c>
      <c r="T33" s="78"/>
      <c r="U33" s="78">
        <v>45791</v>
      </c>
      <c r="V33" s="78">
        <v>45791</v>
      </c>
      <c r="W33" s="79">
        <f>+IFERROR(X33/$I33,"-")</f>
        <v>0.2</v>
      </c>
      <c r="X33" s="80">
        <f>+지급비율!N22*$I33</f>
        <v>6649720</v>
      </c>
      <c r="Y33" s="80">
        <v>6649720</v>
      </c>
      <c r="Z33" s="81">
        <f t="shared" si="20"/>
        <v>0</v>
      </c>
      <c r="AA33" s="78"/>
      <c r="AB33" s="78">
        <v>45820</v>
      </c>
      <c r="AC33" s="78">
        <v>45820</v>
      </c>
      <c r="AD33" s="411">
        <f>+IFERROR(AE33/$I33,"-")</f>
        <v>0.5</v>
      </c>
      <c r="AE33" s="80">
        <f>+지급비율!U22*$I33</f>
        <v>16624300</v>
      </c>
      <c r="AF33" s="80">
        <v>16624300</v>
      </c>
      <c r="AG33" s="81">
        <f t="shared" si="22"/>
        <v>0</v>
      </c>
      <c r="AH33" s="72"/>
      <c r="AI33" s="78"/>
      <c r="AJ33" s="79"/>
      <c r="AK33" s="411">
        <f>+IFERROR(AL33/$I33,"-")</f>
        <v>0</v>
      </c>
      <c r="AL33" s="80">
        <f>+지급비율!AB22*$I33</f>
        <v>0</v>
      </c>
      <c r="AM33" s="80"/>
      <c r="AN33" s="81">
        <f t="shared" si="24"/>
        <v>0</v>
      </c>
      <c r="AO33" s="72"/>
      <c r="AP33" s="78"/>
      <c r="AQ33" s="79"/>
      <c r="AR33" s="411">
        <f>+IFERROR(AS33/$I33,"-")</f>
        <v>0</v>
      </c>
      <c r="AS33" s="80">
        <f>+지급비율!AI22*$I33</f>
        <v>0</v>
      </c>
      <c r="AT33" s="80"/>
      <c r="AU33" s="81">
        <f t="shared" si="26"/>
        <v>0</v>
      </c>
      <c r="AV33" s="72"/>
      <c r="AW33" s="78"/>
      <c r="AX33" s="79"/>
      <c r="AY33" s="411">
        <f>+IFERROR(AZ33/$I33,"-")</f>
        <v>0</v>
      </c>
      <c r="AZ33" s="80">
        <f>+지급비율!AP22*$I33</f>
        <v>0</v>
      </c>
      <c r="BA33" s="80"/>
      <c r="BB33" s="81">
        <f t="shared" si="27"/>
        <v>0</v>
      </c>
      <c r="BC33" s="72"/>
      <c r="BD33" s="72"/>
      <c r="BE33" s="79"/>
      <c r="BF33" s="411">
        <f>+IFERROR(BG33/$I33,"-")</f>
        <v>0</v>
      </c>
      <c r="BG33" s="80">
        <f>+지급비율!AW22*$I33</f>
        <v>0</v>
      </c>
      <c r="BH33" s="80"/>
      <c r="BI33" s="81">
        <f t="shared" si="28"/>
        <v>0</v>
      </c>
      <c r="BJ33" s="78"/>
      <c r="BK33" s="78">
        <v>46053</v>
      </c>
      <c r="BL33" s="79"/>
      <c r="BM33" s="411">
        <f>+IFERROR(BN33/$I33,"-")</f>
        <v>0.1</v>
      </c>
      <c r="BN33" s="80">
        <f>+지급비율!BD22*$I33</f>
        <v>3324860</v>
      </c>
      <c r="BO33" s="80"/>
      <c r="BP33" s="81">
        <f t="shared" si="29"/>
        <v>3324860</v>
      </c>
      <c r="BQ33" s="81"/>
      <c r="BR33" s="74"/>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22"/>
      <c r="C34" s="1532"/>
      <c r="D34" s="1344"/>
      <c r="E34" s="1324"/>
      <c r="F34" s="101" t="s">
        <v>391</v>
      </c>
      <c r="G34" s="102">
        <f>+지급비율!F23*$D$31/1000</f>
        <v>30226000</v>
      </c>
      <c r="H34" s="102">
        <f>+G34*0.1</f>
        <v>3022600</v>
      </c>
      <c r="I34" s="102">
        <f>SUM(G34:H34)</f>
        <v>33248600</v>
      </c>
      <c r="J34" s="101">
        <f t="shared" si="0"/>
        <v>0</v>
      </c>
      <c r="K34" s="106">
        <f t="shared" si="32"/>
        <v>0</v>
      </c>
      <c r="L34" s="106">
        <f>+I34-K34</f>
        <v>33248600</v>
      </c>
      <c r="M34" s="420"/>
      <c r="N34" s="101"/>
      <c r="O34" s="105"/>
      <c r="P34" s="79">
        <f>+IFERROR(Q34/$I34,"-")</f>
        <v>0</v>
      </c>
      <c r="Q34" s="106">
        <f>+지급비율!G23*$I34</f>
        <v>0</v>
      </c>
      <c r="R34" s="106"/>
      <c r="S34" s="81">
        <f t="shared" si="31"/>
        <v>0</v>
      </c>
      <c r="T34" s="85"/>
      <c r="U34" s="101"/>
      <c r="V34" s="101"/>
      <c r="W34" s="79">
        <f>+IFERROR(X34/$I34,"-")</f>
        <v>0</v>
      </c>
      <c r="X34" s="106">
        <f>+지급비율!N23*$I34</f>
        <v>0</v>
      </c>
      <c r="Y34" s="106"/>
      <c r="Z34" s="81">
        <f t="shared" si="20"/>
        <v>0</v>
      </c>
      <c r="AA34" s="85"/>
      <c r="AB34" s="101"/>
      <c r="AC34" s="101"/>
      <c r="AD34" s="410">
        <f>+IFERROR(AE34/$I34,"-")</f>
        <v>0</v>
      </c>
      <c r="AE34" s="106">
        <f>+지급비율!U23*$I34</f>
        <v>0</v>
      </c>
      <c r="AF34" s="106"/>
      <c r="AG34" s="81">
        <f t="shared" si="22"/>
        <v>0</v>
      </c>
      <c r="AH34" s="85"/>
      <c r="AI34" s="101"/>
      <c r="AJ34" s="105"/>
      <c r="AK34" s="410">
        <f>+IFERROR(AL34/$I34,"-")</f>
        <v>0</v>
      </c>
      <c r="AL34" s="106">
        <f>+지급비율!AB23*$I34</f>
        <v>0</v>
      </c>
      <c r="AM34" s="106"/>
      <c r="AN34" s="81">
        <f t="shared" si="24"/>
        <v>0</v>
      </c>
      <c r="AO34" s="85"/>
      <c r="AP34" s="101"/>
      <c r="AQ34" s="105"/>
      <c r="AR34" s="410">
        <f>+IFERROR(AS34/$I34,"-")</f>
        <v>0</v>
      </c>
      <c r="AS34" s="106">
        <f>+지급비율!AI23*$I34</f>
        <v>0</v>
      </c>
      <c r="AT34" s="106"/>
      <c r="AU34" s="81">
        <f t="shared" si="26"/>
        <v>0</v>
      </c>
      <c r="AV34" s="85"/>
      <c r="AW34" s="101"/>
      <c r="AX34" s="105"/>
      <c r="AY34" s="410">
        <f>+IFERROR(AZ34/$I34,"-")</f>
        <v>0</v>
      </c>
      <c r="AZ34" s="106">
        <f>+지급비율!AP23*$I34</f>
        <v>0</v>
      </c>
      <c r="BA34" s="106"/>
      <c r="BB34" s="81">
        <f t="shared" si="27"/>
        <v>0</v>
      </c>
      <c r="BC34" s="85"/>
      <c r="BD34" s="101"/>
      <c r="BE34" s="105"/>
      <c r="BF34" s="410">
        <f>+IFERROR(BG34/$I34,"-")</f>
        <v>0</v>
      </c>
      <c r="BG34" s="106">
        <f>+지급비율!AW23*$I34</f>
        <v>0</v>
      </c>
      <c r="BH34" s="106"/>
      <c r="BI34" s="81">
        <f t="shared" si="28"/>
        <v>0</v>
      </c>
      <c r="BJ34" s="104"/>
      <c r="BK34" s="78">
        <v>46053</v>
      </c>
      <c r="BL34" s="105"/>
      <c r="BM34" s="410">
        <f>+IFERROR(BN34/$I34,"-")</f>
        <v>1</v>
      </c>
      <c r="BN34" s="106">
        <f>+지급비율!BD23*$I34</f>
        <v>33248600</v>
      </c>
      <c r="BO34" s="106"/>
      <c r="BP34" s="81">
        <f t="shared" si="29"/>
        <v>33248600</v>
      </c>
      <c r="BQ34" s="101"/>
      <c r="BR34" s="89"/>
      <c r="BS34" s="89" t="b">
        <f>+Q34+X34+AE34+AS34+AZ34+BG34+BN34=I34</f>
        <v>1</v>
      </c>
      <c r="BT34" s="90" t="b">
        <f>+R34+Y34+AF34+AT34+BA34+BH34+BO34=K34</f>
        <v>1</v>
      </c>
      <c r="BU34" s="89"/>
      <c r="BV34" s="54"/>
      <c r="BW34" s="54"/>
      <c r="BX34" s="54"/>
      <c r="BY34" s="54"/>
      <c r="BZ34" s="54"/>
      <c r="CA34" s="54"/>
      <c r="CB34" s="54"/>
      <c r="CC34" s="54"/>
      <c r="CD34" s="58"/>
      <c r="CE34" s="58"/>
    </row>
    <row r="35" spans="1:83" ht="16.5" customHeight="1">
      <c r="A35" s="62"/>
      <c r="B35" s="1322"/>
      <c r="C35" s="1532"/>
      <c r="D35" s="1345"/>
      <c r="E35" s="1324"/>
      <c r="F35" s="91" t="s">
        <v>392</v>
      </c>
      <c r="G35" s="92">
        <f>SUM(G31:G34)</f>
        <v>272034000</v>
      </c>
      <c r="H35" s="92">
        <f>SUM(H31:H34)</f>
        <v>27203400</v>
      </c>
      <c r="I35" s="92">
        <f>SUM(I31:I34)</f>
        <v>299237400</v>
      </c>
      <c r="J35" s="91">
        <f t="shared" si="0"/>
        <v>0.25</v>
      </c>
      <c r="K35" s="92">
        <f>SUM(K31:K34)</f>
        <v>74809350</v>
      </c>
      <c r="L35" s="92">
        <f>SUM(L31:L34)</f>
        <v>224428050</v>
      </c>
      <c r="M35" s="419"/>
      <c r="N35" s="91"/>
      <c r="O35" s="94"/>
      <c r="P35" s="92">
        <f>+IFERROR(Q35/'[9]Dropped Project'!$K35,"-")</f>
        <v>0.12047991071428571</v>
      </c>
      <c r="Q35" s="92">
        <f>SUM(Q31:Q34)</f>
        <v>16624300</v>
      </c>
      <c r="R35" s="170">
        <f>SUM(R31:R34)</f>
        <v>16624300</v>
      </c>
      <c r="S35" s="92">
        <f t="shared" si="31"/>
        <v>0</v>
      </c>
      <c r="T35" s="93"/>
      <c r="U35" s="91"/>
      <c r="V35" s="91"/>
      <c r="W35" s="92">
        <f>+IFERROR(X35/'[9]Dropped Project'!$K35,"-")</f>
        <v>0.12047991071428571</v>
      </c>
      <c r="X35" s="92">
        <f>SUM(X31:X34)</f>
        <v>16624300</v>
      </c>
      <c r="Y35" s="170">
        <f>SUM(Y31:Y34)</f>
        <v>16624300</v>
      </c>
      <c r="Z35" s="92">
        <f t="shared" si="20"/>
        <v>0</v>
      </c>
      <c r="AA35" s="93"/>
      <c r="AB35" s="91"/>
      <c r="AC35" s="91"/>
      <c r="AD35" s="443">
        <f>+IFERROR(AE35/'[9]Dropped Project'!$K35,"-")</f>
        <v>0.96383928571428568</v>
      </c>
      <c r="AE35" s="92">
        <f>SUM(AE31:AE34)</f>
        <v>132994400</v>
      </c>
      <c r="AF35" s="170">
        <f>SUM(AF31:AF34)</f>
        <v>41560750</v>
      </c>
      <c r="AG35" s="92">
        <f t="shared" si="22"/>
        <v>91433650</v>
      </c>
      <c r="AH35" s="93"/>
      <c r="AI35" s="91"/>
      <c r="AJ35" s="94"/>
      <c r="AK35" s="443">
        <f>+IFERROR(AL35/'[9]Dropped Project'!$K35,"-")</f>
        <v>0</v>
      </c>
      <c r="AL35" s="92">
        <f>SUM(AL31:AL34)</f>
        <v>0</v>
      </c>
      <c r="AM35" s="92">
        <f>SUM(AM31:AM34)</f>
        <v>0</v>
      </c>
      <c r="AN35" s="92">
        <f t="shared" si="24"/>
        <v>0</v>
      </c>
      <c r="AO35" s="93"/>
      <c r="AP35" s="91"/>
      <c r="AQ35" s="94"/>
      <c r="AR35" s="443">
        <f>+IFERROR(AS35/'[9]Dropped Project'!$K35,"-")</f>
        <v>0</v>
      </c>
      <c r="AS35" s="92">
        <f>SUM(AS31:AS34)</f>
        <v>0</v>
      </c>
      <c r="AT35" s="92">
        <f>SUM(AT31:AT34)</f>
        <v>0</v>
      </c>
      <c r="AU35" s="92">
        <f t="shared" si="26"/>
        <v>0</v>
      </c>
      <c r="AV35" s="93"/>
      <c r="AW35" s="91"/>
      <c r="AX35" s="94"/>
      <c r="AY35" s="443">
        <f>+IFERROR(AZ35/'[9]Dropped Project'!$K35,"-")</f>
        <v>0</v>
      </c>
      <c r="AZ35" s="92">
        <f>SUM(AZ31:AZ34)</f>
        <v>0</v>
      </c>
      <c r="BA35" s="92">
        <f>SUM(BA31:BA34)</f>
        <v>0</v>
      </c>
      <c r="BB35" s="92">
        <f t="shared" si="27"/>
        <v>0</v>
      </c>
      <c r="BC35" s="93"/>
      <c r="BD35" s="91"/>
      <c r="BE35" s="94"/>
      <c r="BF35" s="443">
        <f>+IFERROR(BG35/'[9]Dropped Project'!$K35,"-")</f>
        <v>0.5301116071428571</v>
      </c>
      <c r="BG35" s="92">
        <f>SUM(BG31:BG34)</f>
        <v>73146920</v>
      </c>
      <c r="BH35" s="92">
        <f>SUM(BH31:BH34)</f>
        <v>0</v>
      </c>
      <c r="BI35" s="92">
        <f t="shared" si="28"/>
        <v>73146920</v>
      </c>
      <c r="BJ35" s="93"/>
      <c r="BK35" s="91"/>
      <c r="BL35" s="94"/>
      <c r="BM35" s="443">
        <f>+IFERROR(BN35/'[9]Dropped Project'!$K35,"-")</f>
        <v>0.43372767857142858</v>
      </c>
      <c r="BN35" s="92">
        <f>SUM(BN31:BN34)</f>
        <v>59847480</v>
      </c>
      <c r="BO35" s="92">
        <f>SUM(BO31:BO34)</f>
        <v>0</v>
      </c>
      <c r="BP35" s="92">
        <f t="shared" si="29"/>
        <v>59847480</v>
      </c>
      <c r="BQ35" s="91"/>
      <c r="BR35" s="96"/>
      <c r="BS35" s="96"/>
      <c r="BT35" s="139"/>
      <c r="BU35" s="399"/>
      <c r="BV35" s="54"/>
      <c r="BW35" s="54"/>
      <c r="BX35" s="54"/>
      <c r="BY35" s="54"/>
      <c r="BZ35" s="54"/>
      <c r="CA35" s="54"/>
      <c r="CB35" s="54"/>
      <c r="CC35" s="54"/>
      <c r="CD35" s="58"/>
      <c r="CE35" s="58"/>
    </row>
    <row r="36" spans="1:83" ht="16.5" customHeight="1">
      <c r="A36" s="62"/>
      <c r="B36" s="1322">
        <f t="shared" ref="B36" si="33">+B31+1</f>
        <v>6</v>
      </c>
      <c r="C36" s="1531" t="s">
        <v>940</v>
      </c>
      <c r="D36" s="1343">
        <v>71.680000000000007</v>
      </c>
      <c r="E36" s="1324" t="s">
        <v>888</v>
      </c>
      <c r="F36" s="63" t="s">
        <v>388</v>
      </c>
      <c r="G36" s="406">
        <f>+지급비율!F20*$D$36/1000</f>
        <v>78848000</v>
      </c>
      <c r="H36" s="64">
        <f>+G36*10%</f>
        <v>7884800</v>
      </c>
      <c r="I36" s="64">
        <f>SUM(G36:H36)</f>
        <v>86732800</v>
      </c>
      <c r="J36" s="63">
        <f t="shared" si="0"/>
        <v>0</v>
      </c>
      <c r="K36" s="134">
        <f>+IFERROR(R36+Y36+AF36+AM36+BA36+BH36,"-")</f>
        <v>0</v>
      </c>
      <c r="L36" s="134">
        <f>+I36-K36</f>
        <v>86732800</v>
      </c>
      <c r="M36" s="1331" t="s">
        <v>265</v>
      </c>
      <c r="N36" s="160"/>
      <c r="O36" s="135"/>
      <c r="P36" s="79">
        <f>+IFERROR(Q36/$I36,"-")</f>
        <v>0</v>
      </c>
      <c r="Q36" s="134">
        <f>+지급비율!G20*$I36</f>
        <v>0</v>
      </c>
      <c r="R36" s="134"/>
      <c r="S36" s="145">
        <f t="shared" si="1"/>
        <v>0</v>
      </c>
      <c r="T36" s="67"/>
      <c r="U36" s="160"/>
      <c r="V36" s="160"/>
      <c r="W36" s="79">
        <f>+IFERROR(X36/$I36,"-")</f>
        <v>0</v>
      </c>
      <c r="X36" s="134">
        <f>+지급비율!N20*$I36</f>
        <v>0</v>
      </c>
      <c r="Y36" s="134"/>
      <c r="Z36" s="145">
        <f t="shared" si="20"/>
        <v>0</v>
      </c>
      <c r="AA36" s="67"/>
      <c r="AB36" s="160">
        <f>+EDATE(AI36,2)</f>
        <v>46051</v>
      </c>
      <c r="AC36" s="135"/>
      <c r="AD36" s="442">
        <f>+IFERROR(AE36/$I36,"-")</f>
        <v>0.5</v>
      </c>
      <c r="AE36" s="134">
        <f>+지급비율!U20*$I36</f>
        <v>43366400</v>
      </c>
      <c r="AF36" s="134">
        <v>0</v>
      </c>
      <c r="AG36" s="407">
        <f t="shared" si="22"/>
        <v>43366400</v>
      </c>
      <c r="AH36" s="67"/>
      <c r="AI36" s="160">
        <f>+EDATE(AP36,-1)</f>
        <v>45990</v>
      </c>
      <c r="AJ36" s="135"/>
      <c r="AK36" s="411">
        <f>+IFERROR(AL36/$I36,"-")</f>
        <v>0</v>
      </c>
      <c r="AL36" s="134">
        <f>+지급비율!AB20*$I36</f>
        <v>0</v>
      </c>
      <c r="AM36" s="134">
        <v>0</v>
      </c>
      <c r="AN36" s="407">
        <f t="shared" si="24"/>
        <v>0</v>
      </c>
      <c r="AO36" s="67"/>
      <c r="AP36" s="160">
        <f>+EDATE(AW36,-1)+1</f>
        <v>46020</v>
      </c>
      <c r="AQ36" s="135"/>
      <c r="AR36" s="411">
        <f>+IFERROR(AS36/$I36,"-")</f>
        <v>0</v>
      </c>
      <c r="AS36" s="134">
        <f>+지급비율!AI20*$I36</f>
        <v>0</v>
      </c>
      <c r="AT36" s="134">
        <v>0</v>
      </c>
      <c r="AU36" s="407">
        <f t="shared" si="26"/>
        <v>0</v>
      </c>
      <c r="AV36" s="67"/>
      <c r="AW36" s="160">
        <f>+EDATE(BD36,-1)</f>
        <v>46050</v>
      </c>
      <c r="AX36" s="135"/>
      <c r="AY36" s="411">
        <f>+IFERROR(AZ36/$I36,"-")</f>
        <v>0</v>
      </c>
      <c r="AZ36" s="134">
        <f>+지급비율!AP20*$I36</f>
        <v>0</v>
      </c>
      <c r="BA36" s="134">
        <v>0</v>
      </c>
      <c r="BB36" s="407">
        <f t="shared" si="27"/>
        <v>0</v>
      </c>
      <c r="BC36" s="67"/>
      <c r="BD36" s="160">
        <f>+EDATE(BK36,-1)</f>
        <v>46081</v>
      </c>
      <c r="BE36" s="135"/>
      <c r="BF36" s="411">
        <f>+IFERROR(BG36/$I36,"-")</f>
        <v>0.4</v>
      </c>
      <c r="BG36" s="134">
        <f>+지급비율!AW20*$I36</f>
        <v>34693120</v>
      </c>
      <c r="BH36" s="134">
        <v>0</v>
      </c>
      <c r="BI36" s="407">
        <f t="shared" si="28"/>
        <v>34693120</v>
      </c>
      <c r="BJ36" s="78"/>
      <c r="BK36" s="160">
        <v>46112</v>
      </c>
      <c r="BL36" s="79"/>
      <c r="BM36" s="411">
        <f>+IFERROR(BN36/$I36,"-")</f>
        <v>0.1</v>
      </c>
      <c r="BN36" s="134">
        <f>+지급비율!BD20*$I36</f>
        <v>8673280</v>
      </c>
      <c r="BO36" s="134">
        <v>0</v>
      </c>
      <c r="BP36" s="407">
        <f t="shared" si="29"/>
        <v>8673280</v>
      </c>
      <c r="BQ36" s="145"/>
      <c r="BR36" s="74"/>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22"/>
      <c r="C37" s="1531"/>
      <c r="D37" s="1344"/>
      <c r="E37" s="1324"/>
      <c r="F37" s="75" t="s">
        <v>389</v>
      </c>
      <c r="G37" s="76">
        <f>+지급비율!F21*$D$36/1000</f>
        <v>21504000.000000004</v>
      </c>
      <c r="H37" s="76">
        <f>+G37*10%</f>
        <v>2150400.0000000005</v>
      </c>
      <c r="I37" s="76">
        <f>SUM(G37:H37)</f>
        <v>23654400.000000004</v>
      </c>
      <c r="J37" s="75">
        <f t="shared" si="0"/>
        <v>0.39999999999999991</v>
      </c>
      <c r="K37" s="80">
        <f t="shared" ref="K37:K39" si="34">+IFERROR(R37+Y37+AF37+AM37+BA37+BH37,"-")</f>
        <v>9461760</v>
      </c>
      <c r="L37" s="80">
        <f>+I37-K37</f>
        <v>14192640.000000004</v>
      </c>
      <c r="M37" s="1332"/>
      <c r="N37" s="78">
        <f>+O37</f>
        <v>45705</v>
      </c>
      <c r="O37" s="78">
        <v>45705</v>
      </c>
      <c r="P37" s="79">
        <f>+IFERROR(Q37/$I37,"-")</f>
        <v>0.2</v>
      </c>
      <c r="Q37" s="80">
        <f>+지급비율!G21*$I37</f>
        <v>4730880.0000000009</v>
      </c>
      <c r="R37" s="80">
        <v>4730880.0000000009</v>
      </c>
      <c r="S37" s="81">
        <f t="shared" si="1"/>
        <v>0</v>
      </c>
      <c r="T37" s="78"/>
      <c r="U37" s="78">
        <v>45820</v>
      </c>
      <c r="V37" s="78">
        <v>45820</v>
      </c>
      <c r="W37" s="79">
        <f>+IFERROR(X37/$I37,"-")</f>
        <v>0.2</v>
      </c>
      <c r="X37" s="80">
        <f>+지급비율!N21*$I37</f>
        <v>4730880.0000000009</v>
      </c>
      <c r="Y37" s="80">
        <v>4730880</v>
      </c>
      <c r="Z37" s="81">
        <f t="shared" si="20"/>
        <v>0</v>
      </c>
      <c r="AA37" s="78"/>
      <c r="AB37" s="402">
        <v>46022</v>
      </c>
      <c r="AC37" s="286"/>
      <c r="AD37" s="412">
        <f>+IFERROR(AE37/$I37,"-")</f>
        <v>0.5</v>
      </c>
      <c r="AE37" s="290">
        <f>+지급비율!U21*$I37</f>
        <v>11827200.000000002</v>
      </c>
      <c r="AF37" s="290">
        <v>0</v>
      </c>
      <c r="AG37" s="414">
        <f t="shared" si="22"/>
        <v>11827200.000000002</v>
      </c>
      <c r="AH37" s="78"/>
      <c r="AI37" s="78"/>
      <c r="AJ37" s="79"/>
      <c r="AK37" s="444">
        <f>+IFERROR(AL37/$I37,"-")</f>
        <v>0</v>
      </c>
      <c r="AL37" s="80">
        <f>+지급비율!AB21*$I37</f>
        <v>0</v>
      </c>
      <c r="AM37" s="80">
        <v>0</v>
      </c>
      <c r="AN37" s="441">
        <f t="shared" si="24"/>
        <v>0</v>
      </c>
      <c r="AO37" s="78"/>
      <c r="AP37" s="78"/>
      <c r="AQ37" s="79"/>
      <c r="AR37" s="444">
        <f>+IFERROR(AS37/$I37,"-")</f>
        <v>0</v>
      </c>
      <c r="AS37" s="80">
        <f>+지급비율!AI21*$I37</f>
        <v>0</v>
      </c>
      <c r="AT37" s="80">
        <v>0</v>
      </c>
      <c r="AU37" s="441">
        <f t="shared" si="26"/>
        <v>0</v>
      </c>
      <c r="AV37" s="78"/>
      <c r="AW37" s="78"/>
      <c r="AX37" s="79"/>
      <c r="AY37" s="444">
        <f>+IFERROR(AZ37/$I37,"-")</f>
        <v>0</v>
      </c>
      <c r="AZ37" s="80">
        <f>+지급비율!AP21*$I37</f>
        <v>0</v>
      </c>
      <c r="BA37" s="80">
        <v>0</v>
      </c>
      <c r="BB37" s="441">
        <f t="shared" si="27"/>
        <v>0</v>
      </c>
      <c r="BC37" s="78"/>
      <c r="BD37" s="78"/>
      <c r="BE37" s="79"/>
      <c r="BF37" s="444">
        <f>+IFERROR(BG37/$I37,"-")</f>
        <v>0</v>
      </c>
      <c r="BG37" s="80">
        <f>+지급비율!AW21*$I37</f>
        <v>0</v>
      </c>
      <c r="BH37" s="80">
        <v>0</v>
      </c>
      <c r="BI37" s="441">
        <f t="shared" si="28"/>
        <v>0</v>
      </c>
      <c r="BJ37" s="78"/>
      <c r="BK37" s="78">
        <v>46112</v>
      </c>
      <c r="BL37" s="79"/>
      <c r="BM37" s="444">
        <f>+IFERROR(BN37/$I37,"-")</f>
        <v>0.1</v>
      </c>
      <c r="BN37" s="80">
        <f>+지급비율!BD21*$I37</f>
        <v>2365440.0000000005</v>
      </c>
      <c r="BO37" s="80">
        <v>0</v>
      </c>
      <c r="BP37" s="441">
        <f t="shared" si="29"/>
        <v>2365440.0000000005</v>
      </c>
      <c r="BQ37" s="81"/>
      <c r="BR37" s="74"/>
      <c r="BS37" s="74" t="b">
        <f>+Q37+X37+AE37+AS37+AZ37+BG37+BN37=I37</f>
        <v>1</v>
      </c>
      <c r="BT37" s="74" t="b">
        <f>+R37+Y37+AF37+AT37+BA37+BH37+BO37=K37</f>
        <v>1</v>
      </c>
      <c r="BU37" s="74" t="b">
        <f>+BG37+BG38+AZ37+AZ38+AS37+AS38+AE37+AE38+X37+X38+Q37+Q38+BN37+BN38=([5]지급비율!$F$21+[5]지급비율!$F$22)*1.1*D36/1000</f>
        <v>1</v>
      </c>
      <c r="BV37" s="54"/>
      <c r="BW37" s="54"/>
      <c r="BX37" s="54"/>
      <c r="BY37" s="54"/>
      <c r="BZ37" s="54"/>
      <c r="CA37" s="54"/>
      <c r="CB37" s="54"/>
      <c r="CC37" s="54"/>
      <c r="CD37" s="58"/>
      <c r="CE37" s="58"/>
    </row>
    <row r="38" spans="1:83" ht="16.5" customHeight="1">
      <c r="A38" s="62"/>
      <c r="B38" s="1322"/>
      <c r="C38" s="1531"/>
      <c r="D38" s="1344"/>
      <c r="E38" s="1324"/>
      <c r="F38" s="75" t="s">
        <v>390</v>
      </c>
      <c r="G38" s="76">
        <f>+지급비율!F22*$D$36/1000</f>
        <v>14336000.000000002</v>
      </c>
      <c r="H38" s="76">
        <f>+G38*10%</f>
        <v>1433600.0000000002</v>
      </c>
      <c r="I38" s="76">
        <f>SUM(G38:H38)</f>
        <v>15769600.000000002</v>
      </c>
      <c r="J38" s="75">
        <f t="shared" si="0"/>
        <v>0.40502232142857136</v>
      </c>
      <c r="K38" s="80">
        <f t="shared" si="34"/>
        <v>6387040</v>
      </c>
      <c r="L38" s="80">
        <f>+I38-K38</f>
        <v>9382560.0000000019</v>
      </c>
      <c r="M38" s="1332"/>
      <c r="N38" s="78">
        <f>+O38</f>
        <v>45705</v>
      </c>
      <c r="O38" s="78">
        <f>O37</f>
        <v>45705</v>
      </c>
      <c r="P38" s="79">
        <f>+IFERROR(Q38/$I38,"-")</f>
        <v>0.2</v>
      </c>
      <c r="Q38" s="80">
        <f>+지급비율!G22*$I38</f>
        <v>3153920.0000000005</v>
      </c>
      <c r="R38" s="80">
        <v>3153920.0000000005</v>
      </c>
      <c r="S38" s="81">
        <f t="shared" si="1"/>
        <v>0</v>
      </c>
      <c r="T38" s="78"/>
      <c r="U38" s="78">
        <v>45820</v>
      </c>
      <c r="V38" s="78">
        <v>45820</v>
      </c>
      <c r="W38" s="79">
        <f>+IFERROR(X38/$I38,"-")</f>
        <v>0.2</v>
      </c>
      <c r="X38" s="80">
        <f>+지급비율!N22*$I38</f>
        <v>3153920.0000000005</v>
      </c>
      <c r="Y38" s="80">
        <v>3233120</v>
      </c>
      <c r="Z38" s="81">
        <f t="shared" si="20"/>
        <v>-79199.999999999534</v>
      </c>
      <c r="AA38" s="78"/>
      <c r="AB38" s="402">
        <v>46022</v>
      </c>
      <c r="AC38" s="286"/>
      <c r="AD38" s="412">
        <f>+IFERROR(AE38/$I38,"-")</f>
        <v>0.5</v>
      </c>
      <c r="AE38" s="290">
        <f>+지급비율!U22*$I38</f>
        <v>7884800.0000000009</v>
      </c>
      <c r="AF38" s="290">
        <v>0</v>
      </c>
      <c r="AG38" s="414">
        <f t="shared" si="22"/>
        <v>7884800.0000000009</v>
      </c>
      <c r="AH38" s="72"/>
      <c r="AI38" s="78"/>
      <c r="AJ38" s="79"/>
      <c r="AK38" s="444">
        <f>+IFERROR(AL38/$I38,"-")</f>
        <v>0</v>
      </c>
      <c r="AL38" s="80">
        <f>+지급비율!AB22*$I38</f>
        <v>0</v>
      </c>
      <c r="AM38" s="80">
        <v>0</v>
      </c>
      <c r="AN38" s="441">
        <f t="shared" si="24"/>
        <v>0</v>
      </c>
      <c r="AO38" s="72"/>
      <c r="AP38" s="78"/>
      <c r="AQ38" s="79"/>
      <c r="AR38" s="444">
        <f>+IFERROR(AS38/$I38,"-")</f>
        <v>0</v>
      </c>
      <c r="AS38" s="80">
        <f>+지급비율!AI22*$I38</f>
        <v>0</v>
      </c>
      <c r="AT38" s="80">
        <v>0</v>
      </c>
      <c r="AU38" s="441">
        <f t="shared" si="26"/>
        <v>0</v>
      </c>
      <c r="AV38" s="72"/>
      <c r="AW38" s="78"/>
      <c r="AX38" s="79"/>
      <c r="AY38" s="444">
        <f>+IFERROR(AZ38/$I38,"-")</f>
        <v>0</v>
      </c>
      <c r="AZ38" s="80">
        <f>+지급비율!AP22*$I38</f>
        <v>0</v>
      </c>
      <c r="BA38" s="80">
        <v>0</v>
      </c>
      <c r="BB38" s="441">
        <f t="shared" si="27"/>
        <v>0</v>
      </c>
      <c r="BC38" s="72"/>
      <c r="BD38" s="72"/>
      <c r="BE38" s="79"/>
      <c r="BF38" s="444">
        <f>+IFERROR(BG38/$I38,"-")</f>
        <v>0</v>
      </c>
      <c r="BG38" s="80">
        <f>+지급비율!AW22*$I38</f>
        <v>0</v>
      </c>
      <c r="BH38" s="80">
        <v>0</v>
      </c>
      <c r="BI38" s="441">
        <f t="shared" si="28"/>
        <v>0</v>
      </c>
      <c r="BJ38" s="78"/>
      <c r="BK38" s="78">
        <v>46112</v>
      </c>
      <c r="BL38" s="79"/>
      <c r="BM38" s="444">
        <f>+IFERROR(BN38/$I38,"-")</f>
        <v>0.1</v>
      </c>
      <c r="BN38" s="80">
        <f>+지급비율!BD22*$I38</f>
        <v>1576960.0000000002</v>
      </c>
      <c r="BO38" s="80">
        <v>0</v>
      </c>
      <c r="BP38" s="441">
        <f t="shared" si="29"/>
        <v>1576960.0000000002</v>
      </c>
      <c r="BQ38" s="81"/>
      <c r="BR38" s="74"/>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22"/>
      <c r="C39" s="1531"/>
      <c r="D39" s="1344"/>
      <c r="E39" s="1324"/>
      <c r="F39" s="101" t="s">
        <v>391</v>
      </c>
      <c r="G39" s="102">
        <f>+지급비율!F23*$D$36/1000</f>
        <v>14336000.000000002</v>
      </c>
      <c r="H39" s="102">
        <f>+G39*0.1</f>
        <v>1433600.0000000002</v>
      </c>
      <c r="I39" s="102">
        <f>SUM(G39:H39)</f>
        <v>15769600.000000002</v>
      </c>
      <c r="J39" s="101">
        <f t="shared" si="0"/>
        <v>0</v>
      </c>
      <c r="K39" s="106">
        <f t="shared" si="34"/>
        <v>0</v>
      </c>
      <c r="L39" s="106">
        <f>+I39-K39</f>
        <v>15769600.000000002</v>
      </c>
      <c r="M39" s="1333"/>
      <c r="N39" s="101"/>
      <c r="O39" s="105"/>
      <c r="P39" s="79">
        <f>+IFERROR(Q39/$I39,"-")</f>
        <v>0</v>
      </c>
      <c r="Q39" s="106">
        <f>+지급비율!G23*$I39</f>
        <v>0</v>
      </c>
      <c r="R39" s="106"/>
      <c r="S39" s="81">
        <f t="shared" si="1"/>
        <v>0</v>
      </c>
      <c r="T39" s="85"/>
      <c r="U39" s="101"/>
      <c r="V39" s="101"/>
      <c r="W39" s="79">
        <f>+IFERROR(X39/$I39,"-")</f>
        <v>0</v>
      </c>
      <c r="X39" s="106">
        <f>+지급비율!N23*$I39</f>
        <v>0</v>
      </c>
      <c r="Y39" s="106"/>
      <c r="Z39" s="81">
        <f t="shared" si="20"/>
        <v>0</v>
      </c>
      <c r="AA39" s="85"/>
      <c r="AB39" s="101"/>
      <c r="AC39" s="105"/>
      <c r="AD39" s="442">
        <f>+IFERROR(AE39/$I39,"-")</f>
        <v>0</v>
      </c>
      <c r="AE39" s="106">
        <f>+지급비율!U23*$I39</f>
        <v>0</v>
      </c>
      <c r="AF39" s="106"/>
      <c r="AG39" s="408">
        <f t="shared" si="22"/>
        <v>0</v>
      </c>
      <c r="AH39" s="85"/>
      <c r="AI39" s="101"/>
      <c r="AJ39" s="105"/>
      <c r="AK39" s="411">
        <f>+IFERROR(AL39/$I39,"-")</f>
        <v>0</v>
      </c>
      <c r="AL39" s="106">
        <f>+지급비율!AB23*$I39</f>
        <v>0</v>
      </c>
      <c r="AM39" s="106"/>
      <c r="AN39" s="408">
        <f t="shared" si="24"/>
        <v>0</v>
      </c>
      <c r="AO39" s="85"/>
      <c r="AP39" s="101"/>
      <c r="AQ39" s="105"/>
      <c r="AR39" s="411">
        <f>+IFERROR(AS39/$I39,"-")</f>
        <v>0</v>
      </c>
      <c r="AS39" s="106">
        <f>+지급비율!AI23*$I39</f>
        <v>0</v>
      </c>
      <c r="AT39" s="106"/>
      <c r="AU39" s="408">
        <f t="shared" si="26"/>
        <v>0</v>
      </c>
      <c r="AV39" s="85"/>
      <c r="AW39" s="101"/>
      <c r="AX39" s="105"/>
      <c r="AY39" s="411">
        <f>+IFERROR(AZ39/$I39,"-")</f>
        <v>0</v>
      </c>
      <c r="AZ39" s="106">
        <f>+지급비율!AP23*$I39</f>
        <v>0</v>
      </c>
      <c r="BA39" s="106"/>
      <c r="BB39" s="408">
        <f t="shared" si="27"/>
        <v>0</v>
      </c>
      <c r="BC39" s="85"/>
      <c r="BD39" s="101"/>
      <c r="BE39" s="105"/>
      <c r="BF39" s="411">
        <f>+IFERROR(BG39/$I39,"-")</f>
        <v>0</v>
      </c>
      <c r="BG39" s="106">
        <f>+지급비율!AW23*$I39</f>
        <v>0</v>
      </c>
      <c r="BH39" s="106"/>
      <c r="BI39" s="408">
        <f t="shared" si="28"/>
        <v>0</v>
      </c>
      <c r="BJ39" s="104"/>
      <c r="BK39" s="78">
        <v>46112</v>
      </c>
      <c r="BL39" s="105"/>
      <c r="BM39" s="411">
        <f>+IFERROR(BN39/$I39,"-")</f>
        <v>1</v>
      </c>
      <c r="BN39" s="106">
        <f>+지급비율!BD23*$I39</f>
        <v>15769600.000000002</v>
      </c>
      <c r="BO39" s="106"/>
      <c r="BP39" s="408">
        <f t="shared" si="29"/>
        <v>15769600.000000002</v>
      </c>
      <c r="BQ39" s="101"/>
      <c r="BR39" s="89"/>
      <c r="BS39" s="89" t="b">
        <f>+Q39+X39+AE39+AS39+AZ39+BG39+BN39=I39</f>
        <v>1</v>
      </c>
      <c r="BT39" s="90" t="b">
        <f>+R39+Y39+AF39+AT39+BA39+BH39+BO39=K39</f>
        <v>1</v>
      </c>
      <c r="BU39" s="89"/>
      <c r="BV39" s="54"/>
      <c r="BW39" s="54"/>
      <c r="BX39" s="54"/>
      <c r="BY39" s="54"/>
      <c r="BZ39" s="54"/>
      <c r="CA39" s="54"/>
      <c r="CB39" s="54"/>
      <c r="CC39" s="54"/>
      <c r="CD39" s="58"/>
      <c r="CE39" s="58"/>
    </row>
    <row r="40" spans="1:83" ht="16.5" customHeight="1">
      <c r="A40" s="62"/>
      <c r="B40" s="1322"/>
      <c r="C40" s="1531"/>
      <c r="D40" s="1345"/>
      <c r="E40" s="1324"/>
      <c r="F40" s="91" t="s">
        <v>392</v>
      </c>
      <c r="G40" s="92">
        <f>SUM(G36:G39)</f>
        <v>129024000</v>
      </c>
      <c r="H40" s="92">
        <f>SUM(H36:H39)</f>
        <v>12902400</v>
      </c>
      <c r="I40" s="92">
        <f>SUM(I36:I39)</f>
        <v>141926400</v>
      </c>
      <c r="J40" s="91">
        <f t="shared" si="0"/>
        <v>0.11166914682539683</v>
      </c>
      <c r="K40" s="92">
        <f>SUM(K36:K39)</f>
        <v>15848800</v>
      </c>
      <c r="L40" s="92">
        <f>SUM(L36:L39)</f>
        <v>126077600</v>
      </c>
      <c r="M40" s="419">
        <f>+AE37+AE38</f>
        <v>19712000.000000004</v>
      </c>
      <c r="N40" s="91"/>
      <c r="O40" s="94"/>
      <c r="P40" s="92">
        <f>+IFERROR(Q40/'[9]Dropped Project'!$K40,"-")</f>
        <v>0.10666666666666669</v>
      </c>
      <c r="Q40" s="92">
        <f>SUM(Q36:Q39)</f>
        <v>7884800.0000000019</v>
      </c>
      <c r="R40" s="170">
        <f>SUM(R36:R39)</f>
        <v>7884800.0000000019</v>
      </c>
      <c r="S40" s="92">
        <f t="shared" si="1"/>
        <v>0</v>
      </c>
      <c r="T40" s="93"/>
      <c r="U40" s="91"/>
      <c r="V40" s="91"/>
      <c r="W40" s="92">
        <f>+IFERROR(X40/'[9]Dropped Project'!$K40,"-")</f>
        <v>0.10666666666666669</v>
      </c>
      <c r="X40" s="92">
        <f>SUM(X36:X39)</f>
        <v>7884800.0000000019</v>
      </c>
      <c r="Y40" s="170">
        <f>SUM(Y36:Y39)</f>
        <v>7964000</v>
      </c>
      <c r="Z40" s="92">
        <f t="shared" si="20"/>
        <v>-79199.999999998137</v>
      </c>
      <c r="AA40" s="93"/>
      <c r="AB40" s="91"/>
      <c r="AC40" s="94"/>
      <c r="AD40" s="443">
        <f>+IFERROR(AE40/'[9]Dropped Project'!$K40,"-")</f>
        <v>0.85333333333333339</v>
      </c>
      <c r="AE40" s="92">
        <f>SUM(AE36:AE39)</f>
        <v>63078400</v>
      </c>
      <c r="AF40" s="92">
        <f>SUM(AF36:AF39)</f>
        <v>0</v>
      </c>
      <c r="AG40" s="92">
        <f t="shared" si="22"/>
        <v>63078400</v>
      </c>
      <c r="AH40" s="93"/>
      <c r="AI40" s="91"/>
      <c r="AJ40" s="94"/>
      <c r="AK40" s="445">
        <f>+IFERROR(AL40/'[9]Dropped Project'!$K40,"-")</f>
        <v>0</v>
      </c>
      <c r="AL40" s="92">
        <f>SUM(AL36:AL39)</f>
        <v>0</v>
      </c>
      <c r="AM40" s="92">
        <f>SUM(AM36:AM39)</f>
        <v>0</v>
      </c>
      <c r="AN40" s="92">
        <f t="shared" si="24"/>
        <v>0</v>
      </c>
      <c r="AO40" s="93"/>
      <c r="AP40" s="91"/>
      <c r="AQ40" s="94"/>
      <c r="AR40" s="445">
        <f>+IFERROR(AS40/'[9]Dropped Project'!$K40,"-")</f>
        <v>0</v>
      </c>
      <c r="AS40" s="92">
        <f>SUM(AS36:AS39)</f>
        <v>0</v>
      </c>
      <c r="AT40" s="92">
        <f>SUM(AT36:AT39)</f>
        <v>0</v>
      </c>
      <c r="AU40" s="92">
        <f t="shared" si="26"/>
        <v>0</v>
      </c>
      <c r="AV40" s="93"/>
      <c r="AW40" s="91"/>
      <c r="AX40" s="94"/>
      <c r="AY40" s="445">
        <f>+IFERROR(AZ40/'[9]Dropped Project'!$K40,"-")</f>
        <v>0</v>
      </c>
      <c r="AZ40" s="92">
        <f>SUM(AZ36:AZ39)</f>
        <v>0</v>
      </c>
      <c r="BA40" s="92">
        <f>SUM(BA36:BA39)</f>
        <v>0</v>
      </c>
      <c r="BB40" s="92">
        <f t="shared" si="27"/>
        <v>0</v>
      </c>
      <c r="BC40" s="93"/>
      <c r="BD40" s="91"/>
      <c r="BE40" s="94"/>
      <c r="BF40" s="445">
        <f>+IFERROR(BG40/'[9]Dropped Project'!$K40,"-")</f>
        <v>0.46933333333333332</v>
      </c>
      <c r="BG40" s="92">
        <f>SUM(BG36:BG39)</f>
        <v>34693120</v>
      </c>
      <c r="BH40" s="92">
        <f>SUM(BH36:BH39)</f>
        <v>0</v>
      </c>
      <c r="BI40" s="92">
        <f t="shared" si="28"/>
        <v>34693120</v>
      </c>
      <c r="BJ40" s="93"/>
      <c r="BK40" s="91"/>
      <c r="BL40" s="94"/>
      <c r="BM40" s="445">
        <f>+IFERROR(BN40/'[9]Dropped Project'!$K40,"-")</f>
        <v>0.38400000000000001</v>
      </c>
      <c r="BN40" s="92">
        <f>SUM(BN36:BN39)</f>
        <v>28385280</v>
      </c>
      <c r="BO40" s="92">
        <f>SUM(BO36:BO39)</f>
        <v>0</v>
      </c>
      <c r="BP40" s="92">
        <f t="shared" si="29"/>
        <v>28385280</v>
      </c>
      <c r="BQ40" s="91"/>
      <c r="BR40" s="96"/>
      <c r="BS40" s="96"/>
      <c r="BT40" s="139"/>
      <c r="BU40" s="399"/>
      <c r="BV40" s="54"/>
      <c r="BW40" s="54"/>
      <c r="BX40" s="54"/>
      <c r="BY40" s="54"/>
      <c r="BZ40" s="54"/>
      <c r="CA40" s="54"/>
      <c r="CB40" s="54"/>
      <c r="CC40" s="54"/>
      <c r="CD40" s="58"/>
      <c r="CE40" s="58"/>
    </row>
    <row r="41" spans="1:83" ht="16.5" customHeight="1">
      <c r="A41" s="62"/>
      <c r="B41" s="1322">
        <f t="shared" ref="B41" si="35">+B36+1</f>
        <v>7</v>
      </c>
      <c r="C41" s="1531" t="s">
        <v>941</v>
      </c>
      <c r="D41" s="1343">
        <v>38.4</v>
      </c>
      <c r="E41" s="1324" t="s">
        <v>888</v>
      </c>
      <c r="F41" s="63" t="s">
        <v>388</v>
      </c>
      <c r="G41" s="406">
        <f>+지급비율!F20*$D$41/1000</f>
        <v>42240000</v>
      </c>
      <c r="H41" s="64">
        <f>+G41*10%</f>
        <v>4224000</v>
      </c>
      <c r="I41" s="64">
        <f>SUM(G41:H41)</f>
        <v>46464000</v>
      </c>
      <c r="J41" s="63">
        <f t="shared" si="0"/>
        <v>0</v>
      </c>
      <c r="K41" s="134">
        <f>+IFERROR(R41+Y41+AF41+AM41+BA41+BH41,"-")</f>
        <v>0</v>
      </c>
      <c r="L41" s="134">
        <f>+I41-K41</f>
        <v>46464000</v>
      </c>
      <c r="M41" s="1331" t="s">
        <v>265</v>
      </c>
      <c r="N41" s="160"/>
      <c r="O41" s="135"/>
      <c r="P41" s="79">
        <f>+IFERROR(Q41/$I41,"-")</f>
        <v>0</v>
      </c>
      <c r="Q41" s="134">
        <f>+지급비율!G20*$I41</f>
        <v>0</v>
      </c>
      <c r="R41" s="134"/>
      <c r="S41" s="145">
        <f t="shared" si="1"/>
        <v>0</v>
      </c>
      <c r="T41" s="67"/>
      <c r="U41" s="160"/>
      <c r="V41" s="160"/>
      <c r="W41" s="79">
        <f>+IFERROR(X41/$I41,"-")</f>
        <v>0</v>
      </c>
      <c r="X41" s="134">
        <f>+지급비율!N20*$I41</f>
        <v>0</v>
      </c>
      <c r="Y41" s="134"/>
      <c r="Z41" s="145">
        <f t="shared" si="20"/>
        <v>0</v>
      </c>
      <c r="AA41" s="67"/>
      <c r="AB41" s="160">
        <f>+EDATE(AI41,2)</f>
        <v>46051</v>
      </c>
      <c r="AC41" s="135"/>
      <c r="AD41" s="442">
        <f>+IFERROR(AE41/$I41,"-")</f>
        <v>0.5</v>
      </c>
      <c r="AE41" s="134">
        <f>+지급비율!U20*$I41</f>
        <v>23232000</v>
      </c>
      <c r="AF41" s="134">
        <v>0</v>
      </c>
      <c r="AG41" s="407">
        <f t="shared" si="22"/>
        <v>23232000</v>
      </c>
      <c r="AH41" s="67"/>
      <c r="AI41" s="160">
        <f>+EDATE(AP41,-1)</f>
        <v>45990</v>
      </c>
      <c r="AJ41" s="135"/>
      <c r="AK41" s="411">
        <f>+IFERROR(AL41/$I41,"-")</f>
        <v>0</v>
      </c>
      <c r="AL41" s="134">
        <f>+지급비율!AB20*$I41</f>
        <v>0</v>
      </c>
      <c r="AM41" s="134">
        <v>0</v>
      </c>
      <c r="AN41" s="407">
        <f t="shared" si="24"/>
        <v>0</v>
      </c>
      <c r="AO41" s="67"/>
      <c r="AP41" s="160">
        <f>+EDATE(AW41,-1)+1</f>
        <v>46020</v>
      </c>
      <c r="AQ41" s="135"/>
      <c r="AR41" s="411">
        <f>+IFERROR(AS41/$I41,"-")</f>
        <v>0</v>
      </c>
      <c r="AS41" s="134">
        <f>+지급비율!AI20*$I41</f>
        <v>0</v>
      </c>
      <c r="AT41" s="134">
        <v>0</v>
      </c>
      <c r="AU41" s="407">
        <f t="shared" si="26"/>
        <v>0</v>
      </c>
      <c r="AV41" s="67"/>
      <c r="AW41" s="160">
        <f>+EDATE(BD41,-1)</f>
        <v>46050</v>
      </c>
      <c r="AX41" s="135"/>
      <c r="AY41" s="411">
        <f>+IFERROR(AZ41/$I41,"-")</f>
        <v>0</v>
      </c>
      <c r="AZ41" s="134">
        <f>+지급비율!AP20*$I41</f>
        <v>0</v>
      </c>
      <c r="BA41" s="134">
        <v>0</v>
      </c>
      <c r="BB41" s="407">
        <f t="shared" si="27"/>
        <v>0</v>
      </c>
      <c r="BC41" s="67"/>
      <c r="BD41" s="160">
        <f>+EDATE(BK41,-1)</f>
        <v>46081</v>
      </c>
      <c r="BE41" s="135"/>
      <c r="BF41" s="411">
        <f>+IFERROR(BG41/$I41,"-")</f>
        <v>0.4</v>
      </c>
      <c r="BG41" s="134">
        <f>+지급비율!AW20*$I41</f>
        <v>18585600</v>
      </c>
      <c r="BH41" s="134">
        <v>0</v>
      </c>
      <c r="BI41" s="407">
        <f t="shared" si="28"/>
        <v>18585600</v>
      </c>
      <c r="BJ41" s="78"/>
      <c r="BK41" s="160">
        <v>46112</v>
      </c>
      <c r="BL41" s="79"/>
      <c r="BM41" s="411">
        <f>+IFERROR(BN41/$I41,"-")</f>
        <v>0.1</v>
      </c>
      <c r="BN41" s="134">
        <f>+지급비율!BD20*$I41</f>
        <v>4646400</v>
      </c>
      <c r="BO41" s="134">
        <v>0</v>
      </c>
      <c r="BP41" s="407">
        <f t="shared" si="29"/>
        <v>4646400</v>
      </c>
      <c r="BQ41" s="145"/>
      <c r="BR41" s="74"/>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22"/>
      <c r="C42" s="1531"/>
      <c r="D42" s="1344"/>
      <c r="E42" s="1324"/>
      <c r="F42" s="75" t="s">
        <v>389</v>
      </c>
      <c r="G42" s="76">
        <f>+지급비율!F21*$D$41/1000</f>
        <v>11520000</v>
      </c>
      <c r="H42" s="76">
        <f>+G42*10%</f>
        <v>1152000</v>
      </c>
      <c r="I42" s="76">
        <f>SUM(G42:H42)</f>
        <v>12672000</v>
      </c>
      <c r="J42" s="75">
        <f t="shared" si="0"/>
        <v>0.4</v>
      </c>
      <c r="K42" s="80">
        <f t="shared" ref="K42:K44" si="36">+IFERROR(R42+Y42+AF42+AM42+BA42+BH42,"-")</f>
        <v>5068800</v>
      </c>
      <c r="L42" s="80">
        <f>+I42-K42</f>
        <v>7603200</v>
      </c>
      <c r="M42" s="1332"/>
      <c r="N42" s="78">
        <f>+O42</f>
        <v>45705</v>
      </c>
      <c r="O42" s="78">
        <v>45705</v>
      </c>
      <c r="P42" s="79">
        <f>+IFERROR(Q42/$I42,"-")</f>
        <v>0.2</v>
      </c>
      <c r="Q42" s="80">
        <f>+지급비율!G21*$I42</f>
        <v>2534400</v>
      </c>
      <c r="R42" s="80">
        <v>2534400</v>
      </c>
      <c r="S42" s="81">
        <f t="shared" si="1"/>
        <v>0</v>
      </c>
      <c r="T42" s="78"/>
      <c r="U42" s="78">
        <v>45820</v>
      </c>
      <c r="V42" s="78">
        <v>45820</v>
      </c>
      <c r="W42" s="79">
        <f>+IFERROR(X42/$I42,"-")</f>
        <v>0.2</v>
      </c>
      <c r="X42" s="80">
        <f>+지급비율!N21*$I42</f>
        <v>2534400</v>
      </c>
      <c r="Y42" s="80">
        <v>2534400</v>
      </c>
      <c r="Z42" s="81">
        <f t="shared" si="20"/>
        <v>0</v>
      </c>
      <c r="AA42" s="78"/>
      <c r="AB42" s="402">
        <v>46022</v>
      </c>
      <c r="AC42" s="286"/>
      <c r="AD42" s="412">
        <f>+IFERROR(AE42/$I42,"-")</f>
        <v>0.5</v>
      </c>
      <c r="AE42" s="290">
        <f>+지급비율!U21*$I42</f>
        <v>6336000</v>
      </c>
      <c r="AF42" s="290">
        <v>0</v>
      </c>
      <c r="AG42" s="414">
        <f t="shared" si="22"/>
        <v>6336000</v>
      </c>
      <c r="AH42" s="78"/>
      <c r="AI42" s="78"/>
      <c r="AJ42" s="79"/>
      <c r="AK42" s="444">
        <f>+IFERROR(AL42/$I42,"-")</f>
        <v>0</v>
      </c>
      <c r="AL42" s="80">
        <f>+지급비율!AB21*$I42</f>
        <v>0</v>
      </c>
      <c r="AM42" s="80">
        <v>0</v>
      </c>
      <c r="AN42" s="441">
        <f t="shared" si="24"/>
        <v>0</v>
      </c>
      <c r="AO42" s="78"/>
      <c r="AP42" s="78"/>
      <c r="AQ42" s="79"/>
      <c r="AR42" s="444">
        <f>+IFERROR(AS42/$I42,"-")</f>
        <v>0</v>
      </c>
      <c r="AS42" s="80">
        <f>+지급비율!AI21*$I42</f>
        <v>0</v>
      </c>
      <c r="AT42" s="80">
        <v>0</v>
      </c>
      <c r="AU42" s="441">
        <f t="shared" si="26"/>
        <v>0</v>
      </c>
      <c r="AV42" s="78"/>
      <c r="AW42" s="78"/>
      <c r="AX42" s="79"/>
      <c r="AY42" s="444">
        <f>+IFERROR(AZ42/$I42,"-")</f>
        <v>0</v>
      </c>
      <c r="AZ42" s="80">
        <f>+지급비율!AP21*$I42</f>
        <v>0</v>
      </c>
      <c r="BA42" s="80">
        <v>0</v>
      </c>
      <c r="BB42" s="441">
        <f t="shared" si="27"/>
        <v>0</v>
      </c>
      <c r="BC42" s="78"/>
      <c r="BD42" s="78"/>
      <c r="BE42" s="79"/>
      <c r="BF42" s="444">
        <f>+IFERROR(BG42/$I42,"-")</f>
        <v>0</v>
      </c>
      <c r="BG42" s="80">
        <f>+지급비율!AW21*$I42</f>
        <v>0</v>
      </c>
      <c r="BH42" s="80">
        <v>0</v>
      </c>
      <c r="BI42" s="441">
        <f t="shared" si="28"/>
        <v>0</v>
      </c>
      <c r="BJ42" s="78"/>
      <c r="BK42" s="78">
        <v>46112</v>
      </c>
      <c r="BL42" s="79"/>
      <c r="BM42" s="444">
        <f>+IFERROR(BN42/$I42,"-")</f>
        <v>0.1</v>
      </c>
      <c r="BN42" s="80">
        <f>+지급비율!BD21*$I42</f>
        <v>1267200</v>
      </c>
      <c r="BO42" s="80">
        <v>0</v>
      </c>
      <c r="BP42" s="441">
        <f t="shared" si="29"/>
        <v>1267200</v>
      </c>
      <c r="BQ42" s="81"/>
      <c r="BR42" s="74"/>
      <c r="BS42" s="74" t="b">
        <f>+Q42+X42+AE42+AS42+AZ42+BG42+BN42=I42</f>
        <v>1</v>
      </c>
      <c r="BT42" s="74" t="b">
        <f>+R42+Y42+AF42+AT42+BA42+BH42+BO42=K42</f>
        <v>1</v>
      </c>
      <c r="BU42" s="74" t="b">
        <f>+BG42+BG43+AZ42+AZ43+AS42+AS43+AE42+AE43+X42+X43+Q42+Q43+BN42+BN43=([5]지급비율!$F$21+[5]지급비율!$F$22)*1.1*D41/1000</f>
        <v>1</v>
      </c>
      <c r="BV42" s="54"/>
      <c r="BW42" s="54"/>
      <c r="BX42" s="54"/>
      <c r="BY42" s="54"/>
      <c r="BZ42" s="54"/>
      <c r="CA42" s="54"/>
      <c r="CB42" s="54"/>
      <c r="CC42" s="54"/>
      <c r="CD42" s="58"/>
      <c r="CE42" s="58"/>
    </row>
    <row r="43" spans="1:83" ht="16.5" customHeight="1">
      <c r="A43" s="62"/>
      <c r="B43" s="1322"/>
      <c r="C43" s="1531"/>
      <c r="D43" s="1344"/>
      <c r="E43" s="1324"/>
      <c r="F43" s="75" t="s">
        <v>390</v>
      </c>
      <c r="G43" s="76">
        <f>+지급비율!F22*$D$41/1000</f>
        <v>7680000</v>
      </c>
      <c r="H43" s="76">
        <f>+G43*10%</f>
        <v>768000</v>
      </c>
      <c r="I43" s="76">
        <f>SUM(G43:H43)</f>
        <v>8448000</v>
      </c>
      <c r="J43" s="75">
        <f t="shared" si="0"/>
        <v>0.4</v>
      </c>
      <c r="K43" s="80">
        <f t="shared" si="36"/>
        <v>3379200</v>
      </c>
      <c r="L43" s="80">
        <f>+I43-K43</f>
        <v>5068800</v>
      </c>
      <c r="M43" s="1332"/>
      <c r="N43" s="78">
        <f>+O43</f>
        <v>45705</v>
      </c>
      <c r="O43" s="78">
        <f>O42</f>
        <v>45705</v>
      </c>
      <c r="P43" s="79">
        <f>+IFERROR(Q43/$I43,"-")</f>
        <v>0.2</v>
      </c>
      <c r="Q43" s="80">
        <f>+지급비율!G22*$I43</f>
        <v>1689600</v>
      </c>
      <c r="R43" s="80">
        <v>1689600</v>
      </c>
      <c r="S43" s="81">
        <f t="shared" si="1"/>
        <v>0</v>
      </c>
      <c r="T43" s="78"/>
      <c r="U43" s="78">
        <v>45820</v>
      </c>
      <c r="V43" s="78">
        <v>45820</v>
      </c>
      <c r="W43" s="79">
        <f>+IFERROR(X43/$I43,"-")</f>
        <v>0.2</v>
      </c>
      <c r="X43" s="80">
        <f>+지급비율!N22*$I43</f>
        <v>1689600</v>
      </c>
      <c r="Y43" s="80">
        <v>1689600</v>
      </c>
      <c r="Z43" s="81">
        <f t="shared" si="20"/>
        <v>0</v>
      </c>
      <c r="AA43" s="78"/>
      <c r="AB43" s="402">
        <v>46022</v>
      </c>
      <c r="AC43" s="286"/>
      <c r="AD43" s="412">
        <f>+IFERROR(AE43/$I43,"-")</f>
        <v>0.5</v>
      </c>
      <c r="AE43" s="290">
        <f>+지급비율!U22*$I43</f>
        <v>4224000</v>
      </c>
      <c r="AF43" s="290">
        <v>0</v>
      </c>
      <c r="AG43" s="414">
        <f t="shared" si="22"/>
        <v>4224000</v>
      </c>
      <c r="AH43" s="72"/>
      <c r="AI43" s="78"/>
      <c r="AJ43" s="79"/>
      <c r="AK43" s="444">
        <f>+IFERROR(AL43/$I43,"-")</f>
        <v>0</v>
      </c>
      <c r="AL43" s="80">
        <f>+지급비율!AB22*$I43</f>
        <v>0</v>
      </c>
      <c r="AM43" s="80">
        <v>0</v>
      </c>
      <c r="AN43" s="441">
        <f t="shared" si="24"/>
        <v>0</v>
      </c>
      <c r="AO43" s="72"/>
      <c r="AP43" s="78"/>
      <c r="AQ43" s="79"/>
      <c r="AR43" s="444">
        <f>+IFERROR(AS43/$I43,"-")</f>
        <v>0</v>
      </c>
      <c r="AS43" s="80">
        <f>+지급비율!AI22*$I43</f>
        <v>0</v>
      </c>
      <c r="AT43" s="80">
        <v>0</v>
      </c>
      <c r="AU43" s="441">
        <f t="shared" si="26"/>
        <v>0</v>
      </c>
      <c r="AV43" s="72"/>
      <c r="AW43" s="78"/>
      <c r="AX43" s="79"/>
      <c r="AY43" s="444">
        <f>+IFERROR(AZ43/$I43,"-")</f>
        <v>0</v>
      </c>
      <c r="AZ43" s="80">
        <f>+지급비율!AP22*$I43</f>
        <v>0</v>
      </c>
      <c r="BA43" s="80">
        <v>0</v>
      </c>
      <c r="BB43" s="441">
        <f t="shared" si="27"/>
        <v>0</v>
      </c>
      <c r="BC43" s="72"/>
      <c r="BD43" s="72"/>
      <c r="BE43" s="79"/>
      <c r="BF43" s="444">
        <f>+IFERROR(BG43/$I43,"-")</f>
        <v>0</v>
      </c>
      <c r="BG43" s="80">
        <f>+지급비율!AW22*$I43</f>
        <v>0</v>
      </c>
      <c r="BH43" s="80">
        <v>0</v>
      </c>
      <c r="BI43" s="441">
        <f t="shared" si="28"/>
        <v>0</v>
      </c>
      <c r="BJ43" s="78"/>
      <c r="BK43" s="78">
        <v>46112</v>
      </c>
      <c r="BL43" s="79"/>
      <c r="BM43" s="444">
        <f>+IFERROR(BN43/$I43,"-")</f>
        <v>0.1</v>
      </c>
      <c r="BN43" s="80">
        <f>+지급비율!BD22*$I43</f>
        <v>844800</v>
      </c>
      <c r="BO43" s="80">
        <v>0</v>
      </c>
      <c r="BP43" s="441">
        <f t="shared" si="29"/>
        <v>844800</v>
      </c>
      <c r="BQ43" s="81"/>
      <c r="BR43" s="74"/>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22"/>
      <c r="C44" s="1531"/>
      <c r="D44" s="1344"/>
      <c r="E44" s="1324"/>
      <c r="F44" s="101" t="s">
        <v>391</v>
      </c>
      <c r="G44" s="102">
        <f>+지급비율!F23*$D$41/1000</f>
        <v>7680000</v>
      </c>
      <c r="H44" s="102">
        <f>+G44*0.1</f>
        <v>768000</v>
      </c>
      <c r="I44" s="102">
        <f>SUM(G44:H44)</f>
        <v>8448000</v>
      </c>
      <c r="J44" s="101">
        <f t="shared" si="0"/>
        <v>0</v>
      </c>
      <c r="K44" s="106">
        <f t="shared" si="36"/>
        <v>0</v>
      </c>
      <c r="L44" s="106">
        <f>+I44-K44</f>
        <v>8448000</v>
      </c>
      <c r="M44" s="1333"/>
      <c r="N44" s="101"/>
      <c r="O44" s="105"/>
      <c r="P44" s="79">
        <f>+IFERROR(Q44/$I44,"-")</f>
        <v>0</v>
      </c>
      <c r="Q44" s="106">
        <f>+지급비율!G23*$I44</f>
        <v>0</v>
      </c>
      <c r="R44" s="106"/>
      <c r="S44" s="81">
        <f t="shared" si="1"/>
        <v>0</v>
      </c>
      <c r="T44" s="85"/>
      <c r="U44" s="101"/>
      <c r="V44" s="101"/>
      <c r="W44" s="79">
        <f>+IFERROR(X44/$I44,"-")</f>
        <v>0</v>
      </c>
      <c r="X44" s="106">
        <f>+지급비율!N23*$I44</f>
        <v>0</v>
      </c>
      <c r="Y44" s="106"/>
      <c r="Z44" s="81">
        <f t="shared" si="20"/>
        <v>0</v>
      </c>
      <c r="AA44" s="85"/>
      <c r="AB44" s="101"/>
      <c r="AC44" s="105"/>
      <c r="AD44" s="442">
        <f>+IFERROR(AE44/$I44,"-")</f>
        <v>0</v>
      </c>
      <c r="AE44" s="106">
        <f>+지급비율!U23*$I44</f>
        <v>0</v>
      </c>
      <c r="AF44" s="106"/>
      <c r="AG44" s="408">
        <f t="shared" si="22"/>
        <v>0</v>
      </c>
      <c r="AH44" s="85"/>
      <c r="AI44" s="101"/>
      <c r="AJ44" s="105"/>
      <c r="AK44" s="411">
        <f>+IFERROR(AL44/$I44,"-")</f>
        <v>0</v>
      </c>
      <c r="AL44" s="106">
        <f>+지급비율!AB23*$I44</f>
        <v>0</v>
      </c>
      <c r="AM44" s="106"/>
      <c r="AN44" s="408">
        <f t="shared" si="24"/>
        <v>0</v>
      </c>
      <c r="AO44" s="85"/>
      <c r="AP44" s="101"/>
      <c r="AQ44" s="105"/>
      <c r="AR44" s="411">
        <f>+IFERROR(AS44/$I44,"-")</f>
        <v>0</v>
      </c>
      <c r="AS44" s="106">
        <f>+지급비율!AI23*$I44</f>
        <v>0</v>
      </c>
      <c r="AT44" s="106"/>
      <c r="AU44" s="408">
        <f t="shared" si="26"/>
        <v>0</v>
      </c>
      <c r="AV44" s="85"/>
      <c r="AW44" s="101"/>
      <c r="AX44" s="105"/>
      <c r="AY44" s="411">
        <f>+IFERROR(AZ44/$I44,"-")</f>
        <v>0</v>
      </c>
      <c r="AZ44" s="106">
        <f>+지급비율!AP23*$I44</f>
        <v>0</v>
      </c>
      <c r="BA44" s="106"/>
      <c r="BB44" s="408">
        <f t="shared" si="27"/>
        <v>0</v>
      </c>
      <c r="BC44" s="85"/>
      <c r="BD44" s="101"/>
      <c r="BE44" s="105"/>
      <c r="BF44" s="411">
        <f>+IFERROR(BG44/$I44,"-")</f>
        <v>0</v>
      </c>
      <c r="BG44" s="106">
        <f>+지급비율!AW23*$I44</f>
        <v>0</v>
      </c>
      <c r="BH44" s="106"/>
      <c r="BI44" s="408">
        <f t="shared" si="28"/>
        <v>0</v>
      </c>
      <c r="BJ44" s="104"/>
      <c r="BK44" s="78">
        <v>46112</v>
      </c>
      <c r="BL44" s="105"/>
      <c r="BM44" s="411">
        <f>+IFERROR(BN44/$I44,"-")</f>
        <v>1</v>
      </c>
      <c r="BN44" s="106">
        <f>+지급비율!BD23*$I44</f>
        <v>8448000</v>
      </c>
      <c r="BO44" s="106"/>
      <c r="BP44" s="408">
        <f t="shared" si="29"/>
        <v>8448000</v>
      </c>
      <c r="BQ44" s="101"/>
      <c r="BR44" s="89"/>
      <c r="BS44" s="89" t="b">
        <f>+Q44+X44+AE44+AS44+AZ44+BG44+BN44=I44</f>
        <v>1</v>
      </c>
      <c r="BT44" s="90" t="b">
        <f>+R44+Y44+AF44+AT44+BA44+BH44+BO44=K44</f>
        <v>1</v>
      </c>
      <c r="BU44" s="89"/>
      <c r="BV44" s="54"/>
      <c r="BW44" s="54"/>
      <c r="BX44" s="54"/>
      <c r="BY44" s="54"/>
      <c r="BZ44" s="54"/>
      <c r="CA44" s="54"/>
      <c r="CB44" s="54"/>
      <c r="CC44" s="54"/>
      <c r="CD44" s="58"/>
      <c r="CE44" s="58"/>
    </row>
    <row r="45" spans="1:83" ht="16.5" customHeight="1">
      <c r="A45" s="62"/>
      <c r="B45" s="1322"/>
      <c r="C45" s="1531"/>
      <c r="D45" s="1345"/>
      <c r="E45" s="1324"/>
      <c r="F45" s="91" t="s">
        <v>392</v>
      </c>
      <c r="G45" s="92">
        <f>SUM(G41:G44)</f>
        <v>69120000</v>
      </c>
      <c r="H45" s="92">
        <f>SUM(H41:H44)</f>
        <v>6912000</v>
      </c>
      <c r="I45" s="92">
        <f>SUM(I41:I44)</f>
        <v>76032000</v>
      </c>
      <c r="J45" s="91">
        <f t="shared" si="0"/>
        <v>0.1111111111111111</v>
      </c>
      <c r="K45" s="92">
        <f>SUM(K41:K44)</f>
        <v>8448000</v>
      </c>
      <c r="L45" s="92">
        <f>SUM(L41:L44)</f>
        <v>67584000</v>
      </c>
      <c r="M45" s="419">
        <f>+AE42+AE43</f>
        <v>10560000</v>
      </c>
      <c r="N45" s="91"/>
      <c r="O45" s="94"/>
      <c r="P45" s="92">
        <f>+IFERROR(Q45/'[9]Dropped Project'!$K45,"-")</f>
        <v>1.3822272215973003E-2</v>
      </c>
      <c r="Q45" s="92">
        <f>SUM(Q41:Q44)</f>
        <v>4224000</v>
      </c>
      <c r="R45" s="170">
        <f>SUM(R41:R44)</f>
        <v>4224000</v>
      </c>
      <c r="S45" s="92">
        <f t="shared" si="1"/>
        <v>0</v>
      </c>
      <c r="T45" s="93"/>
      <c r="U45" s="91"/>
      <c r="V45" s="91"/>
      <c r="W45" s="92">
        <f>+IFERROR(X45/'[9]Dropped Project'!$K45,"-")</f>
        <v>1.3822272215973003E-2</v>
      </c>
      <c r="X45" s="92">
        <f>SUM(X41:X44)</f>
        <v>4224000</v>
      </c>
      <c r="Y45" s="170">
        <f>SUM(Y41:Y44)</f>
        <v>4224000</v>
      </c>
      <c r="Z45" s="92">
        <f t="shared" si="20"/>
        <v>0</v>
      </c>
      <c r="AA45" s="93"/>
      <c r="AB45" s="91"/>
      <c r="AC45" s="94"/>
      <c r="AD45" s="443">
        <f>+IFERROR(AE45/'[9]Dropped Project'!$K45,"-")</f>
        <v>0.11057817772778403</v>
      </c>
      <c r="AE45" s="92">
        <f>SUM(AE41:AE44)</f>
        <v>33792000</v>
      </c>
      <c r="AF45" s="92">
        <f>SUM(AF41:AF44)</f>
        <v>0</v>
      </c>
      <c r="AG45" s="92">
        <f t="shared" si="22"/>
        <v>33792000</v>
      </c>
      <c r="AH45" s="93"/>
      <c r="AI45" s="91"/>
      <c r="AJ45" s="94"/>
      <c r="AK45" s="445">
        <f>+IFERROR(AL45/'[9]Dropped Project'!$K45,"-")</f>
        <v>0</v>
      </c>
      <c r="AL45" s="92">
        <f>SUM(AL41:AL44)</f>
        <v>0</v>
      </c>
      <c r="AM45" s="92">
        <f>SUM(AM41:AM44)</f>
        <v>0</v>
      </c>
      <c r="AN45" s="92">
        <f t="shared" si="24"/>
        <v>0</v>
      </c>
      <c r="AO45" s="93"/>
      <c r="AP45" s="91"/>
      <c r="AQ45" s="94"/>
      <c r="AR45" s="445">
        <f>+IFERROR(AS45/'[9]Dropped Project'!$K45,"-")</f>
        <v>0</v>
      </c>
      <c r="AS45" s="92">
        <f>SUM(AS41:AS44)</f>
        <v>0</v>
      </c>
      <c r="AT45" s="92">
        <f>SUM(AT41:AT44)</f>
        <v>0</v>
      </c>
      <c r="AU45" s="92">
        <f t="shared" si="26"/>
        <v>0</v>
      </c>
      <c r="AV45" s="93"/>
      <c r="AW45" s="91"/>
      <c r="AX45" s="94"/>
      <c r="AY45" s="445">
        <f>+IFERROR(AZ45/'[9]Dropped Project'!$K45,"-")</f>
        <v>0</v>
      </c>
      <c r="AZ45" s="92">
        <f>SUM(AZ41:AZ44)</f>
        <v>0</v>
      </c>
      <c r="BA45" s="92">
        <f>SUM(BA41:BA44)</f>
        <v>0</v>
      </c>
      <c r="BB45" s="92">
        <f t="shared" si="27"/>
        <v>0</v>
      </c>
      <c r="BC45" s="93"/>
      <c r="BD45" s="91"/>
      <c r="BE45" s="94"/>
      <c r="BF45" s="445">
        <f>+IFERROR(BG45/'[9]Dropped Project'!$K45,"-")</f>
        <v>6.0817997750281218E-2</v>
      </c>
      <c r="BG45" s="92">
        <f>SUM(BG41:BG44)</f>
        <v>18585600</v>
      </c>
      <c r="BH45" s="92">
        <f>SUM(BH41:BH44)</f>
        <v>0</v>
      </c>
      <c r="BI45" s="92">
        <f t="shared" si="28"/>
        <v>18585600</v>
      </c>
      <c r="BJ45" s="93"/>
      <c r="BK45" s="91"/>
      <c r="BL45" s="94"/>
      <c r="BM45" s="445">
        <f>+IFERROR(BN45/'[9]Dropped Project'!$K45,"-")</f>
        <v>4.9760179977502809E-2</v>
      </c>
      <c r="BN45" s="92">
        <f>SUM(BN41:BN44)</f>
        <v>15206400</v>
      </c>
      <c r="BO45" s="92">
        <f>SUM(BO41:BO44)</f>
        <v>0</v>
      </c>
      <c r="BP45" s="92">
        <f t="shared" si="29"/>
        <v>15206400</v>
      </c>
      <c r="BQ45" s="91"/>
      <c r="BR45" s="96"/>
      <c r="BS45" s="96"/>
      <c r="BT45" s="139"/>
      <c r="BU45" s="399"/>
      <c r="BV45" s="54"/>
      <c r="BW45" s="54"/>
      <c r="BX45" s="54"/>
      <c r="BY45" s="54"/>
      <c r="BZ45" s="54"/>
      <c r="CA45" s="54"/>
      <c r="CB45" s="54"/>
      <c r="CC45" s="54"/>
      <c r="CD45" s="58"/>
      <c r="CE45" s="58"/>
    </row>
    <row r="46" spans="1:83" ht="16.5" customHeight="1">
      <c r="A46" s="62"/>
      <c r="B46" s="1322">
        <f t="shared" ref="B46" si="37">+B41+1</f>
        <v>8</v>
      </c>
      <c r="C46" s="1531" t="s">
        <v>942</v>
      </c>
      <c r="D46" s="1343">
        <v>158.75</v>
      </c>
      <c r="E46" s="1324" t="s">
        <v>888</v>
      </c>
      <c r="F46" s="63" t="s">
        <v>388</v>
      </c>
      <c r="G46" s="406">
        <f>+지급비율!F20*$D$46/1000</f>
        <v>174625000</v>
      </c>
      <c r="H46" s="64">
        <f>+G46*10%</f>
        <v>17462500</v>
      </c>
      <c r="I46" s="64">
        <f>SUM(G46:H46)</f>
        <v>192087500</v>
      </c>
      <c r="J46" s="63">
        <f t="shared" si="0"/>
        <v>0</v>
      </c>
      <c r="K46" s="134">
        <f>+IFERROR(R46+Y46+AF46+AM46+BA46+BH46,"-")</f>
        <v>0</v>
      </c>
      <c r="L46" s="134">
        <f>+I46-K46</f>
        <v>192087500</v>
      </c>
      <c r="M46" s="1331" t="s">
        <v>265</v>
      </c>
      <c r="N46" s="160"/>
      <c r="O46" s="135"/>
      <c r="P46" s="79">
        <f>+IFERROR(Q46/$I46,"-")</f>
        <v>0</v>
      </c>
      <c r="Q46" s="80"/>
      <c r="R46" s="134"/>
      <c r="S46" s="145">
        <f t="shared" si="1"/>
        <v>0</v>
      </c>
      <c r="T46" s="67"/>
      <c r="U46" s="160"/>
      <c r="V46" s="160"/>
      <c r="W46" s="79">
        <f>+IFERROR(X46/$I46,"-")</f>
        <v>0</v>
      </c>
      <c r="X46" s="80">
        <f>+지급비율!N20*$I46</f>
        <v>0</v>
      </c>
      <c r="Y46" s="80"/>
      <c r="Z46" s="145">
        <f t="shared" si="20"/>
        <v>0</v>
      </c>
      <c r="AA46" s="67"/>
      <c r="AB46" s="160">
        <f>+EDATE(AI46,0)</f>
        <v>46050</v>
      </c>
      <c r="AC46" s="135"/>
      <c r="AD46" s="442">
        <f>+IFERROR(AE46/$I46,"-")</f>
        <v>0.5</v>
      </c>
      <c r="AE46" s="134">
        <f>+지급비율!U20*$I46</f>
        <v>96043750</v>
      </c>
      <c r="AF46" s="134">
        <v>0</v>
      </c>
      <c r="AG46" s="407">
        <f t="shared" si="22"/>
        <v>96043750</v>
      </c>
      <c r="AH46" s="67"/>
      <c r="AI46" s="160">
        <f>+EDATE(AP46,-1)</f>
        <v>46050</v>
      </c>
      <c r="AJ46" s="135"/>
      <c r="AK46" s="411">
        <f>+IFERROR(AL46/$I46,"-")</f>
        <v>0</v>
      </c>
      <c r="AL46" s="134">
        <f>+지급비율!AB20*$I46</f>
        <v>0</v>
      </c>
      <c r="AM46" s="134">
        <v>0</v>
      </c>
      <c r="AN46" s="407">
        <f t="shared" si="24"/>
        <v>0</v>
      </c>
      <c r="AO46" s="67"/>
      <c r="AP46" s="160">
        <f>+EDATE(AW46,-1)</f>
        <v>46081</v>
      </c>
      <c r="AQ46" s="135"/>
      <c r="AR46" s="411">
        <f>+IFERROR(AS46/$I46,"-")</f>
        <v>0</v>
      </c>
      <c r="AS46" s="134">
        <f>+지급비율!AI20*$I46</f>
        <v>0</v>
      </c>
      <c r="AT46" s="134">
        <v>0</v>
      </c>
      <c r="AU46" s="407">
        <f t="shared" si="26"/>
        <v>0</v>
      </c>
      <c r="AV46" s="67"/>
      <c r="AW46" s="160">
        <f>+EDATE(BD46,-1)</f>
        <v>46111</v>
      </c>
      <c r="AX46" s="135"/>
      <c r="AY46" s="411">
        <f>+IFERROR(AZ46/$I46,"-")</f>
        <v>0</v>
      </c>
      <c r="AZ46" s="134">
        <f>+지급비율!AP20*$I46</f>
        <v>0</v>
      </c>
      <c r="BA46" s="134">
        <v>0</v>
      </c>
      <c r="BB46" s="407">
        <f t="shared" si="27"/>
        <v>0</v>
      </c>
      <c r="BC46" s="67"/>
      <c r="BD46" s="160">
        <f>+EDATE(BK46,-1)</f>
        <v>46142</v>
      </c>
      <c r="BE46" s="135"/>
      <c r="BF46" s="411">
        <f>+IFERROR(BG46/$I46,"-")</f>
        <v>0.4</v>
      </c>
      <c r="BG46" s="134">
        <f>+지급비율!AW20*$I46</f>
        <v>76835000</v>
      </c>
      <c r="BH46" s="134">
        <v>0</v>
      </c>
      <c r="BI46" s="407">
        <f t="shared" si="28"/>
        <v>76835000</v>
      </c>
      <c r="BJ46" s="78"/>
      <c r="BK46" s="160">
        <v>46173</v>
      </c>
      <c r="BL46" s="79"/>
      <c r="BM46" s="411">
        <f>+IFERROR(BN46/$I46,"-")</f>
        <v>0.1</v>
      </c>
      <c r="BN46" s="134">
        <f>+지급비율!BD20*$I46</f>
        <v>19208750</v>
      </c>
      <c r="BO46" s="134">
        <v>0</v>
      </c>
      <c r="BP46" s="407">
        <f t="shared" si="29"/>
        <v>19208750</v>
      </c>
      <c r="BQ46" s="145"/>
      <c r="BR46" s="74"/>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22"/>
      <c r="C47" s="1531"/>
      <c r="D47" s="1344"/>
      <c r="E47" s="1324"/>
      <c r="F47" s="75" t="s">
        <v>389</v>
      </c>
      <c r="G47" s="76">
        <f>+지급비율!F21*$D$46/1000</f>
        <v>47625000</v>
      </c>
      <c r="H47" s="76">
        <f>+G47*10%</f>
        <v>4762500</v>
      </c>
      <c r="I47" s="76">
        <f>SUM(G47:H47)</f>
        <v>52387500</v>
      </c>
      <c r="J47" s="75">
        <f t="shared" si="0"/>
        <v>0.9</v>
      </c>
      <c r="K47" s="80">
        <f t="shared" ref="K47:K49" si="38">+IFERROR(R47+Y47+AF47+AM47+BA47+BH47,"-")</f>
        <v>47148750</v>
      </c>
      <c r="L47" s="80">
        <f>+I47-K47</f>
        <v>5238750</v>
      </c>
      <c r="M47" s="1332"/>
      <c r="N47" s="78">
        <f>+O47</f>
        <v>45705</v>
      </c>
      <c r="O47" s="78">
        <v>45705</v>
      </c>
      <c r="P47" s="79">
        <f>+IFERROR(Q47/$I47,"-")</f>
        <v>0.2</v>
      </c>
      <c r="Q47" s="80">
        <f>+지급비율!G21*$I47</f>
        <v>10477500</v>
      </c>
      <c r="R47" s="80">
        <v>10477500</v>
      </c>
      <c r="S47" s="81">
        <f t="shared" si="1"/>
        <v>0</v>
      </c>
      <c r="T47" s="78"/>
      <c r="U47" s="78">
        <v>45820</v>
      </c>
      <c r="V47" s="78">
        <v>45820</v>
      </c>
      <c r="W47" s="79">
        <f>+IFERROR(X47/$I47,"-")</f>
        <v>0.2</v>
      </c>
      <c r="X47" s="80">
        <f>+지급비율!N21*$I47</f>
        <v>10477500</v>
      </c>
      <c r="Y47" s="80">
        <v>10477500</v>
      </c>
      <c r="Z47" s="81">
        <f t="shared" si="20"/>
        <v>0</v>
      </c>
      <c r="AA47" s="78"/>
      <c r="AB47" s="476">
        <v>45930</v>
      </c>
      <c r="AC47" s="477"/>
      <c r="AD47" s="444">
        <f>+IFERROR(AE47/$I47,"-")</f>
        <v>0.5</v>
      </c>
      <c r="AE47" s="417">
        <f>+지급비율!U21*$I47</f>
        <v>26193750</v>
      </c>
      <c r="AF47" s="417">
        <v>26193750</v>
      </c>
      <c r="AG47" s="441">
        <f t="shared" si="22"/>
        <v>0</v>
      </c>
      <c r="AH47" s="78"/>
      <c r="AI47" s="78"/>
      <c r="AJ47" s="79"/>
      <c r="AK47" s="444">
        <f>+IFERROR(AL47/$I47,"-")</f>
        <v>0</v>
      </c>
      <c r="AL47" s="417">
        <f>+지급비율!AB21*$I47</f>
        <v>0</v>
      </c>
      <c r="AM47" s="417">
        <v>0</v>
      </c>
      <c r="AN47" s="441">
        <f t="shared" si="24"/>
        <v>0</v>
      </c>
      <c r="AO47" s="78"/>
      <c r="AP47" s="78"/>
      <c r="AQ47" s="79"/>
      <c r="AR47" s="444">
        <f>+IFERROR(AS47/$I47,"-")</f>
        <v>0</v>
      </c>
      <c r="AS47" s="417">
        <f>+지급비율!AI21*$I47</f>
        <v>0</v>
      </c>
      <c r="AT47" s="417">
        <v>0</v>
      </c>
      <c r="AU47" s="441">
        <f t="shared" si="26"/>
        <v>0</v>
      </c>
      <c r="AV47" s="78"/>
      <c r="AW47" s="78"/>
      <c r="AX47" s="79"/>
      <c r="AY47" s="444">
        <f>+IFERROR(AZ47/$I47,"-")</f>
        <v>0</v>
      </c>
      <c r="AZ47" s="417">
        <f>+지급비율!AP21*$I47</f>
        <v>0</v>
      </c>
      <c r="BA47" s="417">
        <v>0</v>
      </c>
      <c r="BB47" s="441">
        <f t="shared" si="27"/>
        <v>0</v>
      </c>
      <c r="BC47" s="78"/>
      <c r="BD47" s="78"/>
      <c r="BE47" s="79"/>
      <c r="BF47" s="444">
        <f>+IFERROR(BG47/$I47,"-")</f>
        <v>0</v>
      </c>
      <c r="BG47" s="417">
        <f>+지급비율!AW21*$I47</f>
        <v>0</v>
      </c>
      <c r="BH47" s="417">
        <v>0</v>
      </c>
      <c r="BI47" s="441">
        <f t="shared" si="28"/>
        <v>0</v>
      </c>
      <c r="BJ47" s="78"/>
      <c r="BK47" s="78">
        <v>46173</v>
      </c>
      <c r="BL47" s="79"/>
      <c r="BM47" s="444">
        <f>+IFERROR(BN47/$I47,"-")</f>
        <v>0.1</v>
      </c>
      <c r="BN47" s="417">
        <f>+지급비율!BD21*$I47</f>
        <v>5238750</v>
      </c>
      <c r="BO47" s="417">
        <v>0</v>
      </c>
      <c r="BP47" s="441">
        <f t="shared" si="29"/>
        <v>5238750</v>
      </c>
      <c r="BQ47" s="81"/>
      <c r="BR47" s="74"/>
      <c r="BS47" s="74" t="b">
        <f>+Q47+X47+AE47+AS47+AZ47+BG47+BN47=I47</f>
        <v>1</v>
      </c>
      <c r="BT47" s="74" t="b">
        <f>+R47+Y47+AF47+AT47+BA47+BH47+BO47=K47</f>
        <v>1</v>
      </c>
      <c r="BU47" s="74" t="b">
        <f>+BG47+BG48+AZ47+AZ48+AS47+AS48+AE47+AE48+X47+X48+Q47+Q48+BN47+BN48=([5]지급비율!$F$21+[5]지급비율!$F$22)*1.1*D46/1000</f>
        <v>1</v>
      </c>
      <c r="BV47" s="54"/>
      <c r="BW47" s="54"/>
      <c r="BX47" s="54"/>
      <c r="BY47" s="54"/>
      <c r="BZ47" s="54"/>
      <c r="CA47" s="54"/>
      <c r="CB47" s="54"/>
      <c r="CC47" s="54"/>
      <c r="CD47" s="58"/>
      <c r="CE47" s="58"/>
    </row>
    <row r="48" spans="1:83" ht="16.5" customHeight="1">
      <c r="A48" s="62"/>
      <c r="B48" s="1322"/>
      <c r="C48" s="1531"/>
      <c r="D48" s="1344"/>
      <c r="E48" s="1324"/>
      <c r="F48" s="75" t="s">
        <v>390</v>
      </c>
      <c r="G48" s="76">
        <f>+지급비율!F22*$D$46/1000</f>
        <v>31750000</v>
      </c>
      <c r="H48" s="76">
        <f>+G48*10%</f>
        <v>3175000</v>
      </c>
      <c r="I48" s="76">
        <f>SUM(G48:H48)</f>
        <v>34925000</v>
      </c>
      <c r="J48" s="75">
        <f t="shared" si="0"/>
        <v>0.9</v>
      </c>
      <c r="K48" s="80">
        <f t="shared" si="38"/>
        <v>31432500</v>
      </c>
      <c r="L48" s="80">
        <f>+I48-K48</f>
        <v>3492500</v>
      </c>
      <c r="M48" s="1332"/>
      <c r="N48" s="78">
        <f>+O48</f>
        <v>45705</v>
      </c>
      <c r="O48" s="78">
        <f>O47</f>
        <v>45705</v>
      </c>
      <c r="P48" s="79">
        <f>+IFERROR(Q48/$I48,"-")</f>
        <v>0.2</v>
      </c>
      <c r="Q48" s="80">
        <f>+지급비율!G22*$I48</f>
        <v>6985000</v>
      </c>
      <c r="R48" s="80">
        <v>6985000</v>
      </c>
      <c r="S48" s="81">
        <f t="shared" si="1"/>
        <v>0</v>
      </c>
      <c r="T48" s="78"/>
      <c r="U48" s="78">
        <v>45820</v>
      </c>
      <c r="V48" s="78">
        <v>45820</v>
      </c>
      <c r="W48" s="79">
        <f>+IFERROR(X48/$I48,"-")</f>
        <v>0.2</v>
      </c>
      <c r="X48" s="80">
        <f>+지급비율!N22*$I48</f>
        <v>6985000</v>
      </c>
      <c r="Y48" s="80">
        <v>6985000</v>
      </c>
      <c r="Z48" s="81">
        <f t="shared" si="20"/>
        <v>0</v>
      </c>
      <c r="AA48" s="78"/>
      <c r="AB48" s="476">
        <v>45930</v>
      </c>
      <c r="AC48" s="477"/>
      <c r="AD48" s="444">
        <f>+IFERROR(AE48/$I48,"-")</f>
        <v>0.5</v>
      </c>
      <c r="AE48" s="417">
        <f>+지급비율!U22*$I48</f>
        <v>17462500</v>
      </c>
      <c r="AF48" s="417">
        <v>17462500</v>
      </c>
      <c r="AG48" s="441">
        <f t="shared" si="22"/>
        <v>0</v>
      </c>
      <c r="AH48" s="72"/>
      <c r="AI48" s="78"/>
      <c r="AJ48" s="79"/>
      <c r="AK48" s="444">
        <f>+IFERROR(AL48/$I48,"-")</f>
        <v>0</v>
      </c>
      <c r="AL48" s="417">
        <f>+지급비율!AB22*$I48</f>
        <v>0</v>
      </c>
      <c r="AM48" s="417">
        <v>0</v>
      </c>
      <c r="AN48" s="441">
        <f t="shared" si="24"/>
        <v>0</v>
      </c>
      <c r="AO48" s="72"/>
      <c r="AP48" s="78"/>
      <c r="AQ48" s="79"/>
      <c r="AR48" s="444">
        <f>+IFERROR(AS48/$I48,"-")</f>
        <v>0</v>
      </c>
      <c r="AS48" s="417">
        <f>+지급비율!AI22*$I48</f>
        <v>0</v>
      </c>
      <c r="AT48" s="417">
        <v>0</v>
      </c>
      <c r="AU48" s="441">
        <f t="shared" si="26"/>
        <v>0</v>
      </c>
      <c r="AV48" s="72"/>
      <c r="AW48" s="78"/>
      <c r="AX48" s="79"/>
      <c r="AY48" s="444">
        <f>+IFERROR(AZ48/$I48,"-")</f>
        <v>0</v>
      </c>
      <c r="AZ48" s="417">
        <f>+지급비율!AP22*$I48</f>
        <v>0</v>
      </c>
      <c r="BA48" s="417">
        <v>0</v>
      </c>
      <c r="BB48" s="441">
        <f t="shared" si="27"/>
        <v>0</v>
      </c>
      <c r="BC48" s="72"/>
      <c r="BD48" s="72"/>
      <c r="BE48" s="79"/>
      <c r="BF48" s="444">
        <f>+IFERROR(BG48/$I48,"-")</f>
        <v>0</v>
      </c>
      <c r="BG48" s="417">
        <f>+지급비율!AW22*$I48</f>
        <v>0</v>
      </c>
      <c r="BH48" s="417">
        <v>0</v>
      </c>
      <c r="BI48" s="441">
        <f t="shared" si="28"/>
        <v>0</v>
      </c>
      <c r="BJ48" s="78"/>
      <c r="BK48" s="78">
        <v>46173</v>
      </c>
      <c r="BL48" s="79"/>
      <c r="BM48" s="444">
        <f>+IFERROR(BN48/$I48,"-")</f>
        <v>0.1</v>
      </c>
      <c r="BN48" s="417">
        <f>+지급비율!BD22*$I48</f>
        <v>3492500</v>
      </c>
      <c r="BO48" s="417">
        <v>0</v>
      </c>
      <c r="BP48" s="441">
        <f t="shared" si="29"/>
        <v>3492500</v>
      </c>
      <c r="BQ48" s="81"/>
      <c r="BR48" s="74"/>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22"/>
      <c r="C49" s="1531"/>
      <c r="D49" s="1344"/>
      <c r="E49" s="1324"/>
      <c r="F49" s="101" t="s">
        <v>391</v>
      </c>
      <c r="G49" s="102">
        <f>+지급비율!F23*$D$46/1000</f>
        <v>31750000</v>
      </c>
      <c r="H49" s="102">
        <f>+G49*0.1</f>
        <v>3175000</v>
      </c>
      <c r="I49" s="102">
        <f>SUM(G49:H49)</f>
        <v>34925000</v>
      </c>
      <c r="J49" s="101">
        <f t="shared" si="0"/>
        <v>0</v>
      </c>
      <c r="K49" s="106">
        <f t="shared" si="38"/>
        <v>0</v>
      </c>
      <c r="L49" s="106">
        <f>+I49-K49</f>
        <v>34925000</v>
      </c>
      <c r="M49" s="1333"/>
      <c r="N49" s="78"/>
      <c r="O49" s="78"/>
      <c r="P49" s="79">
        <f>+IFERROR(Q49/$I49,"-")</f>
        <v>0</v>
      </c>
      <c r="Q49" s="80"/>
      <c r="R49" s="106"/>
      <c r="S49" s="81">
        <f t="shared" si="1"/>
        <v>0</v>
      </c>
      <c r="T49" s="85"/>
      <c r="U49" s="101"/>
      <c r="V49" s="101"/>
      <c r="W49" s="79">
        <f>+IFERROR(X49/$I49,"-")</f>
        <v>0</v>
      </c>
      <c r="X49" s="80">
        <f>+지급비율!N23*$I49</f>
        <v>0</v>
      </c>
      <c r="Y49" s="80"/>
      <c r="Z49" s="81">
        <f t="shared" si="20"/>
        <v>0</v>
      </c>
      <c r="AA49" s="85"/>
      <c r="AB49" s="101"/>
      <c r="AC49" s="105"/>
      <c r="AD49" s="442">
        <f>+IFERROR(AE49/$I49,"-")</f>
        <v>0</v>
      </c>
      <c r="AE49" s="106">
        <f>+지급비율!U23*$I49</f>
        <v>0</v>
      </c>
      <c r="AF49" s="106"/>
      <c r="AG49" s="408">
        <f t="shared" si="22"/>
        <v>0</v>
      </c>
      <c r="AH49" s="85"/>
      <c r="AI49" s="101"/>
      <c r="AJ49" s="105"/>
      <c r="AK49" s="411">
        <f>+IFERROR(AL49/$I49,"-")</f>
        <v>0</v>
      </c>
      <c r="AL49" s="106">
        <f>+지급비율!AB23*$I49</f>
        <v>0</v>
      </c>
      <c r="AM49" s="106"/>
      <c r="AN49" s="408">
        <f t="shared" si="24"/>
        <v>0</v>
      </c>
      <c r="AO49" s="85"/>
      <c r="AP49" s="101"/>
      <c r="AQ49" s="105"/>
      <c r="AR49" s="411">
        <f>+IFERROR(AS49/$I49,"-")</f>
        <v>0</v>
      </c>
      <c r="AS49" s="106">
        <f>+지급비율!AI23*$I49</f>
        <v>0</v>
      </c>
      <c r="AT49" s="106"/>
      <c r="AU49" s="408">
        <f t="shared" si="26"/>
        <v>0</v>
      </c>
      <c r="AV49" s="85"/>
      <c r="AW49" s="101"/>
      <c r="AX49" s="105"/>
      <c r="AY49" s="411">
        <f>+IFERROR(AZ49/$I49,"-")</f>
        <v>0</v>
      </c>
      <c r="AZ49" s="106">
        <f>+지급비율!AP23*$I49</f>
        <v>0</v>
      </c>
      <c r="BA49" s="106"/>
      <c r="BB49" s="408">
        <f t="shared" si="27"/>
        <v>0</v>
      </c>
      <c r="BC49" s="85"/>
      <c r="BD49" s="101"/>
      <c r="BE49" s="105"/>
      <c r="BF49" s="411">
        <f>+IFERROR(BG49/$I49,"-")</f>
        <v>0</v>
      </c>
      <c r="BG49" s="106">
        <f>+지급비율!AW23*$I49</f>
        <v>0</v>
      </c>
      <c r="BH49" s="106"/>
      <c r="BI49" s="408">
        <f t="shared" si="28"/>
        <v>0</v>
      </c>
      <c r="BJ49" s="104"/>
      <c r="BK49" s="78">
        <v>46173</v>
      </c>
      <c r="BL49" s="105"/>
      <c r="BM49" s="411">
        <f>+IFERROR(BN49/$I49,"-")</f>
        <v>1</v>
      </c>
      <c r="BN49" s="106">
        <f>+지급비율!BD23*$I49</f>
        <v>34925000</v>
      </c>
      <c r="BO49" s="106"/>
      <c r="BP49" s="408">
        <f t="shared" si="29"/>
        <v>34925000</v>
      </c>
      <c r="BQ49" s="101"/>
      <c r="BR49" s="89"/>
      <c r="BS49" s="89" t="b">
        <f>+Q49+X49+AE49+AS49+AZ49+BG49+BN49=I49</f>
        <v>1</v>
      </c>
      <c r="BT49" s="90" t="b">
        <f>+R49+Y49+AF49+AT49+BA49+BH49+BO49=K49</f>
        <v>1</v>
      </c>
      <c r="BU49" s="89"/>
      <c r="BV49" s="54"/>
      <c r="BW49" s="54"/>
      <c r="BX49" s="54"/>
      <c r="BY49" s="54"/>
      <c r="BZ49" s="54"/>
      <c r="CA49" s="54"/>
      <c r="CB49" s="54"/>
      <c r="CC49" s="54"/>
      <c r="CD49" s="58"/>
      <c r="CE49" s="58"/>
    </row>
    <row r="50" spans="1:83" ht="16.5" customHeight="1">
      <c r="A50" s="62"/>
      <c r="B50" s="1322"/>
      <c r="C50" s="1531"/>
      <c r="D50" s="1345"/>
      <c r="E50" s="1324"/>
      <c r="F50" s="91" t="s">
        <v>392</v>
      </c>
      <c r="G50" s="92">
        <f>SUM(G46:G49)</f>
        <v>285750000</v>
      </c>
      <c r="H50" s="92">
        <f>SUM(H46:H49)</f>
        <v>28575000</v>
      </c>
      <c r="I50" s="92">
        <f>SUM(I46:I49)</f>
        <v>314325000</v>
      </c>
      <c r="J50" s="91">
        <f t="shared" si="0"/>
        <v>0.25</v>
      </c>
      <c r="K50" s="92">
        <f>SUM(K46:K49)</f>
        <v>78581250</v>
      </c>
      <c r="L50" s="92">
        <f>SUM(L46:L49)</f>
        <v>235743750</v>
      </c>
      <c r="M50" s="419">
        <f>+AE47+AE48</f>
        <v>43656250</v>
      </c>
      <c r="N50" s="91"/>
      <c r="O50" s="94"/>
      <c r="P50" s="92">
        <f>+IFERROR(Q50/'[9]Dropped Project'!$K50,"-")</f>
        <v>7.5699324666654742E-3</v>
      </c>
      <c r="Q50" s="92">
        <f>SUM(Q46:Q49)</f>
        <v>17462500</v>
      </c>
      <c r="R50" s="170">
        <f>SUM(R46:R49)</f>
        <v>17462500</v>
      </c>
      <c r="S50" s="92">
        <f>SUM(S46:S49)</f>
        <v>0</v>
      </c>
      <c r="T50" s="93"/>
      <c r="U50" s="91"/>
      <c r="V50" s="91"/>
      <c r="W50" s="92">
        <f>+IFERROR(X50/'[9]Dropped Project'!$K50,"-")</f>
        <v>7.5699324666654742E-3</v>
      </c>
      <c r="X50" s="92">
        <f>SUM(X46:X49)</f>
        <v>17462500</v>
      </c>
      <c r="Y50" s="170">
        <f>SUM(Y46:Y49)</f>
        <v>17462500</v>
      </c>
      <c r="Z50" s="92">
        <f t="shared" si="20"/>
        <v>0</v>
      </c>
      <c r="AA50" s="93"/>
      <c r="AB50" s="91"/>
      <c r="AC50" s="94"/>
      <c r="AD50" s="443">
        <f>+IFERROR(AE50/'[9]Dropped Project'!$K50,"-")</f>
        <v>6.0559459733323794E-2</v>
      </c>
      <c r="AE50" s="92">
        <f>SUM(AE46:AE49)</f>
        <v>139700000</v>
      </c>
      <c r="AF50" s="170">
        <f t="shared" ref="AF50:AG50" si="39">SUM(AF46:AF49)</f>
        <v>43656250</v>
      </c>
      <c r="AG50" s="92">
        <f t="shared" si="39"/>
        <v>96043750</v>
      </c>
      <c r="AH50" s="93"/>
      <c r="AI50" s="91"/>
      <c r="AJ50" s="94"/>
      <c r="AK50" s="445">
        <f>+IFERROR(AL50/'[9]Dropped Project'!$K50,"-")</f>
        <v>0</v>
      </c>
      <c r="AL50" s="92">
        <f>SUM(AL46:AL49)</f>
        <v>0</v>
      </c>
      <c r="AM50" s="92">
        <f t="shared" ref="AM50" si="40">SUM(AM46:AM49)</f>
        <v>0</v>
      </c>
      <c r="AN50" s="92">
        <f t="shared" ref="AN50" si="41">SUM(AN46:AN49)</f>
        <v>0</v>
      </c>
      <c r="AO50" s="93"/>
      <c r="AP50" s="91"/>
      <c r="AQ50" s="94"/>
      <c r="AR50" s="445">
        <f>+IFERROR(AS50/'[9]Dropped Project'!$K50,"-")</f>
        <v>0</v>
      </c>
      <c r="AS50" s="92">
        <f>SUM(AS46:AS49)</f>
        <v>0</v>
      </c>
      <c r="AT50" s="92">
        <f t="shared" ref="AT50" si="42">SUM(AT46:AT49)</f>
        <v>0</v>
      </c>
      <c r="AU50" s="92">
        <f t="shared" ref="AU50" si="43">SUM(AU46:AU49)</f>
        <v>0</v>
      </c>
      <c r="AV50" s="93"/>
      <c r="AW50" s="91"/>
      <c r="AX50" s="94"/>
      <c r="AY50" s="445">
        <f>+IFERROR(AZ50/'[9]Dropped Project'!$K50,"-")</f>
        <v>0</v>
      </c>
      <c r="AZ50" s="92">
        <f>SUM(AZ46:AZ49)</f>
        <v>0</v>
      </c>
      <c r="BA50" s="92">
        <f t="shared" ref="BA50" si="44">SUM(BA46:BA49)</f>
        <v>0</v>
      </c>
      <c r="BB50" s="92">
        <f t="shared" ref="BB50" si="45">SUM(BB46:BB49)</f>
        <v>0</v>
      </c>
      <c r="BC50" s="93"/>
      <c r="BD50" s="91"/>
      <c r="BE50" s="94"/>
      <c r="BF50" s="445">
        <f>+IFERROR(BG50/'[9]Dropped Project'!$K50,"-")</f>
        <v>3.330770285332809E-2</v>
      </c>
      <c r="BG50" s="92">
        <f>SUM(BG46:BG49)</f>
        <v>76835000</v>
      </c>
      <c r="BH50" s="92">
        <f t="shared" ref="BH50" si="46">SUM(BH46:BH49)</f>
        <v>0</v>
      </c>
      <c r="BI50" s="92">
        <f t="shared" ref="BI50" si="47">SUM(BI46:BI49)</f>
        <v>76835000</v>
      </c>
      <c r="BJ50" s="93"/>
      <c r="BK50" s="91"/>
      <c r="BL50" s="94"/>
      <c r="BM50" s="445">
        <f>+IFERROR(BN50/'[9]Dropped Project'!$K50,"-")</f>
        <v>2.7251756879995707E-2</v>
      </c>
      <c r="BN50" s="92">
        <f>SUM(BN46:BN49)</f>
        <v>62865000</v>
      </c>
      <c r="BO50" s="92">
        <f t="shared" ref="BO50" si="48">SUM(BO46:BO49)</f>
        <v>0</v>
      </c>
      <c r="BP50" s="92">
        <f t="shared" ref="BP50" si="49">SUM(BP46:BP49)</f>
        <v>62865000</v>
      </c>
      <c r="BQ50" s="91"/>
      <c r="BR50" s="96"/>
      <c r="BS50" s="96"/>
      <c r="BT50" s="139"/>
      <c r="BU50" s="399"/>
      <c r="BV50" s="54"/>
      <c r="BW50" s="54"/>
      <c r="BX50" s="54"/>
      <c r="BY50" s="54"/>
      <c r="BZ50" s="54"/>
      <c r="CA50" s="54"/>
      <c r="CB50" s="54"/>
      <c r="CC50" s="54"/>
      <c r="CD50" s="58"/>
      <c r="CE50" s="58"/>
    </row>
    <row r="51" spans="1:83" ht="16.5" customHeight="1">
      <c r="A51" s="146"/>
      <c r="B51" s="1529" t="s">
        <v>392</v>
      </c>
      <c r="C51" s="1529"/>
      <c r="D51" s="1536">
        <f>+SUM(D11:D50)</f>
        <v>1609.3800000000003</v>
      </c>
      <c r="E51" s="1529"/>
      <c r="F51" s="147" t="s">
        <v>388</v>
      </c>
      <c r="G51" s="148">
        <f>+G11+G16+G21+G26+G31+G36+G41+G46</f>
        <v>1770318000</v>
      </c>
      <c r="H51" s="148">
        <f>+G51*10%</f>
        <v>177031800</v>
      </c>
      <c r="I51" s="148">
        <f t="shared" ref="I51:I54" si="50">SUM(G51:H51)</f>
        <v>1947349800</v>
      </c>
      <c r="J51" s="147">
        <f t="shared" si="0"/>
        <v>1.0207667877645814E-2</v>
      </c>
      <c r="K51" s="148">
        <f>+K11+K16+K21+K26+K31+K36+K41+K46</f>
        <v>19877900</v>
      </c>
      <c r="L51" s="148">
        <f>+L11+L16+L21+L26+L31+L36+L41+L46</f>
        <v>1927471900</v>
      </c>
      <c r="M51" s="421"/>
      <c r="N51" s="149"/>
      <c r="O51" s="149"/>
      <c r="P51" s="141">
        <f>+IFERROR(Q51/$I51,"-")</f>
        <v>0</v>
      </c>
      <c r="Q51" s="148">
        <f>+Q11+Q16+Q21+Q26+Q31+Q36+Q41+Q46</f>
        <v>0</v>
      </c>
      <c r="R51" s="148">
        <f>+R11+R16+R21+R26+R31+R36+R41+R46</f>
        <v>0</v>
      </c>
      <c r="S51" s="150">
        <f t="shared" si="1"/>
        <v>0</v>
      </c>
      <c r="T51" s="151"/>
      <c r="U51" s="149"/>
      <c r="V51" s="149"/>
      <c r="W51" s="141">
        <f>+IFERROR(X51/$I51,"-")</f>
        <v>0</v>
      </c>
      <c r="X51" s="148">
        <f>+X11+X16+X21+X26+X31+X36+X41+X46</f>
        <v>0</v>
      </c>
      <c r="Y51" s="148">
        <f>+Y11+Y16+Y21+Y26+Y31+Y36+Y41+Y46</f>
        <v>19877900</v>
      </c>
      <c r="Z51" s="150">
        <f>+X51-Y51</f>
        <v>-19877900</v>
      </c>
      <c r="AA51" s="151"/>
      <c r="AB51" s="149"/>
      <c r="AC51" s="149"/>
      <c r="AD51" s="141">
        <f>+IFERROR(AE51/$I51,"-")</f>
        <v>0.5</v>
      </c>
      <c r="AE51" s="148">
        <f>+AE11+AE16+AE21+AE26+AE31+AE36+AE41+AE46</f>
        <v>973674900</v>
      </c>
      <c r="AF51" s="148">
        <f>+AF11+AF16+AF21+AF26+AF31+AF36+AF41+AF46</f>
        <v>0</v>
      </c>
      <c r="AG51" s="150">
        <f>+AE51-AF51</f>
        <v>973674900</v>
      </c>
      <c r="AH51" s="151"/>
      <c r="AI51" s="149"/>
      <c r="AJ51" s="149"/>
      <c r="AK51" s="141">
        <f>+IFERROR(AL51/$I51,"-")</f>
        <v>0</v>
      </c>
      <c r="AL51" s="148">
        <f>+AL11+AL16+AL21+AL26+AL31+AL36+AL41+AL46</f>
        <v>0</v>
      </c>
      <c r="AM51" s="148">
        <f>+AM11+AM16+AM21+AM26+AM31+AM36+AM41+AM46</f>
        <v>0</v>
      </c>
      <c r="AN51" s="150">
        <f>+AL51-AM51</f>
        <v>0</v>
      </c>
      <c r="AO51" s="151"/>
      <c r="AP51" s="149"/>
      <c r="AQ51" s="149"/>
      <c r="AR51" s="141">
        <f>+IFERROR(AS51/$I51,"-")</f>
        <v>0</v>
      </c>
      <c r="AS51" s="148">
        <f>+AS11+AS16+AS21+AS26+AS31+AS36+AS41+AS46</f>
        <v>0</v>
      </c>
      <c r="AT51" s="148">
        <f>+AT11+AT16+AT21+AT26+AT31+AT36+AT41+AT46</f>
        <v>0</v>
      </c>
      <c r="AU51" s="150">
        <f>+AS51-AT51</f>
        <v>0</v>
      </c>
      <c r="AV51" s="151"/>
      <c r="AW51" s="149"/>
      <c r="AX51" s="149"/>
      <c r="AY51" s="141">
        <f>+IFERROR(AZ51/$I51,"-")</f>
        <v>0</v>
      </c>
      <c r="AZ51" s="148">
        <f>+AZ11+AZ16+AZ21+AZ26+AZ31+AZ36+AZ41+AZ46</f>
        <v>0</v>
      </c>
      <c r="BA51" s="148">
        <f>+BA11+BA16+BA21+BA26+BA31+BA36+BA41+BA46</f>
        <v>0</v>
      </c>
      <c r="BB51" s="150">
        <f>+AZ51-BA51</f>
        <v>0</v>
      </c>
      <c r="BC51" s="151"/>
      <c r="BD51" s="149"/>
      <c r="BE51" s="149"/>
      <c r="BF51" s="141">
        <f>+IFERROR(BG51/$I51,"-")</f>
        <v>0.4</v>
      </c>
      <c r="BG51" s="148">
        <f>+BG11+BG16+BG21+BG26+BG31+BG36+BG41+BG46</f>
        <v>778939920</v>
      </c>
      <c r="BH51" s="148">
        <f>+BH11+BH16+BH21+BH26+BH31+BH36+BH41+BH46</f>
        <v>0</v>
      </c>
      <c r="BI51" s="150">
        <f>+BG51-BH51</f>
        <v>778939920</v>
      </c>
      <c r="BJ51" s="151"/>
      <c r="BK51" s="149"/>
      <c r="BL51" s="149"/>
      <c r="BM51" s="117">
        <f t="shared" si="9"/>
        <v>0.1</v>
      </c>
      <c r="BN51" s="148">
        <f>+BN11+BN16+BN21+BN26+BN31+BN36+BN41+BN46</f>
        <v>194734980</v>
      </c>
      <c r="BO51" s="148">
        <f>+BO11+BO16+BO21+BO26+BO31+BO36+BO41+BO46</f>
        <v>0</v>
      </c>
      <c r="BP51" s="150">
        <f>+BN51-BO51</f>
        <v>194734980</v>
      </c>
      <c r="BQ51" s="151"/>
      <c r="BR51" s="73"/>
      <c r="BS51" s="113" t="b">
        <f>+Q51+X51+AE51+AS51+AZ51+BG51+BN51=I51</f>
        <v>1</v>
      </c>
      <c r="BT51" s="113" t="b">
        <f>+R51+Y51+AF51+AT51+BA51+BH51+BO51=K51</f>
        <v>1</v>
      </c>
      <c r="BU51" s="113"/>
      <c r="BV51" s="54"/>
      <c r="BW51" s="54"/>
      <c r="BX51" s="54"/>
      <c r="BY51" s="54"/>
      <c r="BZ51" s="54"/>
      <c r="CA51" s="54"/>
      <c r="CB51" s="54"/>
      <c r="CC51" s="54"/>
      <c r="CD51" s="58"/>
      <c r="CE51" s="58"/>
    </row>
    <row r="52" spans="1:83" ht="16.5" customHeight="1">
      <c r="A52" s="146"/>
      <c r="B52" s="1529"/>
      <c r="C52" s="1529"/>
      <c r="D52" s="1536"/>
      <c r="E52" s="1529"/>
      <c r="F52" s="114" t="s">
        <v>389</v>
      </c>
      <c r="G52" s="115">
        <f t="shared" ref="G52:G54" si="51">+G12+G17+G22+G27+G32+G37+G42+G47</f>
        <v>482814000</v>
      </c>
      <c r="H52" s="115">
        <f>+G52*10%</f>
        <v>48281400</v>
      </c>
      <c r="I52" s="115">
        <f t="shared" si="50"/>
        <v>531095400</v>
      </c>
      <c r="J52" s="114">
        <f t="shared" si="0"/>
        <v>0.75764704420335782</v>
      </c>
      <c r="K52" s="115">
        <f t="shared" ref="K52:L54" si="52">+K12+K17+K22+K27+K32+K37+K42+K47</f>
        <v>402382860</v>
      </c>
      <c r="L52" s="115">
        <f t="shared" si="52"/>
        <v>128712540.00000001</v>
      </c>
      <c r="M52" s="422"/>
      <c r="N52" s="152"/>
      <c r="O52" s="152"/>
      <c r="P52" s="117">
        <f t="shared" ref="P52:P54" si="53">+IFERROR(Q52/$I52,"-")</f>
        <v>0.2</v>
      </c>
      <c r="Q52" s="115">
        <f t="shared" ref="Q52:R52" si="54">+Q12+Q17+Q22+Q27+Q32+Q37+Q42+Q47</f>
        <v>106219080</v>
      </c>
      <c r="R52" s="115">
        <f t="shared" si="54"/>
        <v>114792480</v>
      </c>
      <c r="S52" s="153">
        <f t="shared" si="1"/>
        <v>-8573400</v>
      </c>
      <c r="T52" s="118"/>
      <c r="U52" s="152"/>
      <c r="V52" s="152"/>
      <c r="W52" s="117">
        <f t="shared" ref="W52:W54" si="55">+IFERROR(X52/$I52,"-")</f>
        <v>0.2</v>
      </c>
      <c r="X52" s="115">
        <f t="shared" ref="X52:Y52" si="56">+X12+X17+X22+X27+X32+X37+X42+X47</f>
        <v>106219080</v>
      </c>
      <c r="Y52" s="115">
        <f t="shared" si="56"/>
        <v>114792480</v>
      </c>
      <c r="Z52" s="153">
        <f t="shared" ref="Z52:Z55" si="57">+X52-Y52</f>
        <v>-8573400</v>
      </c>
      <c r="AA52" s="118"/>
      <c r="AB52" s="152"/>
      <c r="AC52" s="152"/>
      <c r="AD52" s="117">
        <f t="shared" ref="AD52:AD54" si="58">+IFERROR(AE52/$I52,"-")</f>
        <v>0.5</v>
      </c>
      <c r="AE52" s="115">
        <f t="shared" ref="AE52:AF52" si="59">+AE12+AE17+AE22+AE27+AE32+AE37+AE42+AE47</f>
        <v>265547700</v>
      </c>
      <c r="AF52" s="115">
        <f t="shared" si="59"/>
        <v>172797900</v>
      </c>
      <c r="AG52" s="153">
        <f t="shared" ref="AG52:AG55" si="60">+AE52-AF52</f>
        <v>92749800</v>
      </c>
      <c r="AH52" s="118"/>
      <c r="AI52" s="152"/>
      <c r="AJ52" s="152"/>
      <c r="AK52" s="117">
        <f t="shared" ref="AK52:AK54" si="61">+IFERROR(AL52/$I52,"-")</f>
        <v>0</v>
      </c>
      <c r="AL52" s="115">
        <f t="shared" ref="AL52:AM52" si="62">+AL12+AL17+AL22+AL27+AL32+AL37+AL42+AL47</f>
        <v>0</v>
      </c>
      <c r="AM52" s="115">
        <f t="shared" si="62"/>
        <v>0</v>
      </c>
      <c r="AN52" s="153">
        <f t="shared" ref="AN52:AN55" si="63">+AL52-AM52</f>
        <v>0</v>
      </c>
      <c r="AO52" s="118"/>
      <c r="AP52" s="152"/>
      <c r="AQ52" s="152"/>
      <c r="AR52" s="117">
        <f t="shared" ref="AR52:AR54" si="64">+IFERROR(AS52/$I52,"-")</f>
        <v>0</v>
      </c>
      <c r="AS52" s="115">
        <f t="shared" ref="AS52:AT52" si="65">+AS12+AS17+AS22+AS27+AS32+AS37+AS42+AS47</f>
        <v>0</v>
      </c>
      <c r="AT52" s="115">
        <f t="shared" si="65"/>
        <v>0</v>
      </c>
      <c r="AU52" s="153">
        <f t="shared" ref="AU52:AU55" si="66">+AS52-AT52</f>
        <v>0</v>
      </c>
      <c r="AV52" s="118"/>
      <c r="AW52" s="152"/>
      <c r="AX52" s="152"/>
      <c r="AY52" s="117">
        <f t="shared" ref="AY52:AY54" si="67">+IFERROR(AZ52/$I52,"-")</f>
        <v>0</v>
      </c>
      <c r="AZ52" s="115">
        <f t="shared" ref="AZ52:BA52" si="68">+AZ12+AZ17+AZ22+AZ27+AZ32+AZ37+AZ42+AZ47</f>
        <v>0</v>
      </c>
      <c r="BA52" s="115">
        <f t="shared" si="68"/>
        <v>0</v>
      </c>
      <c r="BB52" s="153">
        <f t="shared" ref="BB52:BB55" si="69">+AZ52-BA52</f>
        <v>0</v>
      </c>
      <c r="BC52" s="118"/>
      <c r="BD52" s="152"/>
      <c r="BE52" s="152"/>
      <c r="BF52" s="117">
        <f t="shared" ref="BF52:BF54" si="70">+IFERROR(BG52/$I52,"-")</f>
        <v>0</v>
      </c>
      <c r="BG52" s="115">
        <f t="shared" ref="BG52:BH52" si="71">+BG12+BG17+BG22+BG27+BG32+BG37+BG42+BG47</f>
        <v>0</v>
      </c>
      <c r="BH52" s="115">
        <f t="shared" si="71"/>
        <v>0</v>
      </c>
      <c r="BI52" s="153">
        <f t="shared" ref="BI52:BI55" si="72">+BG52-BH52</f>
        <v>0</v>
      </c>
      <c r="BJ52" s="118"/>
      <c r="BK52" s="152"/>
      <c r="BL52" s="152"/>
      <c r="BM52" s="117">
        <f t="shared" si="9"/>
        <v>0.1</v>
      </c>
      <c r="BN52" s="115">
        <f t="shared" ref="BN52:BO52" si="73">+BN12+BN17+BN22+BN27+BN32+BN37+BN42+BN47</f>
        <v>53109540</v>
      </c>
      <c r="BO52" s="115">
        <f t="shared" si="73"/>
        <v>0</v>
      </c>
      <c r="BP52" s="153">
        <f t="shared" ref="BP52:BP55" si="74">+BN52-BO52</f>
        <v>53109540</v>
      </c>
      <c r="BQ52" s="118"/>
      <c r="BR52" s="73"/>
      <c r="BS52" s="113" t="b">
        <f>+Q52+X52+AE52+AS52+AZ52+BG52+BN52=I52</f>
        <v>1</v>
      </c>
      <c r="BT52" s="113" t="b">
        <f>+R52+Y52+AF52+AT52+BA52+BH52+BO52=K52</f>
        <v>1</v>
      </c>
      <c r="BU52" s="113" t="b">
        <f>+BG52+BG53+AZ52+AZ53+AS52+AS53+AE52+AE53+X52+X53+Q52+Q53+BN52+BN53=([5]지급비율!$F$21+[5]지급비율!$F$22)*1.1*D51/1000</f>
        <v>1</v>
      </c>
      <c r="BV52" s="54"/>
      <c r="BW52" s="54"/>
      <c r="BX52" s="54"/>
      <c r="BY52" s="54"/>
      <c r="BZ52" s="54"/>
      <c r="CA52" s="54"/>
      <c r="CB52" s="54"/>
      <c r="CC52" s="54"/>
      <c r="CD52" s="58"/>
      <c r="CE52" s="58"/>
    </row>
    <row r="53" spans="1:83" ht="16.5" customHeight="1">
      <c r="A53" s="146"/>
      <c r="B53" s="1529"/>
      <c r="C53" s="1529"/>
      <c r="D53" s="1536"/>
      <c r="E53" s="1529"/>
      <c r="F53" s="114" t="s">
        <v>390</v>
      </c>
      <c r="G53" s="115">
        <f t="shared" si="51"/>
        <v>321876000</v>
      </c>
      <c r="H53" s="115">
        <f>+G53*10%</f>
        <v>32187600</v>
      </c>
      <c r="I53" s="115">
        <f t="shared" si="50"/>
        <v>354063600</v>
      </c>
      <c r="J53" s="114">
        <f t="shared" si="0"/>
        <v>0.73520361878487372</v>
      </c>
      <c r="K53" s="115">
        <f t="shared" si="52"/>
        <v>260308840</v>
      </c>
      <c r="L53" s="115">
        <f t="shared" si="52"/>
        <v>93754760</v>
      </c>
      <c r="M53" s="422"/>
      <c r="N53" s="152"/>
      <c r="O53" s="152"/>
      <c r="P53" s="117">
        <f t="shared" si="53"/>
        <v>0.2</v>
      </c>
      <c r="Q53" s="115">
        <f t="shared" ref="Q53:R53" si="75">+Q13+Q18+Q23+Q28+Q33+Q38+Q43+Q48</f>
        <v>70812720</v>
      </c>
      <c r="R53" s="115">
        <f t="shared" si="75"/>
        <v>76528320</v>
      </c>
      <c r="S53" s="153">
        <f t="shared" si="1"/>
        <v>-5715600</v>
      </c>
      <c r="T53" s="118"/>
      <c r="U53" s="152"/>
      <c r="V53" s="152"/>
      <c r="W53" s="117">
        <f t="shared" si="55"/>
        <v>0.2</v>
      </c>
      <c r="X53" s="115">
        <f t="shared" ref="X53:Y53" si="76">+X13+X18+X23+X28+X33+X38+X43+X48</f>
        <v>70812720</v>
      </c>
      <c r="Y53" s="115">
        <f t="shared" si="76"/>
        <v>76607520</v>
      </c>
      <c r="Z53" s="153">
        <f t="shared" si="57"/>
        <v>-5794800</v>
      </c>
      <c r="AA53" s="118"/>
      <c r="AB53" s="152"/>
      <c r="AC53" s="152"/>
      <c r="AD53" s="117">
        <f t="shared" si="58"/>
        <v>0.5</v>
      </c>
      <c r="AE53" s="115">
        <f t="shared" ref="AE53:AF53" si="77">+AE13+AE18+AE23+AE28+AE33+AE38+AE43+AE48</f>
        <v>177031800</v>
      </c>
      <c r="AF53" s="115">
        <f t="shared" si="77"/>
        <v>107173000</v>
      </c>
      <c r="AG53" s="153">
        <f t="shared" si="60"/>
        <v>69858800</v>
      </c>
      <c r="AH53" s="118"/>
      <c r="AI53" s="152"/>
      <c r="AJ53" s="152"/>
      <c r="AK53" s="117">
        <f t="shared" si="61"/>
        <v>0</v>
      </c>
      <c r="AL53" s="115">
        <f t="shared" ref="AL53:AM53" si="78">+AL13+AL18+AL23+AL28+AL33+AL38+AL43+AL48</f>
        <v>0</v>
      </c>
      <c r="AM53" s="115">
        <f t="shared" si="78"/>
        <v>0</v>
      </c>
      <c r="AN53" s="153">
        <f t="shared" si="63"/>
        <v>0</v>
      </c>
      <c r="AO53" s="118"/>
      <c r="AP53" s="152"/>
      <c r="AQ53" s="152"/>
      <c r="AR53" s="117">
        <f t="shared" si="64"/>
        <v>0</v>
      </c>
      <c r="AS53" s="115">
        <f t="shared" ref="AS53:AT53" si="79">+AS13+AS18+AS23+AS28+AS33+AS38+AS43+AS48</f>
        <v>0</v>
      </c>
      <c r="AT53" s="115">
        <f t="shared" si="79"/>
        <v>0</v>
      </c>
      <c r="AU53" s="153">
        <f t="shared" si="66"/>
        <v>0</v>
      </c>
      <c r="AV53" s="118"/>
      <c r="AW53" s="152"/>
      <c r="AX53" s="152"/>
      <c r="AY53" s="117">
        <f t="shared" si="67"/>
        <v>0</v>
      </c>
      <c r="AZ53" s="115">
        <f t="shared" ref="AZ53:BA53" si="80">+AZ13+AZ18+AZ23+AZ28+AZ33+AZ38+AZ43+AZ48</f>
        <v>0</v>
      </c>
      <c r="BA53" s="115">
        <f t="shared" si="80"/>
        <v>0</v>
      </c>
      <c r="BB53" s="153">
        <f t="shared" si="69"/>
        <v>0</v>
      </c>
      <c r="BC53" s="118"/>
      <c r="BD53" s="152"/>
      <c r="BE53" s="152"/>
      <c r="BF53" s="117">
        <f t="shared" si="70"/>
        <v>0</v>
      </c>
      <c r="BG53" s="115">
        <f t="shared" ref="BG53:BH53" si="81">+BG13+BG18+BG23+BG28+BG33+BG38+BG43+BG48</f>
        <v>0</v>
      </c>
      <c r="BH53" s="115">
        <f t="shared" si="81"/>
        <v>0</v>
      </c>
      <c r="BI53" s="153">
        <f t="shared" si="72"/>
        <v>0</v>
      </c>
      <c r="BJ53" s="118"/>
      <c r="BK53" s="152"/>
      <c r="BL53" s="152"/>
      <c r="BM53" s="117">
        <f t="shared" si="9"/>
        <v>0.1</v>
      </c>
      <c r="BN53" s="115">
        <f t="shared" ref="BN53:BO53" si="82">+BN13+BN18+BN23+BN28+BN33+BN38+BN43+BN48</f>
        <v>35406360</v>
      </c>
      <c r="BO53" s="115">
        <f t="shared" si="82"/>
        <v>0</v>
      </c>
      <c r="BP53" s="153">
        <f t="shared" si="74"/>
        <v>35406360</v>
      </c>
      <c r="BQ53" s="118"/>
      <c r="BR53" s="73"/>
      <c r="BS53" s="113" t="b">
        <f>+Q53+X53+AE53+AS53+AZ53+BG53+BN53=I53</f>
        <v>1</v>
      </c>
      <c r="BT53" s="113" t="b">
        <f>+R53+Y53+AF53+AT53+BA53+BH53+BO53=K53</f>
        <v>1</v>
      </c>
      <c r="BU53" s="113"/>
      <c r="BV53" s="54"/>
      <c r="BW53" s="54"/>
      <c r="BX53" s="54"/>
      <c r="BY53" s="54"/>
      <c r="BZ53" s="54"/>
      <c r="CA53" s="54"/>
      <c r="CB53" s="54"/>
      <c r="CC53" s="54"/>
      <c r="CD53" s="58"/>
      <c r="CE53" s="58"/>
    </row>
    <row r="54" spans="1:83" ht="16.5" customHeight="1">
      <c r="A54" s="146"/>
      <c r="B54" s="1529"/>
      <c r="C54" s="1529"/>
      <c r="D54" s="1536"/>
      <c r="E54" s="1529"/>
      <c r="F54" s="119" t="s">
        <v>391</v>
      </c>
      <c r="G54" s="120">
        <f t="shared" si="51"/>
        <v>339938400</v>
      </c>
      <c r="H54" s="120">
        <f>+G54*0.1</f>
        <v>33993840</v>
      </c>
      <c r="I54" s="120">
        <f t="shared" si="50"/>
        <v>373932240</v>
      </c>
      <c r="J54" s="154"/>
      <c r="K54" s="120">
        <f t="shared" si="52"/>
        <v>0</v>
      </c>
      <c r="L54" s="120">
        <f t="shared" si="52"/>
        <v>373932240</v>
      </c>
      <c r="M54" s="423"/>
      <c r="N54" s="155"/>
      <c r="O54" s="155"/>
      <c r="P54" s="121">
        <f t="shared" si="53"/>
        <v>0</v>
      </c>
      <c r="Q54" s="120">
        <f t="shared" ref="Q54:R54" si="83">+Q14+Q19+Q24+Q29+Q34+Q39+Q44+Q49</f>
        <v>0</v>
      </c>
      <c r="R54" s="120">
        <f t="shared" si="83"/>
        <v>0</v>
      </c>
      <c r="S54" s="156">
        <f t="shared" si="1"/>
        <v>0</v>
      </c>
      <c r="T54" s="157">
        <v>0</v>
      </c>
      <c r="U54" s="155"/>
      <c r="V54" s="155"/>
      <c r="W54" s="121">
        <f t="shared" si="55"/>
        <v>0</v>
      </c>
      <c r="X54" s="120">
        <f t="shared" ref="X54:Y54" si="84">+X14+X19+X24+X29+X34+X39+X44+X49</f>
        <v>0</v>
      </c>
      <c r="Y54" s="120">
        <f t="shared" si="84"/>
        <v>0</v>
      </c>
      <c r="Z54" s="156">
        <f t="shared" si="57"/>
        <v>0</v>
      </c>
      <c r="AA54" s="157">
        <v>0</v>
      </c>
      <c r="AB54" s="155"/>
      <c r="AC54" s="155"/>
      <c r="AD54" s="121">
        <f t="shared" si="58"/>
        <v>0</v>
      </c>
      <c r="AE54" s="120">
        <f t="shared" ref="AE54:AF54" si="85">+AE14+AE19+AE24+AE29+AE34+AE39+AE44+AE49</f>
        <v>0</v>
      </c>
      <c r="AF54" s="120">
        <f t="shared" si="85"/>
        <v>0</v>
      </c>
      <c r="AG54" s="156">
        <f t="shared" si="60"/>
        <v>0</v>
      </c>
      <c r="AH54" s="157">
        <v>0</v>
      </c>
      <c r="AI54" s="155"/>
      <c r="AJ54" s="155"/>
      <c r="AK54" s="121">
        <f t="shared" si="61"/>
        <v>0</v>
      </c>
      <c r="AL54" s="120">
        <f t="shared" ref="AL54:AM54" si="86">+AL14+AL19+AL24+AL29+AL34+AL39+AL44+AL49</f>
        <v>0</v>
      </c>
      <c r="AM54" s="120">
        <f t="shared" si="86"/>
        <v>0</v>
      </c>
      <c r="AN54" s="156">
        <f t="shared" si="63"/>
        <v>0</v>
      </c>
      <c r="AO54" s="157">
        <v>0</v>
      </c>
      <c r="AP54" s="155"/>
      <c r="AQ54" s="155"/>
      <c r="AR54" s="121">
        <f t="shared" si="64"/>
        <v>0</v>
      </c>
      <c r="AS54" s="120">
        <f t="shared" ref="AS54:AT54" si="87">+AS14+AS19+AS24+AS29+AS34+AS39+AS44+AS49</f>
        <v>0</v>
      </c>
      <c r="AT54" s="120">
        <f t="shared" si="87"/>
        <v>0</v>
      </c>
      <c r="AU54" s="156">
        <f t="shared" si="66"/>
        <v>0</v>
      </c>
      <c r="AV54" s="157">
        <v>0</v>
      </c>
      <c r="AW54" s="155"/>
      <c r="AX54" s="155"/>
      <c r="AY54" s="121">
        <f t="shared" si="67"/>
        <v>0</v>
      </c>
      <c r="AZ54" s="120">
        <f t="shared" ref="AZ54:BA54" si="88">+AZ14+AZ19+AZ24+AZ29+AZ34+AZ39+AZ44+AZ49</f>
        <v>0</v>
      </c>
      <c r="BA54" s="120">
        <f t="shared" si="88"/>
        <v>0</v>
      </c>
      <c r="BB54" s="156">
        <f t="shared" si="69"/>
        <v>0</v>
      </c>
      <c r="BC54" s="157">
        <v>0</v>
      </c>
      <c r="BD54" s="155"/>
      <c r="BE54" s="155"/>
      <c r="BF54" s="121">
        <f t="shared" si="70"/>
        <v>0</v>
      </c>
      <c r="BG54" s="120">
        <f t="shared" ref="BG54:BH54" si="89">+BG14+BG19+BG24+BG29+BG34+BG39+BG44+BG49</f>
        <v>0</v>
      </c>
      <c r="BH54" s="120">
        <f t="shared" si="89"/>
        <v>0</v>
      </c>
      <c r="BI54" s="156">
        <f t="shared" si="72"/>
        <v>0</v>
      </c>
      <c r="BJ54" s="157">
        <v>0</v>
      </c>
      <c r="BK54" s="155"/>
      <c r="BL54" s="155"/>
      <c r="BM54" s="121">
        <f t="shared" si="9"/>
        <v>1</v>
      </c>
      <c r="BN54" s="120">
        <f t="shared" ref="BN54:BO54" si="90">+BN14+BN19+BN24+BN29+BN34+BN39+BN44+BN49</f>
        <v>373932240</v>
      </c>
      <c r="BO54" s="120">
        <f t="shared" si="90"/>
        <v>0</v>
      </c>
      <c r="BP54" s="156">
        <f t="shared" si="74"/>
        <v>373932240</v>
      </c>
      <c r="BQ54" s="157">
        <v>0</v>
      </c>
      <c r="BR54" s="158"/>
      <c r="BS54" s="122" t="b">
        <f>+Q54+X54+AE54+AS54+AZ54+BG54+BN54=I54</f>
        <v>1</v>
      </c>
      <c r="BT54" s="123" t="b">
        <f>+R54+Y54+AF54+AT54+BA54+BH54+BO54=K54</f>
        <v>1</v>
      </c>
      <c r="BU54" s="122"/>
      <c r="BV54" s="54"/>
      <c r="BW54" s="54"/>
      <c r="BX54" s="54"/>
      <c r="BY54" s="54"/>
      <c r="BZ54" s="54"/>
      <c r="CA54" s="54"/>
      <c r="CB54" s="54"/>
      <c r="CC54" s="54"/>
      <c r="CD54" s="54"/>
      <c r="CE54" s="54"/>
    </row>
    <row r="55" spans="1:83" ht="16.5" customHeight="1">
      <c r="A55" s="62"/>
      <c r="B55" s="1529"/>
      <c r="C55" s="1529"/>
      <c r="D55" s="1536"/>
      <c r="E55" s="1529"/>
      <c r="F55" s="124" t="s">
        <v>392</v>
      </c>
      <c r="G55" s="125">
        <f>SUM(G51:G54)</f>
        <v>2914946400</v>
      </c>
      <c r="H55" s="125">
        <f>SUM(H51:H54)</f>
        <v>291494640</v>
      </c>
      <c r="I55" s="125">
        <f>SUM(I51:I54)</f>
        <v>3206441040</v>
      </c>
      <c r="J55" s="124">
        <f t="shared" ref="J55" si="91">+IFERROR(K55/I55,"-")</f>
        <v>0.21287452084258501</v>
      </c>
      <c r="K55" s="125">
        <f>SUM(K51:K54)</f>
        <v>682569600</v>
      </c>
      <c r="L55" s="125">
        <f>SUM(L51:L54)</f>
        <v>2523871440</v>
      </c>
      <c r="M55" s="424"/>
      <c r="N55" s="126"/>
      <c r="O55" s="124"/>
      <c r="P55" s="127">
        <f>+IFERROR(Q55/$I55,"-")</f>
        <v>5.52113068013875E-2</v>
      </c>
      <c r="Q55" s="125">
        <f>SUM(Q51:Q54)</f>
        <v>177031800</v>
      </c>
      <c r="R55" s="125">
        <f>SUM(R51:R54)</f>
        <v>191320800</v>
      </c>
      <c r="S55" s="128">
        <f t="shared" si="1"/>
        <v>-14289000</v>
      </c>
      <c r="T55" s="124"/>
      <c r="U55" s="126"/>
      <c r="V55" s="124"/>
      <c r="W55" s="127">
        <f>+IFERROR(X55/$I55,"-")</f>
        <v>5.52113068013875E-2</v>
      </c>
      <c r="X55" s="125">
        <f>SUM(X51:X54)</f>
        <v>177031800</v>
      </c>
      <c r="Y55" s="125">
        <f>SUM(Y51:Y54)</f>
        <v>211277900</v>
      </c>
      <c r="Z55" s="128">
        <f t="shared" si="57"/>
        <v>-34246100</v>
      </c>
      <c r="AA55" s="124"/>
      <c r="AB55" s="126"/>
      <c r="AC55" s="124"/>
      <c r="AD55" s="127">
        <f>+IFERROR(AE55/$I55,"-")</f>
        <v>0.4416904544111</v>
      </c>
      <c r="AE55" s="125">
        <f>SUM(AE51:AE54)</f>
        <v>1416254400</v>
      </c>
      <c r="AF55" s="125">
        <f>SUM(AF51:AF54)</f>
        <v>279970900</v>
      </c>
      <c r="AG55" s="128">
        <f t="shared" si="60"/>
        <v>1136283500</v>
      </c>
      <c r="AH55" s="124"/>
      <c r="AI55" s="126"/>
      <c r="AJ55" s="124"/>
      <c r="AK55" s="127">
        <f>+IFERROR(AL55/$I55,"-")</f>
        <v>0</v>
      </c>
      <c r="AL55" s="125">
        <f>SUM(AL51:AL54)</f>
        <v>0</v>
      </c>
      <c r="AM55" s="125">
        <f>SUM(AM51:AM54)</f>
        <v>0</v>
      </c>
      <c r="AN55" s="128">
        <f t="shared" si="63"/>
        <v>0</v>
      </c>
      <c r="AO55" s="124"/>
      <c r="AP55" s="126"/>
      <c r="AQ55" s="124"/>
      <c r="AR55" s="127">
        <f>+IFERROR(AS55/$I55,"-")</f>
        <v>0</v>
      </c>
      <c r="AS55" s="125">
        <f>SUM(AS51:AS54)</f>
        <v>0</v>
      </c>
      <c r="AT55" s="125">
        <f>SUM(AT51:AT54)</f>
        <v>0</v>
      </c>
      <c r="AU55" s="128">
        <f t="shared" si="66"/>
        <v>0</v>
      </c>
      <c r="AV55" s="124"/>
      <c r="AW55" s="126"/>
      <c r="AX55" s="124"/>
      <c r="AY55" s="127">
        <f>+IFERROR(AZ55/$I55,"-")</f>
        <v>0</v>
      </c>
      <c r="AZ55" s="125">
        <f>SUM(AZ51:AZ54)</f>
        <v>0</v>
      </c>
      <c r="BA55" s="125">
        <f>SUM(BA51:BA54)</f>
        <v>0</v>
      </c>
      <c r="BB55" s="128">
        <f t="shared" si="69"/>
        <v>0</v>
      </c>
      <c r="BC55" s="124"/>
      <c r="BD55" s="126"/>
      <c r="BE55" s="124"/>
      <c r="BF55" s="127">
        <f>+IFERROR(BG55/$I55,"-")</f>
        <v>0.242929749926105</v>
      </c>
      <c r="BG55" s="125">
        <f>SUM(BG51:BG54)</f>
        <v>778939920</v>
      </c>
      <c r="BH55" s="125">
        <f>SUM(BH51:BH54)</f>
        <v>0</v>
      </c>
      <c r="BI55" s="128">
        <f t="shared" si="72"/>
        <v>778939920</v>
      </c>
      <c r="BJ55" s="124"/>
      <c r="BK55" s="126"/>
      <c r="BL55" s="124"/>
      <c r="BM55" s="127">
        <f t="shared" si="9"/>
        <v>0.20495718206002003</v>
      </c>
      <c r="BN55" s="125">
        <f>SUM(BN51:BN54)</f>
        <v>657183120</v>
      </c>
      <c r="BO55" s="125">
        <f>SUM(BO51:BO54)</f>
        <v>0</v>
      </c>
      <c r="BP55" s="128">
        <f t="shared" si="74"/>
        <v>657183120</v>
      </c>
      <c r="BQ55" s="124"/>
      <c r="BR55" s="88"/>
      <c r="BS55" s="129"/>
      <c r="BT55" s="129"/>
      <c r="BU55" s="129"/>
      <c r="BV55" s="54"/>
      <c r="BW55" s="54"/>
      <c r="BX55" s="54"/>
      <c r="BY55" s="54"/>
      <c r="BZ55" s="54"/>
      <c r="CA55" s="54"/>
      <c r="CB55" s="54"/>
      <c r="CC55" s="54"/>
      <c r="CD55" s="58"/>
      <c r="CE55" s="58"/>
    </row>
    <row r="56" spans="1:83">
      <c r="R56" s="132"/>
      <c r="T56" s="132"/>
      <c r="Y56" s="132"/>
      <c r="AA56" s="132"/>
      <c r="AF56" s="132"/>
      <c r="AH56" s="132"/>
      <c r="AM56" s="132"/>
      <c r="AO56" s="132"/>
      <c r="AT56" s="132"/>
      <c r="AV56" s="132"/>
      <c r="BA56" s="132"/>
      <c r="BC56" s="132"/>
      <c r="BH56" s="132"/>
      <c r="BJ56" s="132"/>
      <c r="BO56" s="132"/>
      <c r="BQ56" s="132"/>
      <c r="BR56" s="133"/>
    </row>
    <row r="57" spans="1:83">
      <c r="K57" s="131"/>
      <c r="N57" s="143"/>
      <c r="O57" s="143"/>
      <c r="R57" s="132"/>
      <c r="T57" s="132"/>
      <c r="U57" s="143"/>
      <c r="V57" s="143"/>
      <c r="X57" s="449"/>
      <c r="Y57" s="132"/>
      <c r="AA57" s="132"/>
      <c r="AB57" s="143"/>
      <c r="AC57" s="143"/>
      <c r="AF57" s="132"/>
      <c r="AH57" s="132"/>
      <c r="AI57" s="143"/>
      <c r="AJ57" s="143"/>
      <c r="AM57" s="132"/>
      <c r="AO57" s="132"/>
      <c r="AP57" s="143"/>
      <c r="AQ57" s="143"/>
      <c r="AT57" s="132"/>
      <c r="AV57" s="132"/>
      <c r="AW57" s="143"/>
      <c r="AX57" s="143"/>
      <c r="BA57" s="132"/>
      <c r="BC57" s="132"/>
      <c r="BD57" s="143"/>
      <c r="BE57" s="143"/>
      <c r="BH57" s="132"/>
      <c r="BJ57" s="132"/>
      <c r="BK57" s="143"/>
      <c r="BL57" s="143"/>
      <c r="BO57" s="132"/>
      <c r="BQ57" s="132"/>
      <c r="BR57" s="133"/>
    </row>
    <row r="58" spans="1:83">
      <c r="AV58" s="53">
        <f>+D51*1100000*1.1</f>
        <v>1947349800.0000007</v>
      </c>
    </row>
    <row r="59" spans="1:83">
      <c r="T59" s="132"/>
      <c r="Y59" s="132"/>
      <c r="AA59" s="132"/>
      <c r="AF59" s="132"/>
      <c r="AH59" s="132"/>
      <c r="AM59" s="132"/>
      <c r="AO59" s="132"/>
      <c r="AT59" s="132"/>
      <c r="AV59" s="132"/>
      <c r="BA59" s="132"/>
      <c r="BC59" s="132"/>
      <c r="BH59" s="132"/>
      <c r="BJ59" s="132"/>
      <c r="BO59" s="132"/>
      <c r="BQ59" s="132"/>
      <c r="BR59" s="133"/>
    </row>
    <row r="60" spans="1:83">
      <c r="T60" s="144"/>
      <c r="Y60" s="144"/>
      <c r="AA60" s="144"/>
      <c r="AF60" s="144"/>
      <c r="AH60" s="144"/>
      <c r="AM60" s="144"/>
      <c r="AO60" s="144"/>
      <c r="AT60" s="144"/>
      <c r="AV60" s="144"/>
      <c r="BA60" s="144"/>
      <c r="BC60" s="144"/>
      <c r="BH60" s="144"/>
      <c r="BJ60" s="144"/>
      <c r="BO60" s="144"/>
      <c r="BQ60" s="144"/>
      <c r="BR60" s="144"/>
    </row>
    <row r="61" spans="1:83">
      <c r="T61" s="132"/>
      <c r="Y61" s="132"/>
      <c r="AA61" s="132"/>
      <c r="AF61" s="132"/>
      <c r="AH61" s="132"/>
      <c r="AM61" s="132"/>
      <c r="AO61" s="132"/>
      <c r="AT61" s="132"/>
      <c r="AV61" s="132"/>
      <c r="BA61" s="132"/>
      <c r="BC61" s="132"/>
      <c r="BH61" s="132"/>
      <c r="BJ61" s="132"/>
      <c r="BO61" s="132"/>
      <c r="BQ61" s="132"/>
      <c r="BR61" s="133"/>
    </row>
    <row r="62" spans="1:83">
      <c r="T62" s="132"/>
      <c r="Y62" s="132"/>
      <c r="AA62" s="132"/>
      <c r="AF62" s="132"/>
      <c r="AH62" s="132"/>
      <c r="AM62" s="132"/>
      <c r="AO62" s="132"/>
      <c r="AT62" s="132"/>
      <c r="AV62" s="132"/>
      <c r="BA62" s="132"/>
      <c r="BC62" s="132"/>
      <c r="BH62" s="132"/>
      <c r="BJ62" s="132"/>
      <c r="BO62" s="132"/>
      <c r="BQ62" s="132"/>
      <c r="BR62" s="133"/>
    </row>
    <row r="71" spans="20:70">
      <c r="T71" s="132"/>
      <c r="Y71" s="132"/>
      <c r="AA71" s="132"/>
      <c r="AF71" s="132"/>
      <c r="AH71" s="132"/>
      <c r="AM71" s="132"/>
      <c r="AO71" s="132"/>
      <c r="AT71" s="132"/>
      <c r="AV71" s="132"/>
      <c r="BA71" s="132"/>
      <c r="BC71" s="132"/>
      <c r="BH71" s="132"/>
      <c r="BJ71" s="132"/>
      <c r="BO71" s="132"/>
      <c r="BQ71" s="132"/>
      <c r="BR71" s="133"/>
    </row>
  </sheetData>
  <mergeCells count="60">
    <mergeCell ref="G9:G10"/>
    <mergeCell ref="B9:B10"/>
    <mergeCell ref="C9:C10"/>
    <mergeCell ref="D9:D10"/>
    <mergeCell ref="E9:E10"/>
    <mergeCell ref="F9:F10"/>
    <mergeCell ref="BS9:BU10"/>
    <mergeCell ref="H9:H10"/>
    <mergeCell ref="I9:I10"/>
    <mergeCell ref="J9:L9"/>
    <mergeCell ref="N9:T9"/>
    <mergeCell ref="U9:AA9"/>
    <mergeCell ref="AB9:AH9"/>
    <mergeCell ref="AI9:AO9"/>
    <mergeCell ref="AP9:AV9"/>
    <mergeCell ref="AW9:BC9"/>
    <mergeCell ref="BD9:BJ9"/>
    <mergeCell ref="BK9:BQ9"/>
    <mergeCell ref="M9:M10"/>
    <mergeCell ref="B11:B15"/>
    <mergeCell ref="C11:C15"/>
    <mergeCell ref="D11:D15"/>
    <mergeCell ref="E11:E15"/>
    <mergeCell ref="B16:B20"/>
    <mergeCell ref="C16:C20"/>
    <mergeCell ref="D16:D20"/>
    <mergeCell ref="E16:E20"/>
    <mergeCell ref="B21:B25"/>
    <mergeCell ref="B26:B30"/>
    <mergeCell ref="B51:C55"/>
    <mergeCell ref="D51:D55"/>
    <mergeCell ref="E51:E55"/>
    <mergeCell ref="C21:C25"/>
    <mergeCell ref="D21:D25"/>
    <mergeCell ref="E21:E25"/>
    <mergeCell ref="C26:C30"/>
    <mergeCell ref="D26:D30"/>
    <mergeCell ref="E26:E30"/>
    <mergeCell ref="B46:B50"/>
    <mergeCell ref="C46:C50"/>
    <mergeCell ref="D46:D50"/>
    <mergeCell ref="B41:B45"/>
    <mergeCell ref="C41:C45"/>
    <mergeCell ref="E31:E35"/>
    <mergeCell ref="E36:E40"/>
    <mergeCell ref="E41:E45"/>
    <mergeCell ref="E46:E50"/>
    <mergeCell ref="B31:B35"/>
    <mergeCell ref="B36:B40"/>
    <mergeCell ref="D41:D45"/>
    <mergeCell ref="C36:C40"/>
    <mergeCell ref="D36:D40"/>
    <mergeCell ref="C31:C35"/>
    <mergeCell ref="D31:D35"/>
    <mergeCell ref="M16:M19"/>
    <mergeCell ref="M21:M24"/>
    <mergeCell ref="M46:M49"/>
    <mergeCell ref="M36:M39"/>
    <mergeCell ref="M41:M44"/>
    <mergeCell ref="M26:M29"/>
  </mergeCells>
  <phoneticPr fontId="9" type="noConversion"/>
  <printOptions horizontalCentered="1"/>
  <pageMargins left="0" right="0" top="0.39370078740157483" bottom="0" header="0" footer="0"/>
  <pageSetup paperSize="8" scale="24" orientation="landscape"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94B7E-D479-4C31-8E9F-E03C247FFA0C}">
  <dimension ref="B2:J15"/>
  <sheetViews>
    <sheetView showGridLines="0" workbookViewId="0">
      <selection activeCell="V86" sqref="V86"/>
    </sheetView>
  </sheetViews>
  <sheetFormatPr defaultRowHeight="12.75"/>
  <cols>
    <col min="1" max="1" width="1.7109375" customWidth="1"/>
    <col min="2" max="2" width="19.5703125" customWidth="1"/>
    <col min="3" max="10" width="18.85546875" customWidth="1"/>
  </cols>
  <sheetData>
    <row r="2" spans="2:10">
      <c r="B2" s="1560" t="s">
        <v>943</v>
      </c>
      <c r="C2" s="1557" t="s">
        <v>944</v>
      </c>
      <c r="D2" s="1556"/>
      <c r="E2" s="1556"/>
      <c r="F2" s="1556"/>
      <c r="G2" s="1556"/>
      <c r="H2" s="1556"/>
      <c r="I2" s="1556"/>
      <c r="J2" s="1556"/>
    </row>
    <row r="3" spans="2:10" ht="13.15" customHeight="1">
      <c r="B3" s="1561"/>
      <c r="C3" s="1563" t="s">
        <v>945</v>
      </c>
      <c r="D3" s="1555" t="s">
        <v>946</v>
      </c>
      <c r="E3" s="1555" t="s">
        <v>947</v>
      </c>
      <c r="F3" s="975" t="s">
        <v>948</v>
      </c>
      <c r="G3" s="1555" t="s">
        <v>949</v>
      </c>
      <c r="H3" s="1555" t="s">
        <v>950</v>
      </c>
      <c r="I3" s="1555" t="s">
        <v>951</v>
      </c>
      <c r="J3" s="1555" t="s">
        <v>952</v>
      </c>
    </row>
    <row r="4" spans="2:10">
      <c r="B4" s="1562"/>
      <c r="C4" s="1557"/>
      <c r="D4" s="1556"/>
      <c r="E4" s="1556"/>
      <c r="F4" s="976" t="s">
        <v>953</v>
      </c>
      <c r="G4" s="1556"/>
      <c r="H4" s="1556"/>
      <c r="I4" s="1556"/>
      <c r="J4" s="1556"/>
    </row>
    <row r="5" spans="2:10" ht="51">
      <c r="B5" s="977" t="s">
        <v>954</v>
      </c>
      <c r="C5" s="978" t="s">
        <v>955</v>
      </c>
      <c r="D5" s="979" t="s">
        <v>956</v>
      </c>
      <c r="E5" s="979" t="s">
        <v>957</v>
      </c>
      <c r="F5" s="979" t="s">
        <v>958</v>
      </c>
      <c r="G5" s="979" t="s">
        <v>959</v>
      </c>
      <c r="H5" s="980" t="s">
        <v>960</v>
      </c>
      <c r="I5" s="980" t="s">
        <v>961</v>
      </c>
      <c r="J5" s="980" t="s">
        <v>962</v>
      </c>
    </row>
    <row r="6" spans="2:10" ht="15.75">
      <c r="B6" s="942" t="s">
        <v>627</v>
      </c>
      <c r="C6" s="1004">
        <v>991</v>
      </c>
      <c r="D6" s="1005">
        <v>315</v>
      </c>
      <c r="E6" s="1005">
        <v>1000</v>
      </c>
      <c r="F6" s="1005">
        <v>200</v>
      </c>
      <c r="G6" s="1005">
        <v>156</v>
      </c>
      <c r="H6" s="1006">
        <v>173</v>
      </c>
      <c r="I6" s="1006">
        <v>371</v>
      </c>
      <c r="J6" s="1006">
        <v>187</v>
      </c>
    </row>
    <row r="7" spans="2:10" ht="13.15" customHeight="1">
      <c r="B7" s="981" t="s">
        <v>630</v>
      </c>
      <c r="C7" s="1558">
        <f>+SUM(C6:J6)</f>
        <v>3393</v>
      </c>
      <c r="D7" s="1559"/>
      <c r="E7" s="1559"/>
      <c r="F7" s="1559"/>
      <c r="G7" s="1559"/>
      <c r="H7" s="1559"/>
      <c r="I7" s="1559"/>
      <c r="J7" s="1559"/>
    </row>
    <row r="8" spans="2:10" ht="31.5">
      <c r="B8" s="977" t="s">
        <v>963</v>
      </c>
      <c r="C8" s="982" t="s">
        <v>964</v>
      </c>
      <c r="D8" s="983" t="s">
        <v>965</v>
      </c>
      <c r="E8" s="983" t="s">
        <v>966</v>
      </c>
      <c r="F8" s="983" t="s">
        <v>967</v>
      </c>
      <c r="G8" s="983" t="s">
        <v>968</v>
      </c>
      <c r="H8" s="984" t="s">
        <v>969</v>
      </c>
      <c r="I8" s="984"/>
      <c r="J8" s="984"/>
    </row>
    <row r="9" spans="2:10" ht="31.5">
      <c r="B9" s="977" t="s">
        <v>517</v>
      </c>
      <c r="C9" s="978" t="s">
        <v>970</v>
      </c>
      <c r="D9" s="979" t="s">
        <v>971</v>
      </c>
      <c r="E9" s="979" t="s">
        <v>972</v>
      </c>
      <c r="F9" s="979" t="s">
        <v>973</v>
      </c>
      <c r="G9" s="979" t="s">
        <v>974</v>
      </c>
      <c r="H9" s="980" t="s">
        <v>975</v>
      </c>
      <c r="I9" s="980" t="s">
        <v>976</v>
      </c>
      <c r="J9" s="980" t="s">
        <v>977</v>
      </c>
    </row>
    <row r="10" spans="2:10" ht="13.15" customHeight="1">
      <c r="B10" s="1553" t="s">
        <v>978</v>
      </c>
      <c r="C10" s="985" t="s">
        <v>979</v>
      </c>
      <c r="D10" s="987" t="s">
        <v>980</v>
      </c>
      <c r="E10" s="987" t="s">
        <v>981</v>
      </c>
      <c r="F10" s="987" t="s">
        <v>982</v>
      </c>
      <c r="G10" s="987" t="s">
        <v>983</v>
      </c>
      <c r="H10" s="989" t="s">
        <v>984</v>
      </c>
      <c r="I10" s="989" t="s">
        <v>985</v>
      </c>
      <c r="J10" s="989" t="s">
        <v>985</v>
      </c>
    </row>
    <row r="11" spans="2:10">
      <c r="B11" s="1554"/>
      <c r="C11" s="986" t="s">
        <v>986</v>
      </c>
      <c r="D11" s="988" t="s">
        <v>987</v>
      </c>
      <c r="E11" s="988" t="s">
        <v>988</v>
      </c>
      <c r="F11" s="988" t="s">
        <v>989</v>
      </c>
      <c r="G11" s="988" t="s">
        <v>990</v>
      </c>
      <c r="H11" s="990" t="s">
        <v>991</v>
      </c>
      <c r="I11" s="990" t="s">
        <v>992</v>
      </c>
      <c r="J11" s="990" t="s">
        <v>992</v>
      </c>
    </row>
    <row r="12" spans="2:10" ht="15.75">
      <c r="B12" s="977" t="s">
        <v>993</v>
      </c>
      <c r="C12" s="991">
        <v>9.11E-2</v>
      </c>
      <c r="D12" s="992">
        <v>9.1899999999999996E-2</v>
      </c>
      <c r="E12" s="992">
        <v>9.2700000000000005E-2</v>
      </c>
      <c r="F12" s="992">
        <v>9.1399999999999995E-2</v>
      </c>
      <c r="G12" s="992">
        <v>8.7300000000000003E-2</v>
      </c>
      <c r="H12" s="993">
        <v>9.6500000000000002E-2</v>
      </c>
      <c r="I12" s="993">
        <v>9.8199999999999996E-2</v>
      </c>
      <c r="J12" s="993">
        <v>9.8100000000000007E-2</v>
      </c>
    </row>
    <row r="13" spans="2:10" ht="15.75">
      <c r="B13" s="977" t="s">
        <v>639</v>
      </c>
      <c r="C13" s="994" t="s">
        <v>994</v>
      </c>
      <c r="D13" s="995" t="s">
        <v>995</v>
      </c>
      <c r="E13" s="995" t="s">
        <v>995</v>
      </c>
      <c r="F13" s="995" t="s">
        <v>995</v>
      </c>
      <c r="G13" s="995" t="s">
        <v>995</v>
      </c>
      <c r="H13" s="996" t="s">
        <v>995</v>
      </c>
      <c r="I13" s="996" t="s">
        <v>995</v>
      </c>
      <c r="J13" s="996" t="s">
        <v>995</v>
      </c>
    </row>
    <row r="14" spans="2:10" ht="13.15" customHeight="1">
      <c r="B14" s="1553" t="s">
        <v>996</v>
      </c>
      <c r="C14" s="997" t="s">
        <v>997</v>
      </c>
      <c r="D14" s="998" t="s">
        <v>998</v>
      </c>
      <c r="E14" s="999" t="s">
        <v>999</v>
      </c>
      <c r="F14" s="998" t="s">
        <v>1000</v>
      </c>
      <c r="G14" s="998" t="s">
        <v>1001</v>
      </c>
      <c r="H14" s="1000" t="s">
        <v>1002</v>
      </c>
      <c r="I14" s="1000" t="s">
        <v>1003</v>
      </c>
      <c r="J14" s="1000" t="s">
        <v>1004</v>
      </c>
    </row>
    <row r="15" spans="2:10" ht="13.15" customHeight="1">
      <c r="B15" s="1554"/>
      <c r="C15" s="1001" t="s">
        <v>1005</v>
      </c>
      <c r="D15" s="1002" t="s">
        <v>1006</v>
      </c>
      <c r="E15" s="1002" t="s">
        <v>1007</v>
      </c>
      <c r="F15" s="1002" t="s">
        <v>1008</v>
      </c>
      <c r="G15" s="1002" t="s">
        <v>1009</v>
      </c>
      <c r="H15" s="1003" t="s">
        <v>1010</v>
      </c>
      <c r="I15" s="1003" t="s">
        <v>1011</v>
      </c>
      <c r="J15" s="1003" t="s">
        <v>1012</v>
      </c>
    </row>
  </sheetData>
  <mergeCells count="12">
    <mergeCell ref="B10:B11"/>
    <mergeCell ref="B14:B15"/>
    <mergeCell ref="I3:I4"/>
    <mergeCell ref="J3:J4"/>
    <mergeCell ref="C2:J2"/>
    <mergeCell ref="C7:J7"/>
    <mergeCell ref="B2:B4"/>
    <mergeCell ref="C3:C4"/>
    <mergeCell ref="D3:D4"/>
    <mergeCell ref="E3:E4"/>
    <mergeCell ref="G3:G4"/>
    <mergeCell ref="H3:H4"/>
  </mergeCells>
  <phoneticPr fontId="9"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F7E06-C563-4D56-9599-47849A2A4200}">
  <dimension ref="B1:R32"/>
  <sheetViews>
    <sheetView showGridLines="0" zoomScale="85" zoomScaleNormal="85" workbookViewId="0">
      <selection activeCell="V86" sqref="V86"/>
    </sheetView>
  </sheetViews>
  <sheetFormatPr defaultColWidth="9.140625" defaultRowHeight="12.75" outlineLevelCol="1"/>
  <cols>
    <col min="1" max="1" width="1.7109375" style="6" customWidth="1"/>
    <col min="2" max="2" width="26.42578125" style="6" customWidth="1"/>
    <col min="3" max="3" width="11.42578125" style="6" customWidth="1"/>
    <col min="4" max="5" width="11.42578125" style="6" customWidth="1" outlineLevel="1"/>
    <col min="6" max="10" width="30.7109375" style="6" customWidth="1"/>
    <col min="11" max="11" width="9.140625" style="6"/>
    <col min="12" max="12" width="12.7109375" bestFit="1" customWidth="1"/>
    <col min="13" max="14" width="9.140625" style="6"/>
    <col min="15" max="15" width="12" style="6" bestFit="1" customWidth="1"/>
    <col min="16" max="17" width="9.140625" style="6"/>
    <col min="18" max="18" width="12" style="6" bestFit="1" customWidth="1"/>
    <col min="19" max="16384" width="9.140625" style="6"/>
  </cols>
  <sheetData>
    <row r="1" spans="2:13">
      <c r="B1" s="6" t="s">
        <v>227</v>
      </c>
    </row>
    <row r="2" spans="2:13">
      <c r="J2" s="39" t="s">
        <v>1013</v>
      </c>
      <c r="L2" s="204">
        <v>500000000</v>
      </c>
    </row>
    <row r="3" spans="2:13" ht="15.75">
      <c r="B3" s="1553" t="s">
        <v>1014</v>
      </c>
      <c r="C3" s="1566" t="s">
        <v>1015</v>
      </c>
      <c r="D3" s="1566" t="s">
        <v>1016</v>
      </c>
      <c r="E3" s="1566" t="s">
        <v>606</v>
      </c>
      <c r="F3" s="837" t="s">
        <v>1017</v>
      </c>
      <c r="G3" s="837" t="s">
        <v>1018</v>
      </c>
      <c r="H3" s="837" t="s">
        <v>1019</v>
      </c>
      <c r="I3" s="837" t="s">
        <v>287</v>
      </c>
      <c r="J3" s="1564" t="s">
        <v>688</v>
      </c>
    </row>
    <row r="4" spans="2:13" ht="15.75">
      <c r="B4" s="1568"/>
      <c r="C4" s="1567"/>
      <c r="D4" s="1567"/>
      <c r="E4" s="1567"/>
      <c r="F4" s="838">
        <v>0.3</v>
      </c>
      <c r="G4" s="838">
        <v>0.1</v>
      </c>
      <c r="H4" s="838">
        <v>0.5</v>
      </c>
      <c r="I4" s="838">
        <v>0.1</v>
      </c>
      <c r="J4" s="1565"/>
    </row>
    <row r="5" spans="2:13" ht="15.75">
      <c r="B5" s="839" t="str">
        <f>+'BT 4HO'!C36</f>
        <v>RMK</v>
      </c>
      <c r="C5" s="1024">
        <f>+'BT 4HO'!D36</f>
        <v>991</v>
      </c>
      <c r="D5" s="861" t="e">
        <f>+민감도분석_4!#REF!</f>
        <v>#REF!</v>
      </c>
      <c r="E5" s="867">
        <v>1475</v>
      </c>
      <c r="F5" s="1027">
        <f t="shared" ref="F5:I12" si="0">+$C5*$L$2*F$4*1.1/1000</f>
        <v>163515000</v>
      </c>
      <c r="G5" s="1020">
        <f t="shared" si="0"/>
        <v>54505000.000000007</v>
      </c>
      <c r="H5" s="1020">
        <f t="shared" si="0"/>
        <v>272525000.00000006</v>
      </c>
      <c r="I5" s="1020">
        <f t="shared" si="0"/>
        <v>54505000.000000007</v>
      </c>
      <c r="J5" s="1021">
        <f>+SUM(F5:I5)</f>
        <v>545050000.00000012</v>
      </c>
      <c r="L5" t="e">
        <f>+D5*C5</f>
        <v>#REF!</v>
      </c>
      <c r="M5" s="6">
        <f>+E5*C5</f>
        <v>1461725</v>
      </c>
    </row>
    <row r="6" spans="2:13" ht="15.75">
      <c r="B6" s="840" t="str">
        <f>+'BT 4HO'!C46</f>
        <v>Daesung Fruit Industry</v>
      </c>
      <c r="C6" s="1025">
        <f>+'BT 4HO'!D46</f>
        <v>315</v>
      </c>
      <c r="D6" s="861">
        <f>+민감도분석_4!G12</f>
        <v>9.1921479863732447E-2</v>
      </c>
      <c r="E6" s="867">
        <v>1431</v>
      </c>
      <c r="F6" s="1027">
        <f t="shared" si="0"/>
        <v>51975000.000000007</v>
      </c>
      <c r="G6" s="1020">
        <f t="shared" si="0"/>
        <v>17325000</v>
      </c>
      <c r="H6" s="1020">
        <f t="shared" si="0"/>
        <v>86625000</v>
      </c>
      <c r="I6" s="1020">
        <f t="shared" si="0"/>
        <v>17325000</v>
      </c>
      <c r="J6" s="1021">
        <f t="shared" ref="J6:J10" si="1">+SUM(F6:I6)</f>
        <v>173250000</v>
      </c>
      <c r="L6">
        <f t="shared" ref="L6:L10" si="2">+D6*C6</f>
        <v>28.955266157075719</v>
      </c>
      <c r="M6" s="6">
        <f t="shared" ref="M6:M10" si="3">+E6*C6</f>
        <v>450765</v>
      </c>
    </row>
    <row r="7" spans="2:13" ht="15.75">
      <c r="B7" s="840" t="str">
        <f>+'BT 4HO'!C56</f>
        <v>Ilshin Industry(HQ)</v>
      </c>
      <c r="C7" s="1025">
        <f>+'BT 4HO'!D56</f>
        <v>1000</v>
      </c>
      <c r="D7" s="861">
        <f>+민감도분석_4!G38</f>
        <v>9.2707634548197415E-2</v>
      </c>
      <c r="E7" s="867">
        <v>1436</v>
      </c>
      <c r="F7" s="1027">
        <f t="shared" si="0"/>
        <v>165000000</v>
      </c>
      <c r="G7" s="1020">
        <f t="shared" si="0"/>
        <v>55000000.000000007</v>
      </c>
      <c r="H7" s="1020">
        <f t="shared" si="0"/>
        <v>275000000</v>
      </c>
      <c r="I7" s="1020">
        <f t="shared" si="0"/>
        <v>55000000.000000007</v>
      </c>
      <c r="J7" s="1021">
        <f t="shared" si="1"/>
        <v>550000000</v>
      </c>
      <c r="L7">
        <f t="shared" si="2"/>
        <v>92.707634548197419</v>
      </c>
      <c r="M7" s="6">
        <f t="shared" si="3"/>
        <v>1436000</v>
      </c>
    </row>
    <row r="8" spans="2:13" ht="15.75">
      <c r="B8" s="840" t="str">
        <f>+'BT 4HO'!C61</f>
        <v>Ilshin Industry(Branch)</v>
      </c>
      <c r="C8" s="1025">
        <f>+'BT 4HO'!D61</f>
        <v>200</v>
      </c>
      <c r="D8" s="861">
        <f>+민감도분석_4!G51</f>
        <v>9.1376325614958009E-2</v>
      </c>
      <c r="E8" s="867">
        <v>1425</v>
      </c>
      <c r="F8" s="1027">
        <f t="shared" si="0"/>
        <v>33000000.000000004</v>
      </c>
      <c r="G8" s="1020">
        <f t="shared" si="0"/>
        <v>11000000</v>
      </c>
      <c r="H8" s="1020">
        <f t="shared" si="0"/>
        <v>55000000.000000007</v>
      </c>
      <c r="I8" s="1020">
        <f t="shared" si="0"/>
        <v>11000000</v>
      </c>
      <c r="J8" s="1021">
        <f t="shared" si="1"/>
        <v>110000000</v>
      </c>
      <c r="L8">
        <f t="shared" si="2"/>
        <v>18.275265122991602</v>
      </c>
      <c r="M8" s="6">
        <f t="shared" si="3"/>
        <v>285000</v>
      </c>
    </row>
    <row r="9" spans="2:13" ht="15.75">
      <c r="B9" s="840" t="str">
        <f>+'BT 4HO'!C51</f>
        <v>Ilsan Metal</v>
      </c>
      <c r="C9" s="1025">
        <f>+'BT 4HO'!D51</f>
        <v>156</v>
      </c>
      <c r="D9" s="861">
        <f>+민감도분석_4!G64</f>
        <v>8.7277198359636321E-2</v>
      </c>
      <c r="E9" s="867">
        <v>1386</v>
      </c>
      <c r="F9" s="1027">
        <f t="shared" si="0"/>
        <v>25740000.000000004</v>
      </c>
      <c r="G9" s="1020">
        <f t="shared" si="0"/>
        <v>8580000.0000000019</v>
      </c>
      <c r="H9" s="1020">
        <f t="shared" si="0"/>
        <v>42900000</v>
      </c>
      <c r="I9" s="1020">
        <f t="shared" si="0"/>
        <v>8580000.0000000019</v>
      </c>
      <c r="J9" s="1021">
        <f>+SUM(F9:I9)</f>
        <v>85800000</v>
      </c>
      <c r="L9">
        <f t="shared" si="2"/>
        <v>13.615242944103265</v>
      </c>
      <c r="M9" s="6">
        <f t="shared" si="3"/>
        <v>216216</v>
      </c>
    </row>
    <row r="10" spans="2:13" ht="15.75">
      <c r="B10" s="840" t="str">
        <f>+'BT 4HO'!C66</f>
        <v>LC-Tech</v>
      </c>
      <c r="C10" s="1025">
        <f>+'BT 4HO'!D66</f>
        <v>173</v>
      </c>
      <c r="D10" s="861">
        <f>+민감도분석_4!G77</f>
        <v>9.6534929037110695E-2</v>
      </c>
      <c r="E10" s="867">
        <v>1478</v>
      </c>
      <c r="F10" s="1027">
        <f t="shared" si="0"/>
        <v>28545000.000000004</v>
      </c>
      <c r="G10" s="1020">
        <f t="shared" si="0"/>
        <v>9515000</v>
      </c>
      <c r="H10" s="1020">
        <f t="shared" si="0"/>
        <v>47575000.000000007</v>
      </c>
      <c r="I10" s="1020">
        <f t="shared" si="0"/>
        <v>9515000</v>
      </c>
      <c r="J10" s="1021">
        <f t="shared" si="1"/>
        <v>95150000</v>
      </c>
      <c r="L10">
        <f t="shared" si="2"/>
        <v>16.700542723420149</v>
      </c>
      <c r="M10" s="6">
        <f t="shared" si="3"/>
        <v>255694</v>
      </c>
    </row>
    <row r="11" spans="2:13" ht="15.75">
      <c r="B11" s="840" t="s">
        <v>1020</v>
      </c>
      <c r="C11" s="1025">
        <f>+'DEVEX(Info)'!I6</f>
        <v>371</v>
      </c>
      <c r="D11" s="861">
        <f>+'DEVEX(Info)'!I12</f>
        <v>9.8199999999999996E-2</v>
      </c>
      <c r="E11" s="867">
        <v>1494</v>
      </c>
      <c r="F11" s="1027">
        <f t="shared" si="0"/>
        <v>61215000.000000007</v>
      </c>
      <c r="G11" s="1020">
        <f t="shared" si="0"/>
        <v>20405000</v>
      </c>
      <c r="H11" s="1020">
        <f t="shared" si="0"/>
        <v>102025000.00000001</v>
      </c>
      <c r="I11" s="1020">
        <f t="shared" si="0"/>
        <v>20405000</v>
      </c>
      <c r="J11" s="1021">
        <f>+SUM(F11:I11)</f>
        <v>204050000</v>
      </c>
      <c r="L11">
        <f>+D11*C11</f>
        <v>36.432200000000002</v>
      </c>
      <c r="M11" s="6">
        <f>+E11*C11</f>
        <v>554274</v>
      </c>
    </row>
    <row r="12" spans="2:13" ht="15.75">
      <c r="B12" s="840" t="s">
        <v>1021</v>
      </c>
      <c r="C12" s="1025">
        <f>+'DEVEX(Info)'!J6</f>
        <v>187</v>
      </c>
      <c r="D12" s="861">
        <f>+'DEVEX(Info)'!J12</f>
        <v>9.8100000000000007E-2</v>
      </c>
      <c r="E12" s="867">
        <v>1494</v>
      </c>
      <c r="F12" s="1027">
        <f>+$C12*$L$2*F$4*1.1/1000</f>
        <v>30855000.000000004</v>
      </c>
      <c r="G12" s="1020">
        <f t="shared" si="0"/>
        <v>10285000</v>
      </c>
      <c r="H12" s="1020">
        <f t="shared" si="0"/>
        <v>51425000.000000007</v>
      </c>
      <c r="I12" s="1020">
        <f t="shared" si="0"/>
        <v>10285000</v>
      </c>
      <c r="J12" s="1021">
        <f>+SUM(F12:I12)</f>
        <v>102850000</v>
      </c>
      <c r="L12">
        <f>+D12*C12</f>
        <v>18.3447</v>
      </c>
      <c r="M12" s="6">
        <f>+E12*C12</f>
        <v>279378</v>
      </c>
    </row>
    <row r="13" spans="2:13" ht="16.5" thickBot="1">
      <c r="B13" s="842" t="s">
        <v>17</v>
      </c>
      <c r="C13" s="1026">
        <f>+SUM(C5:C12)</f>
        <v>3393</v>
      </c>
      <c r="D13" s="862" t="e">
        <f>+L13</f>
        <v>#REF!</v>
      </c>
      <c r="E13" s="868">
        <f>+M13</f>
        <v>1455.6592985558502</v>
      </c>
      <c r="F13" s="1028">
        <f>SUM(F5:F12)</f>
        <v>559845000</v>
      </c>
      <c r="G13" s="1022">
        <f>SUM(G5:G12)</f>
        <v>186615000</v>
      </c>
      <c r="H13" s="1022">
        <f>SUM(H5:H12)</f>
        <v>933075000</v>
      </c>
      <c r="I13" s="1022">
        <f>SUM(I5:I12)</f>
        <v>186615000</v>
      </c>
      <c r="J13" s="1023">
        <f>SUM(J5:J12)</f>
        <v>1866150000</v>
      </c>
      <c r="L13" s="340" t="e">
        <f>+SUM(L5:L12)/C13</f>
        <v>#REF!</v>
      </c>
      <c r="M13" s="6">
        <f>+SUM(M5:M12)/C13</f>
        <v>1455.6592985558502</v>
      </c>
    </row>
    <row r="14" spans="2:13" ht="20.45" customHeight="1" thickBot="1">
      <c r="B14" s="1569" t="s">
        <v>1022</v>
      </c>
      <c r="C14" s="1570"/>
      <c r="D14" s="860"/>
      <c r="E14" s="860"/>
      <c r="F14" s="1571">
        <f>F13+G13</f>
        <v>746460000</v>
      </c>
      <c r="G14" s="1572"/>
      <c r="H14" s="1573"/>
      <c r="I14" s="1574"/>
      <c r="J14" s="841"/>
      <c r="M14" s="6">
        <f>+E13/365</f>
        <v>3.9881076672763021</v>
      </c>
    </row>
    <row r="16" spans="2:13">
      <c r="J16" s="39" t="s">
        <v>1023</v>
      </c>
      <c r="L16" s="204">
        <v>1470</v>
      </c>
    </row>
    <row r="17" spans="2:18" ht="15.75">
      <c r="B17" s="1553" t="s">
        <v>1014</v>
      </c>
      <c r="C17" s="1566" t="s">
        <v>1015</v>
      </c>
      <c r="D17" s="1566" t="s">
        <v>1016</v>
      </c>
      <c r="E17" s="1566" t="s">
        <v>606</v>
      </c>
      <c r="F17" s="837" t="s">
        <v>1017</v>
      </c>
      <c r="G17" s="837" t="s">
        <v>1018</v>
      </c>
      <c r="H17" s="837" t="s">
        <v>1019</v>
      </c>
      <c r="I17" s="837" t="s">
        <v>287</v>
      </c>
      <c r="J17" s="1564" t="s">
        <v>688</v>
      </c>
    </row>
    <row r="18" spans="2:18" ht="15.75">
      <c r="B18" s="1568"/>
      <c r="C18" s="1567"/>
      <c r="D18" s="1567"/>
      <c r="E18" s="1567"/>
      <c r="F18" s="838">
        <v>0.3</v>
      </c>
      <c r="G18" s="838">
        <v>0.1</v>
      </c>
      <c r="H18" s="838">
        <v>0.5</v>
      </c>
      <c r="I18" s="838">
        <v>0.1</v>
      </c>
      <c r="J18" s="1565"/>
    </row>
    <row r="19" spans="2:18" ht="15.75">
      <c r="B19" s="839" t="str">
        <f t="shared" ref="B19:E23" si="4">+B5</f>
        <v>RMK</v>
      </c>
      <c r="C19" s="1024">
        <f t="shared" si="4"/>
        <v>991</v>
      </c>
      <c r="D19" s="861" t="e">
        <f t="shared" si="4"/>
        <v>#REF!</v>
      </c>
      <c r="E19" s="867">
        <f t="shared" si="4"/>
        <v>1475</v>
      </c>
      <c r="F19" s="1035">
        <f t="shared" ref="F19:I26" si="5">+F5/$L$16</f>
        <v>111234.69387755102</v>
      </c>
      <c r="G19" s="1029">
        <f t="shared" si="5"/>
        <v>37078.231292517012</v>
      </c>
      <c r="H19" s="1029">
        <f t="shared" si="5"/>
        <v>185391.15646258509</v>
      </c>
      <c r="I19" s="1029">
        <f t="shared" si="5"/>
        <v>37078.231292517012</v>
      </c>
      <c r="J19" s="1030">
        <f>+SUM(F19:I19)</f>
        <v>370782.31292517018</v>
      </c>
    </row>
    <row r="20" spans="2:18" ht="15.75">
      <c r="B20" s="839" t="str">
        <f t="shared" si="4"/>
        <v>Daesung Fruit Industry</v>
      </c>
      <c r="C20" s="1024">
        <f t="shared" si="4"/>
        <v>315</v>
      </c>
      <c r="D20" s="861">
        <f t="shared" si="4"/>
        <v>9.1921479863732447E-2</v>
      </c>
      <c r="E20" s="867">
        <f t="shared" si="4"/>
        <v>1431</v>
      </c>
      <c r="F20" s="1035">
        <f t="shared" si="5"/>
        <v>35357.142857142862</v>
      </c>
      <c r="G20" s="1029">
        <f t="shared" si="5"/>
        <v>11785.714285714286</v>
      </c>
      <c r="H20" s="1029">
        <f t="shared" si="5"/>
        <v>58928.571428571428</v>
      </c>
      <c r="I20" s="1029">
        <f t="shared" si="5"/>
        <v>11785.714285714286</v>
      </c>
      <c r="J20" s="1030">
        <f t="shared" ref="J20:J24" si="6">+SUM(F20:I20)</f>
        <v>117857.14285714287</v>
      </c>
    </row>
    <row r="21" spans="2:18" ht="15.75">
      <c r="B21" s="839" t="str">
        <f t="shared" si="4"/>
        <v>Ilshin Industry(HQ)</v>
      </c>
      <c r="C21" s="1024">
        <f t="shared" si="4"/>
        <v>1000</v>
      </c>
      <c r="D21" s="861">
        <f t="shared" si="4"/>
        <v>9.2707634548197415E-2</v>
      </c>
      <c r="E21" s="867">
        <f t="shared" si="4"/>
        <v>1436</v>
      </c>
      <c r="F21" s="1035">
        <f t="shared" si="5"/>
        <v>112244.89795918367</v>
      </c>
      <c r="G21" s="1029">
        <f t="shared" si="5"/>
        <v>37414.965986394564</v>
      </c>
      <c r="H21" s="1029">
        <f t="shared" si="5"/>
        <v>187074.82993197278</v>
      </c>
      <c r="I21" s="1029">
        <f t="shared" si="5"/>
        <v>37414.965986394564</v>
      </c>
      <c r="J21" s="1030">
        <f t="shared" si="6"/>
        <v>374149.65986394556</v>
      </c>
    </row>
    <row r="22" spans="2:18" ht="15.75">
      <c r="B22" s="839" t="str">
        <f t="shared" si="4"/>
        <v>Ilshin Industry(Branch)</v>
      </c>
      <c r="C22" s="1024">
        <f t="shared" si="4"/>
        <v>200</v>
      </c>
      <c r="D22" s="861">
        <f t="shared" si="4"/>
        <v>9.1376325614958009E-2</v>
      </c>
      <c r="E22" s="867">
        <f t="shared" si="4"/>
        <v>1425</v>
      </c>
      <c r="F22" s="1035">
        <f t="shared" si="5"/>
        <v>22448.979591836738</v>
      </c>
      <c r="G22" s="1029">
        <f t="shared" si="5"/>
        <v>7482.9931972789118</v>
      </c>
      <c r="H22" s="1029">
        <f t="shared" si="5"/>
        <v>37414.965986394564</v>
      </c>
      <c r="I22" s="1029">
        <f t="shared" si="5"/>
        <v>7482.9931972789118</v>
      </c>
      <c r="J22" s="1030">
        <f t="shared" si="6"/>
        <v>74829.931972789112</v>
      </c>
    </row>
    <row r="23" spans="2:18" ht="15.75">
      <c r="B23" s="839" t="str">
        <f t="shared" si="4"/>
        <v>Ilsan Metal</v>
      </c>
      <c r="C23" s="1024">
        <f t="shared" si="4"/>
        <v>156</v>
      </c>
      <c r="D23" s="861">
        <f t="shared" si="4"/>
        <v>8.7277198359636321E-2</v>
      </c>
      <c r="E23" s="867">
        <f t="shared" si="4"/>
        <v>1386</v>
      </c>
      <c r="F23" s="1035">
        <f t="shared" si="5"/>
        <v>17510.204081632655</v>
      </c>
      <c r="G23" s="1029">
        <f t="shared" si="5"/>
        <v>5836.7346938775527</v>
      </c>
      <c r="H23" s="1029">
        <f t="shared" si="5"/>
        <v>29183.673469387755</v>
      </c>
      <c r="I23" s="1029">
        <f t="shared" si="5"/>
        <v>5836.7346938775527</v>
      </c>
      <c r="J23" s="1030">
        <f>+SUM(F23:I23)</f>
        <v>58367.34693877551</v>
      </c>
    </row>
    <row r="24" spans="2:18" ht="15.75">
      <c r="B24" s="839" t="str">
        <f t="shared" ref="B24:C24" si="7">+B10</f>
        <v>LC-Tech</v>
      </c>
      <c r="C24" s="1024">
        <f t="shared" si="7"/>
        <v>173</v>
      </c>
      <c r="D24" s="861">
        <f t="shared" ref="D24:E27" si="8">+D10</f>
        <v>9.6534929037110695E-2</v>
      </c>
      <c r="E24" s="867">
        <f t="shared" si="8"/>
        <v>1478</v>
      </c>
      <c r="F24" s="1035">
        <f t="shared" si="5"/>
        <v>19418.36734693878</v>
      </c>
      <c r="G24" s="1029">
        <f t="shared" si="5"/>
        <v>6472.7891156462583</v>
      </c>
      <c r="H24" s="1029">
        <f t="shared" si="5"/>
        <v>32363.945578231298</v>
      </c>
      <c r="I24" s="1029">
        <f t="shared" si="5"/>
        <v>6472.7891156462583</v>
      </c>
      <c r="J24" s="1030">
        <f t="shared" si="6"/>
        <v>64727.891156462589</v>
      </c>
    </row>
    <row r="25" spans="2:18" ht="15.75">
      <c r="B25" s="840" t="s">
        <v>1020</v>
      </c>
      <c r="C25" s="1025">
        <f>+C11</f>
        <v>371</v>
      </c>
      <c r="D25" s="861">
        <f t="shared" si="8"/>
        <v>9.8199999999999996E-2</v>
      </c>
      <c r="E25" s="867">
        <f t="shared" si="8"/>
        <v>1494</v>
      </c>
      <c r="F25" s="1035">
        <f t="shared" si="5"/>
        <v>41642.857142857145</v>
      </c>
      <c r="G25" s="1029">
        <f t="shared" si="5"/>
        <v>13880.952380952382</v>
      </c>
      <c r="H25" s="1029">
        <f t="shared" si="5"/>
        <v>69404.761904761908</v>
      </c>
      <c r="I25" s="1029">
        <f t="shared" si="5"/>
        <v>13880.952380952382</v>
      </c>
      <c r="J25" s="1030">
        <f>+SUM(F25:I25)</f>
        <v>138809.52380952382</v>
      </c>
    </row>
    <row r="26" spans="2:18" ht="15.75">
      <c r="B26" s="840" t="s">
        <v>1021</v>
      </c>
      <c r="C26" s="1025">
        <f>+C12</f>
        <v>187</v>
      </c>
      <c r="D26" s="861">
        <f t="shared" si="8"/>
        <v>9.8100000000000007E-2</v>
      </c>
      <c r="E26" s="867">
        <f t="shared" si="8"/>
        <v>1494</v>
      </c>
      <c r="F26" s="1035">
        <f t="shared" si="5"/>
        <v>20989.795918367348</v>
      </c>
      <c r="G26" s="1029">
        <f t="shared" si="5"/>
        <v>6996.5986394557822</v>
      </c>
      <c r="H26" s="1029">
        <f t="shared" si="5"/>
        <v>34982.99319727892</v>
      </c>
      <c r="I26" s="1029">
        <f t="shared" si="5"/>
        <v>6996.5986394557822</v>
      </c>
      <c r="J26" s="1030">
        <f>+SUM(F26:I26)</f>
        <v>69965.986394557825</v>
      </c>
    </row>
    <row r="27" spans="2:18" ht="16.5" thickBot="1">
      <c r="B27" s="842" t="s">
        <v>17</v>
      </c>
      <c r="C27" s="1026">
        <f>+SUM(C19:C26)</f>
        <v>3393</v>
      </c>
      <c r="D27" s="862" t="e">
        <f t="shared" si="8"/>
        <v>#REF!</v>
      </c>
      <c r="E27" s="868">
        <f t="shared" si="8"/>
        <v>1455.6592985558502</v>
      </c>
      <c r="F27" s="1036">
        <f>SUM(F19:F26)</f>
        <v>380846.93877551018</v>
      </c>
      <c r="G27" s="1031">
        <f>SUM(G19:G26)</f>
        <v>126948.97959183675</v>
      </c>
      <c r="H27" s="1032">
        <f>SUM(H19:H26)</f>
        <v>634744.89795918367</v>
      </c>
      <c r="I27" s="1032">
        <f>SUM(I19:I26)</f>
        <v>126948.97959183675</v>
      </c>
      <c r="J27" s="1033">
        <f>SUM(J19:J26)</f>
        <v>1269489.7959183673</v>
      </c>
    </row>
    <row r="28" spans="2:18" ht="19.899999999999999" customHeight="1" thickBot="1">
      <c r="B28" s="1569" t="s">
        <v>1022</v>
      </c>
      <c r="C28" s="1570"/>
      <c r="D28" s="860"/>
      <c r="E28" s="860"/>
      <c r="F28" s="1575">
        <f>F27+G27</f>
        <v>507795.91836734692</v>
      </c>
      <c r="G28" s="1576"/>
      <c r="H28" s="1577"/>
      <c r="I28" s="1578"/>
      <c r="J28" s="1034"/>
    </row>
    <row r="31" spans="2:18">
      <c r="Q31" s="6">
        <v>380846.94</v>
      </c>
      <c r="R31" s="9">
        <f>Q31/Q32</f>
        <v>0.16303224972472544</v>
      </c>
    </row>
    <row r="32" spans="2:18">
      <c r="Q32" s="6">
        <v>2336022.11</v>
      </c>
    </row>
  </sheetData>
  <mergeCells count="16">
    <mergeCell ref="B28:C28"/>
    <mergeCell ref="F28:G28"/>
    <mergeCell ref="H28:I28"/>
    <mergeCell ref="D3:D4"/>
    <mergeCell ref="D17:D18"/>
    <mergeCell ref="B3:B4"/>
    <mergeCell ref="J3:J4"/>
    <mergeCell ref="C3:C4"/>
    <mergeCell ref="B17:B18"/>
    <mergeCell ref="C17:C18"/>
    <mergeCell ref="J17:J18"/>
    <mergeCell ref="B14:C14"/>
    <mergeCell ref="F14:G14"/>
    <mergeCell ref="E3:E4"/>
    <mergeCell ref="E17:E18"/>
    <mergeCell ref="H14:I14"/>
  </mergeCells>
  <phoneticPr fontId="9"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EB14B-1146-4ED3-AB01-DE56939EA2C7}">
  <dimension ref="B2:Y59"/>
  <sheetViews>
    <sheetView showGridLines="0" zoomScaleNormal="100" workbookViewId="0">
      <selection activeCell="V86" sqref="V86"/>
    </sheetView>
  </sheetViews>
  <sheetFormatPr defaultColWidth="9.140625" defaultRowHeight="12.75"/>
  <cols>
    <col min="1" max="1" width="1.7109375" style="6" customWidth="1"/>
    <col min="2" max="2" width="21.140625" style="6" customWidth="1"/>
    <col min="3" max="14" width="12.7109375" style="6" customWidth="1"/>
    <col min="15" max="16384" width="9.140625" style="6"/>
  </cols>
  <sheetData>
    <row r="2" spans="2:23" ht="24" customHeight="1">
      <c r="B2" s="1281" t="s">
        <v>701</v>
      </c>
      <c r="C2" s="1281"/>
      <c r="D2" s="1281"/>
      <c r="E2" s="621"/>
      <c r="F2" s="621"/>
      <c r="G2" s="621"/>
      <c r="H2" s="621"/>
      <c r="I2" s="621"/>
      <c r="J2" s="621"/>
      <c r="K2" s="621"/>
      <c r="L2" s="621"/>
      <c r="M2" s="621"/>
      <c r="N2" s="621"/>
    </row>
    <row r="3" spans="2:23">
      <c r="B3" s="1282" t="s">
        <v>702</v>
      </c>
      <c r="C3" s="1282" t="s">
        <v>287</v>
      </c>
      <c r="D3" s="1282" t="s">
        <v>703</v>
      </c>
      <c r="E3" s="1282" t="s">
        <v>289</v>
      </c>
      <c r="F3" s="1282" t="s">
        <v>290</v>
      </c>
      <c r="G3" s="1282" t="s">
        <v>291</v>
      </c>
      <c r="H3" s="1285" t="s">
        <v>292</v>
      </c>
      <c r="I3" s="644" t="s">
        <v>293</v>
      </c>
      <c r="J3" s="644" t="s">
        <v>294</v>
      </c>
      <c r="K3" s="644" t="s">
        <v>295</v>
      </c>
      <c r="L3" s="1283" t="s">
        <v>296</v>
      </c>
      <c r="M3" s="1282" t="s">
        <v>296</v>
      </c>
      <c r="N3" s="1282" t="s">
        <v>297</v>
      </c>
    </row>
    <row r="4" spans="2:23">
      <c r="B4" s="1282"/>
      <c r="C4" s="1282"/>
      <c r="D4" s="1282"/>
      <c r="E4" s="1282"/>
      <c r="F4" s="1282"/>
      <c r="G4" s="1282"/>
      <c r="H4" s="1285"/>
      <c r="I4" s="644" t="s">
        <v>704</v>
      </c>
      <c r="J4" s="644" t="s">
        <v>300</v>
      </c>
      <c r="K4" s="644" t="s">
        <v>299</v>
      </c>
      <c r="L4" s="1283"/>
      <c r="M4" s="1282"/>
      <c r="N4" s="1282"/>
    </row>
    <row r="5" spans="2:23">
      <c r="B5" s="1458"/>
      <c r="C5" s="1458"/>
      <c r="D5" s="677" t="s">
        <v>302</v>
      </c>
      <c r="E5" s="677" t="s">
        <v>303</v>
      </c>
      <c r="F5" s="677" t="s">
        <v>304</v>
      </c>
      <c r="G5" s="677" t="s">
        <v>305</v>
      </c>
      <c r="H5" s="678" t="s">
        <v>306</v>
      </c>
      <c r="I5" s="679" t="s">
        <v>307</v>
      </c>
      <c r="J5" s="679" t="s">
        <v>705</v>
      </c>
      <c r="K5" s="679" t="s">
        <v>706</v>
      </c>
      <c r="L5" s="680" t="s">
        <v>705</v>
      </c>
      <c r="M5" s="677" t="s">
        <v>706</v>
      </c>
      <c r="N5" s="677" t="s">
        <v>309</v>
      </c>
    </row>
    <row r="6" spans="2:23">
      <c r="B6" s="685" t="str">
        <f>+'EPC Liquidity Plan'!C4</f>
        <v>Changseong High Tech</v>
      </c>
      <c r="C6" s="639">
        <v>46199</v>
      </c>
      <c r="D6" s="1286">
        <v>189</v>
      </c>
      <c r="E6" s="641">
        <f>+'EPC Liquidity Plan'!D4/1000</f>
        <v>0.16637000000000002</v>
      </c>
      <c r="F6" s="640">
        <v>30</v>
      </c>
      <c r="G6" s="642">
        <f>+PPAN!L3</f>
        <v>1386</v>
      </c>
      <c r="H6" s="633">
        <f>+I6*E6</f>
        <v>183.00700000000003</v>
      </c>
      <c r="I6" s="643">
        <v>1100</v>
      </c>
      <c r="J6" s="635">
        <f>+K6*E6</f>
        <v>83.185000000000002</v>
      </c>
      <c r="K6" s="644">
        <v>500</v>
      </c>
      <c r="L6" s="920">
        <f>+M6*E6</f>
        <v>10.814050000000002</v>
      </c>
      <c r="M6" s="640">
        <v>65</v>
      </c>
      <c r="N6" s="623">
        <f>+'민감도분석_3,7'!G12</f>
        <v>8.8620033897617079E-2</v>
      </c>
      <c r="P6" s="6">
        <f t="shared" ref="P6:P13" si="0">+G6*E6</f>
        <v>230.58882000000003</v>
      </c>
      <c r="R6" s="6">
        <f t="shared" ref="R6:R13" si="1">+K6*E6</f>
        <v>83.185000000000002</v>
      </c>
      <c r="T6" s="684">
        <f t="shared" ref="T6:T13" si="2">+N6*E6</f>
        <v>1.4743715039546555E-2</v>
      </c>
      <c r="V6" s="6">
        <f>+I6*E6</f>
        <v>183.00700000000003</v>
      </c>
    </row>
    <row r="7" spans="2:23">
      <c r="B7" s="685" t="str">
        <f>+'EPC Liquidity Plan'!C5</f>
        <v>LSG</v>
      </c>
      <c r="C7" s="639">
        <v>46199</v>
      </c>
      <c r="D7" s="1282"/>
      <c r="E7" s="641">
        <f>+'EPC Liquidity Plan'!D5/1000</f>
        <v>0.49911</v>
      </c>
      <c r="F7" s="640">
        <v>30</v>
      </c>
      <c r="G7" s="642">
        <f>+PPAN!L4</f>
        <v>1436</v>
      </c>
      <c r="H7" s="633">
        <f t="shared" ref="H7:H13" si="3">+I7*E7</f>
        <v>549.02099999999996</v>
      </c>
      <c r="I7" s="643">
        <v>1100</v>
      </c>
      <c r="J7" s="635">
        <f t="shared" ref="J7:J13" si="4">+K7*E7</f>
        <v>249.55500000000001</v>
      </c>
      <c r="K7" s="644">
        <v>500</v>
      </c>
      <c r="L7" s="920">
        <f t="shared" ref="L7:L13" si="5">+M7*E7</f>
        <v>32.442149999999998</v>
      </c>
      <c r="M7" s="640">
        <v>65</v>
      </c>
      <c r="N7" s="623">
        <f>+'민감도분석_3,7'!G25</f>
        <v>9.413019826929192E-2</v>
      </c>
      <c r="P7" s="6">
        <f t="shared" si="0"/>
        <v>716.72195999999997</v>
      </c>
      <c r="R7" s="6">
        <f t="shared" si="1"/>
        <v>249.55500000000001</v>
      </c>
      <c r="T7" s="684">
        <f t="shared" si="2"/>
        <v>4.698132325818629E-2</v>
      </c>
      <c r="V7" s="6">
        <f t="shared" ref="V7:V13" si="6">+I7*E7</f>
        <v>549.02099999999996</v>
      </c>
    </row>
    <row r="8" spans="2:23">
      <c r="B8" s="685" t="str">
        <f>+'EPC Liquidity Plan'!C6</f>
        <v>Hanseo Motors</v>
      </c>
      <c r="C8" s="639">
        <v>46199</v>
      </c>
      <c r="D8" s="1282"/>
      <c r="E8" s="641">
        <f>+'EPC Liquidity Plan'!D6/1000</f>
        <v>0.142875</v>
      </c>
      <c r="F8" s="640">
        <v>30</v>
      </c>
      <c r="G8" s="642">
        <f>+PPAN!L5</f>
        <v>1344</v>
      </c>
      <c r="H8" s="633">
        <f t="shared" si="3"/>
        <v>157.16249999999999</v>
      </c>
      <c r="I8" s="643">
        <v>1100</v>
      </c>
      <c r="J8" s="635">
        <f t="shared" si="4"/>
        <v>71.4375</v>
      </c>
      <c r="K8" s="644">
        <v>500</v>
      </c>
      <c r="L8" s="920">
        <f t="shared" si="5"/>
        <v>9.2868750000000002</v>
      </c>
      <c r="M8" s="640">
        <v>65</v>
      </c>
      <c r="N8" s="623">
        <f>+'민감도분석_3,7'!G38</f>
        <v>8.4581737945218061E-2</v>
      </c>
      <c r="P8" s="6">
        <f t="shared" si="0"/>
        <v>192.024</v>
      </c>
      <c r="R8" s="6">
        <f t="shared" si="1"/>
        <v>71.4375</v>
      </c>
      <c r="T8" s="684">
        <f t="shared" si="2"/>
        <v>1.2084615808923031E-2</v>
      </c>
      <c r="V8" s="6">
        <f t="shared" si="6"/>
        <v>157.16249999999999</v>
      </c>
    </row>
    <row r="9" spans="2:23">
      <c r="B9" s="685" t="str">
        <f>+'EPC Liquidity Plan'!C7</f>
        <v>Seun Steel Gyeongju</v>
      </c>
      <c r="C9" s="639">
        <v>46199</v>
      </c>
      <c r="D9" s="1282"/>
      <c r="E9" s="641">
        <f>+'EPC Liquidity Plan'!D7/1000</f>
        <v>0.70929500000000001</v>
      </c>
      <c r="F9" s="640">
        <v>30</v>
      </c>
      <c r="G9" s="642">
        <f>+PPAN!L6</f>
        <v>1389</v>
      </c>
      <c r="H9" s="633">
        <f t="shared" si="3"/>
        <v>780.22450000000003</v>
      </c>
      <c r="I9" s="643">
        <v>1100</v>
      </c>
      <c r="J9" s="635">
        <f t="shared" si="4"/>
        <v>354.64749999999998</v>
      </c>
      <c r="K9" s="644">
        <v>500</v>
      </c>
      <c r="L9" s="920">
        <f t="shared" si="5"/>
        <v>46.104174999999998</v>
      </c>
      <c r="M9" s="640">
        <v>65</v>
      </c>
      <c r="N9" s="623">
        <f>+'민감도분석_3,7'!G51</f>
        <v>8.9444669089781881E-2</v>
      </c>
      <c r="P9" s="6">
        <f t="shared" si="0"/>
        <v>985.21075500000006</v>
      </c>
      <c r="R9" s="6">
        <f t="shared" si="1"/>
        <v>354.64749999999998</v>
      </c>
      <c r="T9" s="684">
        <f t="shared" si="2"/>
        <v>6.3442656562036834E-2</v>
      </c>
      <c r="V9" s="6">
        <f t="shared" si="6"/>
        <v>780.22450000000003</v>
      </c>
    </row>
    <row r="10" spans="2:23">
      <c r="B10" s="685" t="str">
        <f>+'EPC Liquidity Plan'!C8</f>
        <v>Oneel</v>
      </c>
      <c r="C10" s="639">
        <v>46199</v>
      </c>
      <c r="D10" s="1282"/>
      <c r="E10" s="641">
        <f>+'EPC Liquidity Plan'!D8/1000</f>
        <v>0.52260499999999999</v>
      </c>
      <c r="F10" s="640">
        <v>30</v>
      </c>
      <c r="G10" s="642">
        <f>+PPAN!L7</f>
        <v>1373</v>
      </c>
      <c r="H10" s="633">
        <f t="shared" si="3"/>
        <v>574.8655</v>
      </c>
      <c r="I10" s="643">
        <v>1100</v>
      </c>
      <c r="J10" s="635">
        <f t="shared" si="4"/>
        <v>261.30250000000001</v>
      </c>
      <c r="K10" s="644">
        <v>500</v>
      </c>
      <c r="L10" s="920">
        <f t="shared" si="5"/>
        <v>33.969324999999998</v>
      </c>
      <c r="M10" s="640">
        <v>65</v>
      </c>
      <c r="N10" s="623">
        <f>+'민감도분석_3,7'!G64</f>
        <v>8.7757532229501001E-2</v>
      </c>
      <c r="P10" s="6">
        <f t="shared" si="0"/>
        <v>717.53666499999997</v>
      </c>
      <c r="R10" s="6">
        <f t="shared" si="1"/>
        <v>261.30250000000001</v>
      </c>
      <c r="T10" s="684">
        <f t="shared" si="2"/>
        <v>4.5862525130798366E-2</v>
      </c>
      <c r="V10" s="6">
        <f t="shared" si="6"/>
        <v>574.8655</v>
      </c>
    </row>
    <row r="11" spans="2:23">
      <c r="B11" s="685" t="str">
        <f>+'EPC Liquidity Plan'!C9</f>
        <v>E-Tech</v>
      </c>
      <c r="C11" s="639">
        <v>46199</v>
      </c>
      <c r="D11" s="1282"/>
      <c r="E11" s="641">
        <f>+'EPC Liquidity Plan'!D9/1000</f>
        <v>0.14848</v>
      </c>
      <c r="F11" s="640">
        <v>30</v>
      </c>
      <c r="G11" s="642">
        <f>+PPAN!L8</f>
        <v>1499</v>
      </c>
      <c r="H11" s="633">
        <f t="shared" si="3"/>
        <v>163.328</v>
      </c>
      <c r="I11" s="643">
        <v>1100</v>
      </c>
      <c r="J11" s="635">
        <f t="shared" si="4"/>
        <v>74.239999999999995</v>
      </c>
      <c r="K11" s="644">
        <v>500</v>
      </c>
      <c r="L11" s="920">
        <f t="shared" si="5"/>
        <v>9.6511999999999993</v>
      </c>
      <c r="M11" s="640">
        <v>65</v>
      </c>
      <c r="N11" s="623">
        <f>+'민감도분석_3,7'!G77</f>
        <v>9.9634165389209883E-2</v>
      </c>
      <c r="P11" s="6">
        <f t="shared" si="0"/>
        <v>222.57151999999999</v>
      </c>
      <c r="R11" s="6">
        <f t="shared" si="1"/>
        <v>74.239999999999995</v>
      </c>
      <c r="T11" s="684">
        <f t="shared" si="2"/>
        <v>1.4793680876989884E-2</v>
      </c>
      <c r="V11" s="6">
        <f t="shared" si="6"/>
        <v>163.328</v>
      </c>
    </row>
    <row r="12" spans="2:23">
      <c r="B12" s="685" t="str">
        <f>+'EPC Liquidity Plan'!C10</f>
        <v>Daechon Headquarters</v>
      </c>
      <c r="C12" s="639">
        <v>46199</v>
      </c>
      <c r="D12" s="1282"/>
      <c r="E12" s="641">
        <f>+'EPC Liquidity Plan'!D10/1000</f>
        <v>0.89788999999999997</v>
      </c>
      <c r="F12" s="640">
        <v>30</v>
      </c>
      <c r="G12" s="642">
        <f>+PPAN!L9</f>
        <v>1362</v>
      </c>
      <c r="H12" s="633">
        <f t="shared" si="3"/>
        <v>987.67899999999997</v>
      </c>
      <c r="I12" s="643">
        <v>1100</v>
      </c>
      <c r="J12" s="635">
        <f t="shared" si="4"/>
        <v>448.94499999999999</v>
      </c>
      <c r="K12" s="644">
        <v>500</v>
      </c>
      <c r="L12" s="920">
        <f t="shared" si="5"/>
        <v>58.362849999999995</v>
      </c>
      <c r="M12" s="640">
        <v>65</v>
      </c>
      <c r="N12" s="623">
        <f>+'민감도분석_3,7'!G90</f>
        <v>8.662351446148997E-2</v>
      </c>
      <c r="P12" s="6">
        <f t="shared" si="0"/>
        <v>1222.9261799999999</v>
      </c>
      <c r="R12" s="6">
        <f t="shared" si="1"/>
        <v>448.94499999999999</v>
      </c>
      <c r="T12" s="684">
        <f t="shared" si="2"/>
        <v>7.7778387399827231E-2</v>
      </c>
      <c r="V12" s="6">
        <f t="shared" si="6"/>
        <v>987.67899999999997</v>
      </c>
    </row>
    <row r="13" spans="2:23">
      <c r="B13" s="685" t="str">
        <f>+'EPC Liquidity Plan'!C11</f>
        <v>Daechon Busan</v>
      </c>
      <c r="C13" s="639">
        <v>46199</v>
      </c>
      <c r="D13" s="1282"/>
      <c r="E13" s="641">
        <f>+'EPC Liquidity Plan'!D11/1000</f>
        <v>1.1556999999999999</v>
      </c>
      <c r="F13" s="640">
        <v>30</v>
      </c>
      <c r="G13" s="642">
        <f>+PPAN!L10</f>
        <v>1372</v>
      </c>
      <c r="H13" s="633">
        <f t="shared" si="3"/>
        <v>1385.6842999999999</v>
      </c>
      <c r="I13" s="643">
        <v>1199</v>
      </c>
      <c r="J13" s="635">
        <f t="shared" si="4"/>
        <v>577.85</v>
      </c>
      <c r="K13" s="644">
        <v>500</v>
      </c>
      <c r="L13" s="920">
        <f t="shared" si="5"/>
        <v>75.120499999999993</v>
      </c>
      <c r="M13" s="640">
        <v>65</v>
      </c>
      <c r="N13" s="623">
        <v>8.2000000000000003E-2</v>
      </c>
      <c r="P13" s="6">
        <f t="shared" si="0"/>
        <v>1585.6204</v>
      </c>
      <c r="R13" s="6">
        <f t="shared" si="1"/>
        <v>577.85</v>
      </c>
      <c r="T13" s="684">
        <f t="shared" si="2"/>
        <v>9.4767400000000002E-2</v>
      </c>
      <c r="V13" s="6">
        <f t="shared" si="6"/>
        <v>1385.6842999999999</v>
      </c>
    </row>
    <row r="14" spans="2:23">
      <c r="V14" s="6">
        <f>+SUM(V6:V13)</f>
        <v>4780.9717999999993</v>
      </c>
      <c r="W14" s="6">
        <f>+V14/E15</f>
        <v>1126.969715898711</v>
      </c>
    </row>
    <row r="15" spans="2:23">
      <c r="B15" s="1457"/>
      <c r="C15" s="1457"/>
      <c r="D15" s="626">
        <v>189</v>
      </c>
      <c r="E15" s="703">
        <f>+SUM(E6:E13)</f>
        <v>4.2423250000000001</v>
      </c>
      <c r="F15" s="626">
        <v>30</v>
      </c>
      <c r="G15" s="627">
        <f>+Q15</f>
        <v>1384.4295993352703</v>
      </c>
      <c r="H15" s="627">
        <f>+SUM(H6:H13)</f>
        <v>4780.9717999999993</v>
      </c>
      <c r="I15" s="627">
        <f>+W14</f>
        <v>1126.969715898711</v>
      </c>
      <c r="J15" s="627">
        <f>+SUM(J6:J13)</f>
        <v>2121.1624999999999</v>
      </c>
      <c r="K15" s="681">
        <f>+S15</f>
        <v>499.99999999999994</v>
      </c>
      <c r="L15" s="627">
        <f>+SUM(L6:L13)</f>
        <v>275.751125</v>
      </c>
      <c r="M15" s="626">
        <v>65</v>
      </c>
      <c r="N15" s="623">
        <f>+U15</f>
        <v>8.7323414419288509E-2</v>
      </c>
      <c r="P15" s="647">
        <f>+SUM(P6:P13)</f>
        <v>5873.2003000000004</v>
      </c>
      <c r="Q15" s="6">
        <f>+P15/E15</f>
        <v>1384.4295993352703</v>
      </c>
      <c r="R15" s="647">
        <f>+SUM(R6:R13)</f>
        <v>2121.1624999999999</v>
      </c>
      <c r="S15" s="6">
        <f>+R15/E15</f>
        <v>499.99999999999994</v>
      </c>
      <c r="T15" s="647">
        <f>+SUM(T6:T13)</f>
        <v>0.37045430407630814</v>
      </c>
      <c r="U15" s="702">
        <f>+T15/E15</f>
        <v>8.7323414419288509E-2</v>
      </c>
    </row>
    <row r="16" spans="2:23">
      <c r="E16" s="919" t="b">
        <f>+PPAN!E11/1000=E15</f>
        <v>1</v>
      </c>
    </row>
    <row r="18" spans="2:21" ht="24" customHeight="1">
      <c r="B18" s="1281" t="s">
        <v>707</v>
      </c>
      <c r="C18" s="1281"/>
      <c r="D18" s="1281"/>
      <c r="E18" s="621"/>
      <c r="F18" s="621"/>
      <c r="G18" s="621"/>
      <c r="H18" s="621"/>
      <c r="I18" s="621"/>
      <c r="J18" s="621"/>
      <c r="K18" s="621"/>
      <c r="L18" s="621"/>
      <c r="M18" s="621"/>
      <c r="N18" s="621"/>
    </row>
    <row r="19" spans="2:21">
      <c r="B19" s="1282" t="s">
        <v>702</v>
      </c>
      <c r="C19" s="1282" t="s">
        <v>287</v>
      </c>
      <c r="D19" s="1282" t="s">
        <v>703</v>
      </c>
      <c r="E19" s="1282" t="s">
        <v>289</v>
      </c>
      <c r="F19" s="1282" t="s">
        <v>290</v>
      </c>
      <c r="G19" s="1282" t="s">
        <v>291</v>
      </c>
      <c r="H19" s="1285" t="s">
        <v>292</v>
      </c>
      <c r="I19" s="644" t="s">
        <v>293</v>
      </c>
      <c r="J19" s="644" t="s">
        <v>294</v>
      </c>
      <c r="K19" s="644" t="s">
        <v>295</v>
      </c>
      <c r="L19" s="1283" t="s">
        <v>296</v>
      </c>
      <c r="M19" s="1282" t="s">
        <v>296</v>
      </c>
      <c r="N19" s="1282" t="s">
        <v>297</v>
      </c>
    </row>
    <row r="20" spans="2:21">
      <c r="B20" s="1282"/>
      <c r="C20" s="1282"/>
      <c r="D20" s="1282"/>
      <c r="E20" s="1282"/>
      <c r="F20" s="1282"/>
      <c r="G20" s="1282"/>
      <c r="H20" s="1285"/>
      <c r="I20" s="644" t="s">
        <v>704</v>
      </c>
      <c r="J20" s="644" t="s">
        <v>300</v>
      </c>
      <c r="K20" s="644" t="s">
        <v>299</v>
      </c>
      <c r="L20" s="1283"/>
      <c r="M20" s="1282"/>
      <c r="N20" s="1282"/>
    </row>
    <row r="21" spans="2:21">
      <c r="B21" s="1458"/>
      <c r="C21" s="1458"/>
      <c r="D21" s="677" t="s">
        <v>302</v>
      </c>
      <c r="E21" s="677" t="s">
        <v>303</v>
      </c>
      <c r="F21" s="677" t="s">
        <v>304</v>
      </c>
      <c r="G21" s="677" t="s">
        <v>305</v>
      </c>
      <c r="H21" s="678" t="s">
        <v>306</v>
      </c>
      <c r="I21" s="679" t="s">
        <v>307</v>
      </c>
      <c r="J21" s="679" t="s">
        <v>705</v>
      </c>
      <c r="K21" s="679" t="s">
        <v>706</v>
      </c>
      <c r="L21" s="680" t="s">
        <v>705</v>
      </c>
      <c r="M21" s="677" t="s">
        <v>706</v>
      </c>
      <c r="N21" s="677" t="s">
        <v>309</v>
      </c>
    </row>
    <row r="22" spans="2:21">
      <c r="B22" s="685" t="str">
        <f>+'EPC Liquidity Plan'!C20</f>
        <v>Eco Inshutech</v>
      </c>
      <c r="C22" s="639">
        <v>46174</v>
      </c>
      <c r="D22" s="1286">
        <v>189</v>
      </c>
      <c r="E22" s="641">
        <f>+'EPC Liquidity Plan'!D20/1000</f>
        <v>0.22578000000000001</v>
      </c>
      <c r="F22" s="640">
        <v>30</v>
      </c>
      <c r="G22" s="642">
        <f>+PPAN!L14</f>
        <v>1350</v>
      </c>
      <c r="H22" s="633">
        <f>+I22*E22</f>
        <v>248.358</v>
      </c>
      <c r="I22" s="643">
        <v>1100</v>
      </c>
      <c r="J22" s="635">
        <f>+K22*E22</f>
        <v>112.89</v>
      </c>
      <c r="K22" s="644">
        <v>500</v>
      </c>
      <c r="L22" s="920">
        <f>+M22*E22</f>
        <v>14.675700000000001</v>
      </c>
      <c r="M22" s="640">
        <v>65</v>
      </c>
      <c r="N22" s="623">
        <f>+'민감도분석_3,7'!G116</f>
        <v>8.5221869251512095E-2</v>
      </c>
      <c r="P22" s="6">
        <f t="shared" ref="P22:P24" si="7">+G22*E22</f>
        <v>304.803</v>
      </c>
      <c r="R22" s="6">
        <f t="shared" ref="R22:R24" si="8">+K22*E22</f>
        <v>112.89</v>
      </c>
      <c r="T22" s="684">
        <f t="shared" ref="T22:T24" si="9">+N22*E22</f>
        <v>1.9241393639606402E-2</v>
      </c>
    </row>
    <row r="23" spans="2:21">
      <c r="B23" s="685" t="str">
        <f>+'EPC Liquidity Plan'!C21</f>
        <v>Younggwang Industry</v>
      </c>
      <c r="C23" s="639">
        <v>46174</v>
      </c>
      <c r="D23" s="1282"/>
      <c r="E23" s="641">
        <f>+'EPC Liquidity Plan'!D21/1000</f>
        <v>0.54546499999999998</v>
      </c>
      <c r="F23" s="640">
        <v>30</v>
      </c>
      <c r="G23" s="642">
        <f>+PPAN!L15</f>
        <v>1408</v>
      </c>
      <c r="H23" s="633">
        <f t="shared" ref="H23:H24" si="10">+I23*E23</f>
        <v>600.01149999999996</v>
      </c>
      <c r="I23" s="643">
        <v>1100</v>
      </c>
      <c r="J23" s="635">
        <f t="shared" ref="J23:J24" si="11">+K23*E23</f>
        <v>272.73250000000002</v>
      </c>
      <c r="K23" s="644">
        <v>500</v>
      </c>
      <c r="L23" s="920">
        <f t="shared" ref="L23:L24" si="12">+M23*E23</f>
        <v>35.455224999999999</v>
      </c>
      <c r="M23" s="640">
        <v>65</v>
      </c>
      <c r="N23" s="623">
        <f>+'민감도분석_3,7'!G129</f>
        <v>9.1330033633903573E-2</v>
      </c>
      <c r="P23" s="6">
        <f t="shared" si="7"/>
        <v>768.01472000000001</v>
      </c>
      <c r="R23" s="6">
        <f t="shared" si="8"/>
        <v>272.73250000000002</v>
      </c>
      <c r="T23" s="684">
        <f t="shared" si="9"/>
        <v>4.9817336796117211E-2</v>
      </c>
    </row>
    <row r="24" spans="2:21">
      <c r="B24" s="685" t="str">
        <f>+'EPC Liquidity Plan'!C22</f>
        <v>MPM Trade</v>
      </c>
      <c r="C24" s="639">
        <v>46174</v>
      </c>
      <c r="D24" s="1282"/>
      <c r="E24" s="641">
        <f>+'EPC Liquidity Plan'!D22/1000</f>
        <v>0.21081999999999998</v>
      </c>
      <c r="F24" s="640">
        <v>30</v>
      </c>
      <c r="G24" s="642">
        <f>+PPAN!L16</f>
        <v>1453</v>
      </c>
      <c r="H24" s="633">
        <f t="shared" si="10"/>
        <v>231.90199999999999</v>
      </c>
      <c r="I24" s="643">
        <v>1100</v>
      </c>
      <c r="J24" s="635">
        <f t="shared" si="11"/>
        <v>105.41</v>
      </c>
      <c r="K24" s="644">
        <v>500</v>
      </c>
      <c r="L24" s="920">
        <f t="shared" si="12"/>
        <v>13.703299999999999</v>
      </c>
      <c r="M24" s="640">
        <v>65</v>
      </c>
      <c r="N24" s="623">
        <f>+'민감도분석_3,7'!G142</f>
        <v>9.569094168540726E-2</v>
      </c>
      <c r="P24" s="6">
        <f t="shared" si="7"/>
        <v>306.32145999999995</v>
      </c>
      <c r="R24" s="6">
        <f t="shared" si="8"/>
        <v>105.41</v>
      </c>
      <c r="T24" s="684">
        <f t="shared" si="9"/>
        <v>2.0173564326117558E-2</v>
      </c>
    </row>
    <row r="26" spans="2:21">
      <c r="B26" s="1457"/>
      <c r="C26" s="1457"/>
      <c r="D26" s="626">
        <v>189</v>
      </c>
      <c r="E26" s="703">
        <f>+SUM(E22:E24)</f>
        <v>0.98206499999999997</v>
      </c>
      <c r="F26" s="626">
        <v>30</v>
      </c>
      <c r="G26" s="627">
        <f>+Q26</f>
        <v>1404.3257625513586</v>
      </c>
      <c r="H26" s="627">
        <f>+SUM(H22:H24)</f>
        <v>1080.2715000000001</v>
      </c>
      <c r="I26" s="627">
        <v>1100</v>
      </c>
      <c r="J26" s="627">
        <f>+SUM(J22:J24)</f>
        <v>491.03250000000003</v>
      </c>
      <c r="K26" s="681">
        <f>+S26</f>
        <v>500.00000000000006</v>
      </c>
      <c r="L26" s="627">
        <f>+SUM(L22:L24)</f>
        <v>63.834224999999996</v>
      </c>
      <c r="M26" s="626">
        <v>65</v>
      </c>
      <c r="N26" s="623">
        <f>+U26</f>
        <v>9.0861902992002738E-2</v>
      </c>
      <c r="P26" s="647">
        <f>+SUM(P22:P24)</f>
        <v>1379.1391799999999</v>
      </c>
      <c r="Q26" s="6">
        <f>+P26/E26</f>
        <v>1404.3257625513586</v>
      </c>
      <c r="R26" s="647">
        <f>+SUM(R22:R24)</f>
        <v>491.03250000000003</v>
      </c>
      <c r="S26" s="6">
        <f>+R26/E26</f>
        <v>500.00000000000006</v>
      </c>
      <c r="T26" s="647">
        <f>+SUM(T22:T24)</f>
        <v>8.9232294761841163E-2</v>
      </c>
      <c r="U26" s="702">
        <f>+T26/E26</f>
        <v>9.0861902992002738E-2</v>
      </c>
    </row>
    <row r="27" spans="2:21">
      <c r="E27" s="6" t="b">
        <f>+PPAN!E17/1000=E26</f>
        <v>1</v>
      </c>
    </row>
    <row r="29" spans="2:21" ht="24" customHeight="1">
      <c r="B29" s="1281"/>
      <c r="C29" s="1281"/>
      <c r="D29" s="1281"/>
      <c r="E29" s="621"/>
      <c r="F29" s="621"/>
      <c r="G29" s="621"/>
      <c r="H29" s="621"/>
      <c r="I29" s="621"/>
      <c r="J29" s="621"/>
      <c r="K29" s="621"/>
      <c r="L29" s="621"/>
      <c r="M29" s="621"/>
      <c r="N29" s="621"/>
    </row>
    <row r="30" spans="2:21">
      <c r="B30" s="1282" t="s">
        <v>702</v>
      </c>
      <c r="C30" s="1282" t="s">
        <v>287</v>
      </c>
      <c r="D30" s="1282" t="s">
        <v>703</v>
      </c>
      <c r="E30" s="1282" t="s">
        <v>289</v>
      </c>
      <c r="F30" s="1282" t="s">
        <v>290</v>
      </c>
      <c r="G30" s="1282" t="s">
        <v>291</v>
      </c>
      <c r="H30" s="1285" t="s">
        <v>292</v>
      </c>
      <c r="I30" s="644" t="s">
        <v>293</v>
      </c>
      <c r="J30" s="644" t="s">
        <v>294</v>
      </c>
      <c r="K30" s="644" t="s">
        <v>295</v>
      </c>
      <c r="L30" s="1283" t="s">
        <v>296</v>
      </c>
      <c r="M30" s="1282" t="s">
        <v>296</v>
      </c>
      <c r="N30" s="1282" t="s">
        <v>297</v>
      </c>
    </row>
    <row r="31" spans="2:21">
      <c r="B31" s="1282"/>
      <c r="C31" s="1282"/>
      <c r="D31" s="1282"/>
      <c r="E31" s="1282"/>
      <c r="F31" s="1282"/>
      <c r="G31" s="1282"/>
      <c r="H31" s="1285"/>
      <c r="I31" s="644" t="s">
        <v>704</v>
      </c>
      <c r="J31" s="644" t="s">
        <v>300</v>
      </c>
      <c r="K31" s="644" t="s">
        <v>299</v>
      </c>
      <c r="L31" s="1283"/>
      <c r="M31" s="1282"/>
      <c r="N31" s="1282"/>
    </row>
    <row r="32" spans="2:21">
      <c r="B32" s="1458"/>
      <c r="C32" s="1458"/>
      <c r="D32" s="677" t="s">
        <v>302</v>
      </c>
      <c r="E32" s="677" t="s">
        <v>303</v>
      </c>
      <c r="F32" s="677" t="s">
        <v>304</v>
      </c>
      <c r="G32" s="677" t="s">
        <v>305</v>
      </c>
      <c r="H32" s="678" t="s">
        <v>306</v>
      </c>
      <c r="I32" s="679" t="s">
        <v>307</v>
      </c>
      <c r="J32" s="679" t="s">
        <v>306</v>
      </c>
      <c r="K32" s="679" t="s">
        <v>307</v>
      </c>
      <c r="L32" s="680" t="s">
        <v>307</v>
      </c>
      <c r="M32" s="677" t="s">
        <v>308</v>
      </c>
      <c r="N32" s="677" t="s">
        <v>309</v>
      </c>
    </row>
    <row r="33" spans="2:25" hidden="1">
      <c r="B33" s="685" t="str">
        <f>+'CAPEX_Amount to be paid in 2025'!C5</f>
        <v>Jinyoung Metal Factory_2</v>
      </c>
      <c r="C33" s="639"/>
      <c r="D33" s="1286">
        <v>189</v>
      </c>
      <c r="E33" s="641"/>
      <c r="F33" s="640"/>
      <c r="G33" s="642"/>
      <c r="H33" s="633"/>
      <c r="I33" s="643"/>
      <c r="J33" s="635"/>
      <c r="K33" s="644"/>
      <c r="L33" s="645"/>
      <c r="M33" s="640"/>
      <c r="N33" s="623"/>
      <c r="P33" s="6">
        <f t="shared" ref="P33:P45" si="13">+G33*E33</f>
        <v>0</v>
      </c>
      <c r="R33" s="6">
        <f t="shared" ref="R33:R45" si="14">+K33*E33</f>
        <v>0</v>
      </c>
      <c r="T33" s="684">
        <f t="shared" ref="T33:T45" si="15">+N33*E33</f>
        <v>0</v>
      </c>
    </row>
    <row r="34" spans="2:25">
      <c r="B34" s="685" t="str">
        <f>+'CAPEX_Amount to be paid in 2025'!C6</f>
        <v>Kairos</v>
      </c>
      <c r="C34" s="639"/>
      <c r="D34" s="1282"/>
      <c r="E34" s="641">
        <f>+'CAPEX_Amount to be paid in 2025'!E6/1000</f>
        <v>0.38624000000000003</v>
      </c>
      <c r="F34" s="640">
        <v>30</v>
      </c>
      <c r="G34" s="642">
        <v>1351</v>
      </c>
      <c r="H34" s="633">
        <f t="shared" ref="H34:H39" si="16">+I34*E34</f>
        <v>424.86400000000003</v>
      </c>
      <c r="I34" s="643">
        <v>1100</v>
      </c>
      <c r="J34" s="635">
        <f t="shared" ref="J34:J39" si="17">+K34*E34</f>
        <v>135.184</v>
      </c>
      <c r="K34" s="644">
        <v>350</v>
      </c>
      <c r="L34" s="645">
        <v>77</v>
      </c>
      <c r="M34" s="640">
        <v>57</v>
      </c>
      <c r="N34" s="623">
        <v>9.5399999999999999E-2</v>
      </c>
      <c r="P34" s="6">
        <f t="shared" si="13"/>
        <v>521.81024000000002</v>
      </c>
      <c r="R34" s="6">
        <f t="shared" si="14"/>
        <v>135.184</v>
      </c>
      <c r="T34" s="684">
        <f t="shared" si="15"/>
        <v>3.6847296000000002E-2</v>
      </c>
      <c r="V34" s="6">
        <f>+I34*E34</f>
        <v>424.86400000000003</v>
      </c>
      <c r="X34" s="6">
        <f>+K34*E34</f>
        <v>135.184</v>
      </c>
    </row>
    <row r="35" spans="2:25">
      <c r="B35" s="685" t="str">
        <f>+'CAPEX_Amount to be paid in 2025'!C7</f>
        <v>Doori Industry</v>
      </c>
      <c r="C35" s="639"/>
      <c r="D35" s="1282"/>
      <c r="E35" s="641">
        <f>+'CAPEX_Amount to be paid in 2025'!E7/1000</f>
        <v>0.21</v>
      </c>
      <c r="F35" s="640">
        <v>30</v>
      </c>
      <c r="G35" s="642">
        <v>1399</v>
      </c>
      <c r="H35" s="633">
        <f t="shared" si="16"/>
        <v>231</v>
      </c>
      <c r="I35" s="643">
        <v>1100</v>
      </c>
      <c r="J35" s="635">
        <f t="shared" si="17"/>
        <v>94.5</v>
      </c>
      <c r="K35" s="644">
        <v>450</v>
      </c>
      <c r="L35" s="645">
        <v>77</v>
      </c>
      <c r="M35" s="640">
        <v>55</v>
      </c>
      <c r="N35" s="623">
        <v>9.35E-2</v>
      </c>
      <c r="P35" s="6">
        <f t="shared" si="13"/>
        <v>293.78999999999996</v>
      </c>
      <c r="R35" s="6">
        <f t="shared" si="14"/>
        <v>94.5</v>
      </c>
      <c r="T35" s="684">
        <f t="shared" si="15"/>
        <v>1.9635E-2</v>
      </c>
      <c r="V35" s="6">
        <f t="shared" ref="V35:V45" si="18">+I35*E35</f>
        <v>231</v>
      </c>
      <c r="X35" s="6">
        <f t="shared" ref="X35:X45" si="19">+K35*E35</f>
        <v>94.5</v>
      </c>
    </row>
    <row r="36" spans="2:25">
      <c r="B36" s="685" t="str">
        <f>+'CAPEX_Amount to be paid in 2025'!C11</f>
        <v>Sambo Green Filter</v>
      </c>
      <c r="C36" s="639"/>
      <c r="D36" s="640">
        <v>155</v>
      </c>
      <c r="E36" s="641">
        <f>+'CAPEX_Amount to be paid in 2025'!E11/1000</f>
        <v>0.17100000000000001</v>
      </c>
      <c r="F36" s="640">
        <v>30</v>
      </c>
      <c r="G36" s="642">
        <v>1417</v>
      </c>
      <c r="H36" s="633">
        <f t="shared" si="16"/>
        <v>188.10000000000002</v>
      </c>
      <c r="I36" s="643">
        <v>1100</v>
      </c>
      <c r="J36" s="635">
        <f t="shared" si="17"/>
        <v>42.75</v>
      </c>
      <c r="K36" s="644">
        <v>250</v>
      </c>
      <c r="L36" s="645">
        <v>77</v>
      </c>
      <c r="M36" s="640">
        <v>55</v>
      </c>
      <c r="N36" s="623">
        <v>7.7799999999999994E-2</v>
      </c>
      <c r="P36" s="6">
        <f t="shared" si="13"/>
        <v>242.30700000000002</v>
      </c>
      <c r="R36" s="6">
        <f t="shared" si="14"/>
        <v>42.75</v>
      </c>
      <c r="T36" s="684">
        <f t="shared" si="15"/>
        <v>1.3303799999999999E-2</v>
      </c>
      <c r="V36" s="6">
        <f t="shared" si="18"/>
        <v>188.10000000000002</v>
      </c>
      <c r="X36" s="6">
        <f t="shared" si="19"/>
        <v>42.75</v>
      </c>
    </row>
    <row r="37" spans="2:25">
      <c r="B37" s="685" t="str">
        <f>+'CAPEX_Amount to be paid in 2025'!C8</f>
        <v>Geumjeong Techno</v>
      </c>
      <c r="C37" s="639"/>
      <c r="D37" s="1282">
        <v>189</v>
      </c>
      <c r="E37" s="641">
        <f>+'CAPEX_Amount to be paid in 2025'!E8/1000</f>
        <v>0.122</v>
      </c>
      <c r="F37" s="640">
        <v>30</v>
      </c>
      <c r="G37" s="642">
        <v>1383</v>
      </c>
      <c r="H37" s="633">
        <f t="shared" si="16"/>
        <v>134.19999999999999</v>
      </c>
      <c r="I37" s="643">
        <v>1100</v>
      </c>
      <c r="J37" s="635">
        <f t="shared" si="17"/>
        <v>54.9</v>
      </c>
      <c r="K37" s="644">
        <v>450</v>
      </c>
      <c r="L37" s="645">
        <v>77</v>
      </c>
      <c r="M37" s="640">
        <v>55</v>
      </c>
      <c r="N37" s="623">
        <v>9.1899999999999996E-2</v>
      </c>
      <c r="P37" s="6">
        <f t="shared" si="13"/>
        <v>168.726</v>
      </c>
      <c r="R37" s="6">
        <f t="shared" si="14"/>
        <v>54.9</v>
      </c>
      <c r="T37" s="684">
        <f t="shared" si="15"/>
        <v>1.1211799999999999E-2</v>
      </c>
      <c r="V37" s="6">
        <f t="shared" si="18"/>
        <v>134.19999999999999</v>
      </c>
      <c r="X37" s="6">
        <f t="shared" si="19"/>
        <v>54.9</v>
      </c>
    </row>
    <row r="38" spans="2:25">
      <c r="B38" s="685" t="str">
        <f>+'CAPEX_Amount to be paid in 2025'!C13</f>
        <v>Shincheon Food</v>
      </c>
      <c r="C38" s="639"/>
      <c r="D38" s="1282"/>
      <c r="E38" s="641">
        <f>+'CAPEX_Amount to be paid in 2025'!E13/1000</f>
        <v>0.23400000000000001</v>
      </c>
      <c r="F38" s="640">
        <v>30</v>
      </c>
      <c r="G38" s="642">
        <v>1402</v>
      </c>
      <c r="H38" s="633">
        <f t="shared" si="16"/>
        <v>257.40000000000003</v>
      </c>
      <c r="I38" s="643">
        <v>1100</v>
      </c>
      <c r="J38" s="635">
        <f t="shared" si="17"/>
        <v>105.30000000000001</v>
      </c>
      <c r="K38" s="644">
        <v>450</v>
      </c>
      <c r="L38" s="645">
        <v>77</v>
      </c>
      <c r="M38" s="640">
        <v>55</v>
      </c>
      <c r="N38" s="623">
        <v>9.3799999999999994E-2</v>
      </c>
      <c r="P38" s="6">
        <f t="shared" si="13"/>
        <v>328.06800000000004</v>
      </c>
      <c r="R38" s="6">
        <f t="shared" si="14"/>
        <v>105.30000000000001</v>
      </c>
      <c r="T38" s="684">
        <f t="shared" si="15"/>
        <v>2.1949199999999999E-2</v>
      </c>
      <c r="V38" s="6">
        <f t="shared" si="18"/>
        <v>257.40000000000003</v>
      </c>
      <c r="X38" s="6">
        <f t="shared" si="19"/>
        <v>105.30000000000001</v>
      </c>
    </row>
    <row r="39" spans="2:25">
      <c r="B39" s="698" t="str">
        <f>+'CAPEX_Amount to be paid in 2025'!C14</f>
        <v>Giga steel</v>
      </c>
      <c r="C39" s="688"/>
      <c r="D39" s="1459"/>
      <c r="E39" s="689">
        <f>+'CAPEX_Amount to be paid in 2025'!E14/1000</f>
        <v>0.5</v>
      </c>
      <c r="F39" s="690">
        <v>30</v>
      </c>
      <c r="G39" s="691">
        <v>1400</v>
      </c>
      <c r="H39" s="692">
        <f t="shared" si="16"/>
        <v>550</v>
      </c>
      <c r="I39" s="693">
        <v>1100</v>
      </c>
      <c r="J39" s="694">
        <f t="shared" si="17"/>
        <v>225</v>
      </c>
      <c r="K39" s="695">
        <v>450</v>
      </c>
      <c r="L39" s="696">
        <v>77</v>
      </c>
      <c r="M39" s="690">
        <v>55</v>
      </c>
      <c r="N39" s="697">
        <v>9.4600000000000004E-2</v>
      </c>
      <c r="P39" s="6">
        <f t="shared" si="13"/>
        <v>700</v>
      </c>
      <c r="R39" s="6">
        <f t="shared" si="14"/>
        <v>225</v>
      </c>
      <c r="T39" s="684">
        <f t="shared" si="15"/>
        <v>4.7300000000000002E-2</v>
      </c>
      <c r="V39" s="6">
        <f t="shared" si="18"/>
        <v>550</v>
      </c>
      <c r="X39" s="6">
        <f t="shared" si="19"/>
        <v>225</v>
      </c>
    </row>
    <row r="40" spans="2:25">
      <c r="B40" s="685" t="str">
        <f>+'CAPEX_Amount to be paid in 2025'!C4</f>
        <v>Jinyoung Metal Factory_1</v>
      </c>
      <c r="C40" s="639"/>
      <c r="D40" s="1460">
        <v>189</v>
      </c>
      <c r="E40" s="641">
        <f>+'CAPEX_Amount to be paid in 2025'!E4/1000</f>
        <v>0.81720999999999999</v>
      </c>
      <c r="F40" s="640">
        <v>30</v>
      </c>
      <c r="G40" s="642">
        <v>1427</v>
      </c>
      <c r="H40" s="633">
        <f>+I40*E40</f>
        <v>951.23244</v>
      </c>
      <c r="I40" s="643">
        <v>1164</v>
      </c>
      <c r="J40" s="635">
        <f>+K40*E40</f>
        <v>361.86058800000001</v>
      </c>
      <c r="K40" s="635">
        <v>442.8</v>
      </c>
      <c r="L40" s="645">
        <v>77</v>
      </c>
      <c r="M40" s="640">
        <v>54</v>
      </c>
      <c r="N40" s="623">
        <v>9.0700000000000003E-2</v>
      </c>
      <c r="P40" s="6">
        <f t="shared" si="13"/>
        <v>1166.15867</v>
      </c>
      <c r="R40" s="6">
        <f t="shared" si="14"/>
        <v>361.86058800000001</v>
      </c>
      <c r="T40" s="6">
        <f t="shared" si="15"/>
        <v>7.4120947000000006E-2</v>
      </c>
      <c r="V40" s="6">
        <f t="shared" si="18"/>
        <v>951.23244</v>
      </c>
      <c r="X40" s="6">
        <f t="shared" si="19"/>
        <v>361.86058800000001</v>
      </c>
    </row>
    <row r="41" spans="2:25">
      <c r="B41" s="685" t="str">
        <f>+'CAPEX_Amount to be paid in 2025'!C10</f>
        <v>Joongang Special Paper</v>
      </c>
      <c r="C41" s="639"/>
      <c r="D41" s="1282"/>
      <c r="E41" s="641">
        <f>+'CAPEX_Amount to be paid in 2025'!E10/1000</f>
        <v>0.438</v>
      </c>
      <c r="F41" s="640">
        <v>30</v>
      </c>
      <c r="G41" s="642">
        <v>1430</v>
      </c>
      <c r="H41" s="633">
        <f>+I41*E41</f>
        <v>481.8</v>
      </c>
      <c r="I41" s="643">
        <v>1100</v>
      </c>
      <c r="J41" s="635">
        <f>+K41*E41</f>
        <v>197.1</v>
      </c>
      <c r="K41" s="644">
        <v>450</v>
      </c>
      <c r="L41" s="645">
        <v>78</v>
      </c>
      <c r="M41" s="640">
        <v>54</v>
      </c>
      <c r="N41" s="623">
        <v>9.6799999999999997E-2</v>
      </c>
      <c r="P41" s="6">
        <f t="shared" si="13"/>
        <v>626.34</v>
      </c>
      <c r="R41" s="6">
        <f t="shared" si="14"/>
        <v>197.1</v>
      </c>
      <c r="T41" s="6">
        <f t="shared" si="15"/>
        <v>4.2398399999999996E-2</v>
      </c>
      <c r="V41" s="6">
        <f t="shared" si="18"/>
        <v>481.8</v>
      </c>
      <c r="X41" s="6">
        <f t="shared" si="19"/>
        <v>197.1</v>
      </c>
    </row>
    <row r="42" spans="2:25">
      <c r="B42" s="685" t="str">
        <f>+'CAPEX_Amount to be paid in 2025'!C12</f>
        <v>Fusei Menix 1 &amp; 2</v>
      </c>
      <c r="C42" s="639"/>
      <c r="D42" s="1282"/>
      <c r="E42" s="641">
        <f>+'CAPEX_Amount to be paid in 2025'!E12/1000</f>
        <v>0.52700000000000002</v>
      </c>
      <c r="F42" s="640">
        <v>30</v>
      </c>
      <c r="G42" s="642">
        <v>1398</v>
      </c>
      <c r="H42" s="633">
        <f t="shared" ref="H42:H45" si="20">+I42*E42</f>
        <v>616.59</v>
      </c>
      <c r="I42" s="643">
        <v>1170</v>
      </c>
      <c r="J42" s="635">
        <f t="shared" ref="J42:J45" si="21">+K42*E42</f>
        <v>237.15</v>
      </c>
      <c r="K42" s="644">
        <v>450</v>
      </c>
      <c r="L42" s="645">
        <v>78</v>
      </c>
      <c r="M42" s="640">
        <v>56</v>
      </c>
      <c r="N42" s="623">
        <v>8.8700000000000001E-2</v>
      </c>
      <c r="P42" s="6">
        <f t="shared" si="13"/>
        <v>736.74599999999998</v>
      </c>
      <c r="R42" s="6">
        <f t="shared" si="14"/>
        <v>237.15</v>
      </c>
      <c r="T42" s="6">
        <f t="shared" si="15"/>
        <v>4.6744900000000006E-2</v>
      </c>
      <c r="V42" s="6">
        <f t="shared" si="18"/>
        <v>616.59</v>
      </c>
      <c r="X42" s="6">
        <f t="shared" si="19"/>
        <v>237.15</v>
      </c>
    </row>
    <row r="43" spans="2:25" hidden="1">
      <c r="B43" s="685" t="str">
        <f>+'CAPEX_Amount to be paid in 2025'!C15</f>
        <v>Mijin Precision</v>
      </c>
      <c r="C43" s="639"/>
      <c r="D43" s="1282"/>
      <c r="E43" s="641"/>
      <c r="F43" s="640"/>
      <c r="G43" s="642"/>
      <c r="H43" s="633"/>
      <c r="I43" s="643"/>
      <c r="J43" s="635"/>
      <c r="K43" s="644"/>
      <c r="L43" s="645"/>
      <c r="M43" s="640"/>
      <c r="N43" s="623"/>
      <c r="P43" s="6">
        <f t="shared" si="13"/>
        <v>0</v>
      </c>
      <c r="R43" s="6">
        <f t="shared" si="14"/>
        <v>0</v>
      </c>
      <c r="T43" s="6">
        <f t="shared" si="15"/>
        <v>0</v>
      </c>
      <c r="V43" s="6">
        <f t="shared" si="18"/>
        <v>0</v>
      </c>
      <c r="X43" s="6">
        <f t="shared" si="19"/>
        <v>0</v>
      </c>
    </row>
    <row r="44" spans="2:25">
      <c r="B44" s="686" t="str">
        <f>+'CAPEX_Amount to be paid in 2025'!C17</f>
        <v>Unitech Korea</v>
      </c>
      <c r="C44" s="639"/>
      <c r="D44" s="1282"/>
      <c r="E44" s="641">
        <f>+'CAPEX_Amount to be paid in 2025'!E17/1000</f>
        <v>0.26900000000000002</v>
      </c>
      <c r="F44" s="640">
        <v>30</v>
      </c>
      <c r="G44" s="642">
        <v>1410</v>
      </c>
      <c r="H44" s="633">
        <f>+I44*E44</f>
        <v>295.90000000000003</v>
      </c>
      <c r="I44" s="643">
        <v>1100</v>
      </c>
      <c r="J44" s="635">
        <f>+K44*E44</f>
        <v>134.5</v>
      </c>
      <c r="K44" s="644">
        <v>500</v>
      </c>
      <c r="L44" s="645">
        <v>78</v>
      </c>
      <c r="M44" s="640">
        <v>55</v>
      </c>
      <c r="N44" s="623">
        <v>9.0800000000000006E-2</v>
      </c>
      <c r="P44" s="6">
        <f>+G44*E44</f>
        <v>379.29</v>
      </c>
      <c r="R44" s="6">
        <f>+K44*E44</f>
        <v>134.5</v>
      </c>
      <c r="T44" s="6">
        <f>+N44*E44</f>
        <v>2.4425200000000005E-2</v>
      </c>
      <c r="V44" s="6">
        <f t="shared" si="18"/>
        <v>295.90000000000003</v>
      </c>
      <c r="X44" s="6">
        <f t="shared" si="19"/>
        <v>134.5</v>
      </c>
    </row>
    <row r="45" spans="2:25">
      <c r="B45" s="685" t="str">
        <f>+'CAPEX_Amount to be paid in 2025'!C16</f>
        <v>Wolchool Metal</v>
      </c>
      <c r="C45" s="639"/>
      <c r="D45" s="1282"/>
      <c r="E45" s="641">
        <f>+'CAPEX_Amount to be paid in 2025'!E16/1000</f>
        <v>0.161</v>
      </c>
      <c r="F45" s="640">
        <v>30</v>
      </c>
      <c r="G45" s="642">
        <v>1437</v>
      </c>
      <c r="H45" s="633">
        <f t="shared" si="20"/>
        <v>177.1</v>
      </c>
      <c r="I45" s="643">
        <v>1100</v>
      </c>
      <c r="J45" s="635">
        <f t="shared" si="21"/>
        <v>72.45</v>
      </c>
      <c r="K45" s="644">
        <v>450</v>
      </c>
      <c r="L45" s="645">
        <v>78</v>
      </c>
      <c r="M45" s="640">
        <v>54</v>
      </c>
      <c r="N45" s="623">
        <v>9.6699999999999994E-2</v>
      </c>
      <c r="P45" s="6">
        <f t="shared" si="13"/>
        <v>231.357</v>
      </c>
      <c r="R45" s="6">
        <f t="shared" si="14"/>
        <v>72.45</v>
      </c>
      <c r="T45" s="6">
        <f t="shared" si="15"/>
        <v>1.55687E-2</v>
      </c>
      <c r="V45" s="6">
        <f t="shared" si="18"/>
        <v>177.1</v>
      </c>
      <c r="X45" s="6">
        <f t="shared" si="19"/>
        <v>72.45</v>
      </c>
    </row>
    <row r="46" spans="2:25" ht="8.25" customHeight="1">
      <c r="B46" s="687"/>
      <c r="C46" s="624"/>
      <c r="D46" s="701"/>
      <c r="E46" s="624"/>
      <c r="F46" s="624"/>
      <c r="G46" s="624"/>
      <c r="H46" s="624"/>
      <c r="I46" s="624"/>
      <c r="J46" s="624"/>
      <c r="K46" s="624"/>
      <c r="L46" s="625"/>
      <c r="M46" s="625"/>
      <c r="N46" s="624"/>
      <c r="V46" s="6">
        <f>+SUM(V34:V45)</f>
        <v>4308.1864400000004</v>
      </c>
      <c r="W46" s="6">
        <f>+V46/E49</f>
        <v>1123.2544916502625</v>
      </c>
      <c r="X46" s="6">
        <f>+SUM(X34:X45)</f>
        <v>1660.6945880000001</v>
      </c>
      <c r="Y46" s="6">
        <f>+X46/E49</f>
        <v>432.98559178192903</v>
      </c>
    </row>
    <row r="47" spans="2:25" hidden="1">
      <c r="B47" s="1284" t="s">
        <v>310</v>
      </c>
      <c r="C47" s="1284"/>
      <c r="D47" s="626">
        <v>189</v>
      </c>
      <c r="E47" s="646">
        <f>+E39+E38+E36+E41+E37+E35+E34+E33</f>
        <v>2.0612399999999997</v>
      </c>
      <c r="F47" s="626">
        <v>30</v>
      </c>
      <c r="G47" s="627">
        <f>+Q47</f>
        <v>1093.8567270186882</v>
      </c>
      <c r="H47" s="627">
        <f>+H39+H38+H36+H41+H37+H35+H34+H33</f>
        <v>2267.3640000000005</v>
      </c>
      <c r="I47" s="627">
        <v>1100</v>
      </c>
      <c r="J47" s="627">
        <f>+J39+J38+J36+J41+J37+J35+J34+J33</f>
        <v>854.73399999999992</v>
      </c>
      <c r="K47" s="681">
        <f>+S47</f>
        <v>319.04775766043747</v>
      </c>
      <c r="L47" s="626">
        <v>77</v>
      </c>
      <c r="M47" s="626">
        <v>55</v>
      </c>
      <c r="N47" s="623">
        <f>+U47</f>
        <v>7.2891606993848376E-2</v>
      </c>
      <c r="P47" s="646">
        <f>+SUM(P33:P39)</f>
        <v>2254.7012400000003</v>
      </c>
      <c r="Q47" s="6">
        <f>+P47/E47</f>
        <v>1093.8567270186882</v>
      </c>
      <c r="R47" s="646">
        <f>+SUM(R33:R39)</f>
        <v>657.63400000000001</v>
      </c>
      <c r="S47" s="6">
        <f>+R47/E47</f>
        <v>319.04775766043747</v>
      </c>
      <c r="T47" s="646">
        <f>+SUM(T33:T39)</f>
        <v>0.150247096</v>
      </c>
      <c r="U47" s="6">
        <f>+T47/E47</f>
        <v>7.2891606993848376E-2</v>
      </c>
    </row>
    <row r="49" spans="2:21">
      <c r="B49" s="1284" t="s">
        <v>310</v>
      </c>
      <c r="C49" s="1284"/>
      <c r="D49" s="626">
        <v>189</v>
      </c>
      <c r="E49" s="703">
        <f>+SUM(E33:E45)</f>
        <v>3.8354500000000007</v>
      </c>
      <c r="F49" s="626">
        <v>30</v>
      </c>
      <c r="G49" s="627">
        <f>+Q49</f>
        <v>1406.5084696710944</v>
      </c>
      <c r="H49" s="627">
        <f>+SUM(H33:H45)</f>
        <v>4308.1864400000004</v>
      </c>
      <c r="I49" s="627">
        <f>+W46</f>
        <v>1123.2544916502625</v>
      </c>
      <c r="J49" s="627">
        <f>+SUM(J33:J45)</f>
        <v>1660.6945880000001</v>
      </c>
      <c r="K49" s="681">
        <f>+Y46</f>
        <v>432.98559178192903</v>
      </c>
      <c r="L49" s="626">
        <v>77</v>
      </c>
      <c r="M49" s="626">
        <v>55</v>
      </c>
      <c r="N49" s="623">
        <f>+U49</f>
        <v>9.2167866352057773E-2</v>
      </c>
      <c r="P49" s="647">
        <f>+SUM(P33:P45)</f>
        <v>5394.5929100000003</v>
      </c>
      <c r="Q49" s="6">
        <f>+P49/E49</f>
        <v>1406.5084696710944</v>
      </c>
      <c r="R49" s="647">
        <f>+SUM(R33:R45)</f>
        <v>1660.6945880000001</v>
      </c>
      <c r="S49" s="6">
        <f>+R49/E49</f>
        <v>432.98559178192903</v>
      </c>
      <c r="T49" s="647">
        <f>+SUM(T33:T45)</f>
        <v>0.35350524300000002</v>
      </c>
      <c r="U49" s="702">
        <f>+T49/E49</f>
        <v>9.2167866352057773E-2</v>
      </c>
    </row>
    <row r="51" spans="2:21" hidden="1">
      <c r="B51" s="1284" t="s">
        <v>708</v>
      </c>
      <c r="C51" s="1284"/>
      <c r="D51" s="626">
        <v>189</v>
      </c>
      <c r="E51" s="704">
        <f>+SUM(E33:E39)</f>
        <v>1.62324</v>
      </c>
      <c r="F51" s="626">
        <v>30</v>
      </c>
      <c r="G51" s="627">
        <f>+SUM(G33:G39)</f>
        <v>8352</v>
      </c>
      <c r="H51" s="627">
        <f>+SUM(H33:H39)</f>
        <v>1785.5640000000001</v>
      </c>
      <c r="I51" s="627">
        <v>1100</v>
      </c>
      <c r="J51" s="627">
        <f>+SUM(J33:J39)</f>
        <v>657.63400000000001</v>
      </c>
      <c r="K51" s="681">
        <f>+S51</f>
        <v>405.13664029964764</v>
      </c>
      <c r="L51" s="626">
        <v>77</v>
      </c>
      <c r="M51" s="626">
        <v>55</v>
      </c>
      <c r="N51" s="623">
        <f>+U51</f>
        <v>9.2560000985682955E-2</v>
      </c>
      <c r="P51" s="6">
        <f>+SUM(P33:P39)</f>
        <v>2254.7012400000003</v>
      </c>
      <c r="Q51" s="6">
        <f>+P51/$E$51</f>
        <v>1389.0128631625639</v>
      </c>
      <c r="R51" s="6">
        <f>+SUM(R33:R39)</f>
        <v>657.63400000000001</v>
      </c>
      <c r="S51" s="6">
        <f>+R51/$E$51</f>
        <v>405.13664029964764</v>
      </c>
      <c r="T51" s="6">
        <f>+SUM(T33:T39)</f>
        <v>0.150247096</v>
      </c>
      <c r="U51" s="702">
        <f>+T51/$E$51</f>
        <v>9.2560000985682955E-2</v>
      </c>
    </row>
    <row r="52" spans="2:21" hidden="1">
      <c r="B52" s="1284" t="s">
        <v>709</v>
      </c>
      <c r="C52" s="1284"/>
      <c r="D52" s="626">
        <v>189</v>
      </c>
      <c r="E52" s="704">
        <f>+SUM(E40:E45)</f>
        <v>2.2122100000000002</v>
      </c>
      <c r="F52" s="626">
        <v>30</v>
      </c>
      <c r="G52" s="627">
        <f>+SUM(G40:G45)</f>
        <v>7102</v>
      </c>
      <c r="H52" s="627">
        <f>+SUM(H40:H45)</f>
        <v>2522.6224400000001</v>
      </c>
      <c r="I52" s="627">
        <v>1100</v>
      </c>
      <c r="J52" s="627">
        <f>+SUM(J40:J45)</f>
        <v>1003.0605880000001</v>
      </c>
      <c r="K52" s="681">
        <f>+S52</f>
        <v>453.4201490816875</v>
      </c>
      <c r="L52" s="626">
        <v>77</v>
      </c>
      <c r="M52" s="626">
        <v>55</v>
      </c>
      <c r="N52" s="623">
        <f>+U52</f>
        <v>9.1880132085109451E-2</v>
      </c>
      <c r="P52" s="6">
        <f>+SUM(P40:P45)</f>
        <v>3139.89167</v>
      </c>
      <c r="Q52" s="6">
        <f>+P52/$E$52</f>
        <v>1419.3461154230383</v>
      </c>
      <c r="R52" s="6">
        <f>+SUM(R40:R45)</f>
        <v>1003.0605880000001</v>
      </c>
      <c r="S52" s="6">
        <f>+R52/$E$52</f>
        <v>453.4201490816875</v>
      </c>
      <c r="T52" s="6">
        <f>+SUM(T40:T45)</f>
        <v>0.203258147</v>
      </c>
      <c r="U52" s="702">
        <f>+T52/$E$52</f>
        <v>9.1880132085109451E-2</v>
      </c>
    </row>
    <row r="54" spans="2:21">
      <c r="H54" s="212"/>
    </row>
    <row r="55" spans="2:21">
      <c r="H55" s="212"/>
    </row>
    <row r="59" spans="2:21">
      <c r="J59" s="203"/>
    </row>
  </sheetData>
  <mergeCells count="44">
    <mergeCell ref="E3:E4"/>
    <mergeCell ref="F3:F4"/>
    <mergeCell ref="D6:D13"/>
    <mergeCell ref="B2:D2"/>
    <mergeCell ref="B3:B5"/>
    <mergeCell ref="C3:C5"/>
    <mergeCell ref="D3:D4"/>
    <mergeCell ref="G3:G4"/>
    <mergeCell ref="H3:H4"/>
    <mergeCell ref="L3:L4"/>
    <mergeCell ref="M3:M4"/>
    <mergeCell ref="N3:N4"/>
    <mergeCell ref="N19:N20"/>
    <mergeCell ref="B15:C15"/>
    <mergeCell ref="B18:D18"/>
    <mergeCell ref="B19:B21"/>
    <mergeCell ref="C19:C21"/>
    <mergeCell ref="D19:D20"/>
    <mergeCell ref="E19:E20"/>
    <mergeCell ref="F19:F20"/>
    <mergeCell ref="G19:G20"/>
    <mergeCell ref="H19:H20"/>
    <mergeCell ref="L19:L20"/>
    <mergeCell ref="M19:M20"/>
    <mergeCell ref="D22:D24"/>
    <mergeCell ref="B26:C26"/>
    <mergeCell ref="B29:D29"/>
    <mergeCell ref="B30:B32"/>
    <mergeCell ref="C30:C32"/>
    <mergeCell ref="D30:D31"/>
    <mergeCell ref="B52:C52"/>
    <mergeCell ref="D33:D35"/>
    <mergeCell ref="D37:D39"/>
    <mergeCell ref="N30:N31"/>
    <mergeCell ref="D40:D45"/>
    <mergeCell ref="B47:C47"/>
    <mergeCell ref="B49:C49"/>
    <mergeCell ref="B51:C51"/>
    <mergeCell ref="E30:E31"/>
    <mergeCell ref="F30:F31"/>
    <mergeCell ref="G30:G31"/>
    <mergeCell ref="H30:H31"/>
    <mergeCell ref="L30:L31"/>
    <mergeCell ref="M30:M31"/>
  </mergeCells>
  <phoneticPr fontId="9" type="noConversion"/>
  <pageMargins left="0.75" right="0.75" top="1" bottom="1" header="0.5" footer="0.5"/>
  <pageSetup paperSize="9" firstPageNumber="0" fitToWidth="0" fitToHeight="0" pageOrder="overThenDown" orientation="portrait" horizontalDpi="300" verticalDpi="300"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08373-76B0-4CA8-89A2-AD4CDC3D7F83}">
  <sheetPr>
    <pageSetUpPr fitToPage="1"/>
  </sheetPr>
  <dimension ref="A1:CE76"/>
  <sheetViews>
    <sheetView showGridLines="0" zoomScale="96" zoomScaleNormal="96" zoomScaleSheetLayoutView="55" workbookViewId="0">
      <pane xSplit="12" ySplit="10" topLeftCell="Z11" activePane="bottomRight" state="frozen"/>
      <selection pane="topRight" activeCell="I35" sqref="I35"/>
      <selection pane="bottomLeft" activeCell="I35" sqref="I35"/>
      <selection pane="bottomRight" activeCell="AB1" sqref="AB1:AB1048576"/>
    </sheetView>
  </sheetViews>
  <sheetFormatPr defaultColWidth="10.28515625" defaultRowHeight="12.75" outlineLevelCol="1"/>
  <cols>
    <col min="1" max="1" width="1.85546875" style="53" customWidth="1"/>
    <col min="2" max="2" width="5.5703125" style="53" customWidth="1"/>
    <col min="3" max="3" width="19.85546875" style="53" customWidth="1"/>
    <col min="4" max="4" width="10.140625" style="53" customWidth="1"/>
    <col min="5" max="5" width="14.140625" style="53" customWidth="1"/>
    <col min="6" max="6" width="18.85546875" style="53" customWidth="1"/>
    <col min="7" max="7" width="15.140625" style="53" bestFit="1" customWidth="1"/>
    <col min="8" max="8" width="13.28515625" style="53" customWidth="1"/>
    <col min="9" max="9" width="15.140625" style="53" bestFit="1" customWidth="1"/>
    <col min="10" max="10" width="7.5703125" style="53" customWidth="1"/>
    <col min="11" max="11" width="13.28515625" style="53" customWidth="1"/>
    <col min="12" max="12" width="15.140625" style="53" bestFit="1" customWidth="1"/>
    <col min="13" max="13" width="13.28515625" style="425" customWidth="1"/>
    <col min="14" max="15" width="11.5703125" style="53" customWidth="1"/>
    <col min="16" max="16" width="7.5703125" style="53" customWidth="1"/>
    <col min="17" max="19" width="13.28515625" style="53" customWidth="1"/>
    <col min="20" max="20" width="13.85546875" style="53" customWidth="1"/>
    <col min="21" max="22" width="11.5703125" style="53" customWidth="1"/>
    <col min="23" max="23" width="7.5703125" style="53" customWidth="1"/>
    <col min="24" max="26" width="13.28515625" style="53" customWidth="1"/>
    <col min="27" max="27" width="13.85546875" style="53" customWidth="1"/>
    <col min="28" max="29" width="11.5703125" style="53" customWidth="1"/>
    <col min="30" max="30" width="7.5703125" style="53" customWidth="1"/>
    <col min="31" max="33" width="13.28515625" style="53" customWidth="1"/>
    <col min="34" max="34" width="13.85546875" style="53" customWidth="1"/>
    <col min="35" max="36" width="11.5703125" style="53" customWidth="1" outlineLevel="1"/>
    <col min="37" max="37" width="7.5703125" style="53" customWidth="1" outlineLevel="1"/>
    <col min="38" max="40" width="13.28515625" style="53" customWidth="1" outlineLevel="1"/>
    <col min="41" max="41" width="13.85546875" style="53" customWidth="1" outlineLevel="1"/>
    <col min="42" max="43" width="11.5703125" style="53" customWidth="1"/>
    <col min="44" max="44" width="7.5703125" style="53" customWidth="1"/>
    <col min="45" max="47" width="13.28515625" style="53" customWidth="1"/>
    <col min="48" max="48" width="13.85546875" style="53" customWidth="1"/>
    <col min="49" max="50" width="11.5703125" style="53" customWidth="1"/>
    <col min="51" max="51" width="7.5703125" style="53" customWidth="1"/>
    <col min="52" max="54" width="13.28515625" style="53" customWidth="1"/>
    <col min="55" max="55" width="13.85546875" style="53" customWidth="1"/>
    <col min="56" max="57" width="11.5703125" style="53" customWidth="1"/>
    <col min="58" max="58" width="7.5703125" style="53" customWidth="1"/>
    <col min="59" max="61" width="13.28515625" style="53" customWidth="1"/>
    <col min="62" max="62" width="13.85546875" style="53" customWidth="1"/>
    <col min="63" max="64" width="11.5703125" style="53" customWidth="1"/>
    <col min="65" max="65" width="7.5703125" style="53" customWidth="1"/>
    <col min="66" max="68" width="13.28515625" style="53" customWidth="1"/>
    <col min="69" max="69" width="13.85546875" style="53" customWidth="1"/>
    <col min="70" max="70" width="1.85546875" style="53" customWidth="1"/>
    <col min="71" max="73" width="7" style="53" customWidth="1"/>
    <col min="74" max="16384" width="10.28515625" style="53"/>
  </cols>
  <sheetData>
    <row r="1" spans="1:83" s="52" customFormat="1">
      <c r="M1" s="415"/>
      <c r="BR1" s="53"/>
    </row>
    <row r="2" spans="1:83" s="52" customFormat="1">
      <c r="B2" s="52" t="s">
        <v>346</v>
      </c>
      <c r="D2" s="52" t="s">
        <v>1024</v>
      </c>
      <c r="G2" s="401">
        <v>1100000000</v>
      </c>
      <c r="M2" s="415"/>
      <c r="BR2" s="53"/>
    </row>
    <row r="3" spans="1:83" s="52" customFormat="1">
      <c r="B3" s="52" t="s">
        <v>348</v>
      </c>
      <c r="D3" s="52" t="s">
        <v>1025</v>
      </c>
      <c r="M3" s="415"/>
      <c r="BR3" s="53"/>
    </row>
    <row r="4" spans="1:83" s="52" customFormat="1">
      <c r="B4" s="52" t="s">
        <v>350</v>
      </c>
      <c r="D4" s="52" t="s">
        <v>1026</v>
      </c>
      <c r="M4" s="415"/>
      <c r="BR4" s="53"/>
    </row>
    <row r="5" spans="1:83">
      <c r="B5" s="52" t="s">
        <v>352</v>
      </c>
      <c r="C5" s="52"/>
      <c r="D5" s="53" t="s">
        <v>1027</v>
      </c>
      <c r="I5" s="456"/>
      <c r="K5" s="457"/>
    </row>
    <row r="6" spans="1:83" s="52" customFormat="1">
      <c r="B6" s="52" t="s">
        <v>354</v>
      </c>
      <c r="D6" s="52" t="s">
        <v>355</v>
      </c>
      <c r="I6" s="199"/>
      <c r="M6" s="415"/>
      <c r="BR6" s="53"/>
    </row>
    <row r="7" spans="1:83" s="52" customFormat="1">
      <c r="B7" s="52" t="s">
        <v>356</v>
      </c>
      <c r="D7" s="52" t="s">
        <v>1028</v>
      </c>
      <c r="M7" s="415"/>
      <c r="BR7" s="53"/>
    </row>
    <row r="8" spans="1:83">
      <c r="A8" s="54"/>
      <c r="B8" s="55"/>
      <c r="C8" s="56"/>
      <c r="D8" s="56"/>
      <c r="E8" s="56"/>
      <c r="F8" s="54"/>
      <c r="G8" s="57"/>
      <c r="H8" s="57"/>
      <c r="I8" s="57"/>
      <c r="J8" s="54"/>
      <c r="K8" s="54"/>
      <c r="L8" s="54"/>
      <c r="M8" s="62"/>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8"/>
      <c r="BS8" s="54"/>
      <c r="BT8" s="54"/>
      <c r="BU8" s="54"/>
      <c r="BV8" s="54"/>
      <c r="BW8" s="54"/>
      <c r="BX8" s="54"/>
      <c r="BY8" s="54"/>
      <c r="BZ8" s="54"/>
      <c r="CA8" s="54"/>
      <c r="CB8" s="54"/>
      <c r="CC8" s="54"/>
      <c r="CD8" s="54"/>
      <c r="CE8" s="54"/>
    </row>
    <row r="9" spans="1:83" ht="28.15" customHeight="1">
      <c r="A9" s="54"/>
      <c r="B9" s="1317" t="s">
        <v>358</v>
      </c>
      <c r="C9" s="1317" t="s">
        <v>359</v>
      </c>
      <c r="D9" s="1319" t="s">
        <v>360</v>
      </c>
      <c r="E9" s="1321" t="s">
        <v>361</v>
      </c>
      <c r="F9" s="1319" t="s">
        <v>362</v>
      </c>
      <c r="G9" s="1319" t="s">
        <v>363</v>
      </c>
      <c r="H9" s="1319" t="s">
        <v>364</v>
      </c>
      <c r="I9" s="1319" t="s">
        <v>365</v>
      </c>
      <c r="J9" s="1313" t="s">
        <v>366</v>
      </c>
      <c r="K9" s="1313"/>
      <c r="L9" s="1313"/>
      <c r="M9" s="1314" t="s">
        <v>367</v>
      </c>
      <c r="N9" s="1313" t="s">
        <v>368</v>
      </c>
      <c r="O9" s="1313"/>
      <c r="P9" s="1313"/>
      <c r="Q9" s="1313"/>
      <c r="R9" s="1313"/>
      <c r="S9" s="1313"/>
      <c r="T9" s="1313"/>
      <c r="U9" s="1313" t="s">
        <v>369</v>
      </c>
      <c r="V9" s="1313"/>
      <c r="W9" s="1313"/>
      <c r="X9" s="1313"/>
      <c r="Y9" s="1313"/>
      <c r="Z9" s="1313"/>
      <c r="AA9" s="1313"/>
      <c r="AB9" s="1313" t="s">
        <v>885</v>
      </c>
      <c r="AC9" s="1313"/>
      <c r="AD9" s="1313"/>
      <c r="AE9" s="1313"/>
      <c r="AF9" s="1313"/>
      <c r="AG9" s="1313"/>
      <c r="AH9" s="1313"/>
      <c r="AI9" s="1313" t="s">
        <v>371</v>
      </c>
      <c r="AJ9" s="1313"/>
      <c r="AK9" s="1313"/>
      <c r="AL9" s="1313"/>
      <c r="AM9" s="1313"/>
      <c r="AN9" s="1313"/>
      <c r="AO9" s="1313"/>
      <c r="AP9" s="1313" t="s">
        <v>372</v>
      </c>
      <c r="AQ9" s="1313"/>
      <c r="AR9" s="1313"/>
      <c r="AS9" s="1313"/>
      <c r="AT9" s="1313"/>
      <c r="AU9" s="1313"/>
      <c r="AV9" s="1313"/>
      <c r="AW9" s="1313" t="s">
        <v>373</v>
      </c>
      <c r="AX9" s="1313"/>
      <c r="AY9" s="1313"/>
      <c r="AZ9" s="1313"/>
      <c r="BA9" s="1313"/>
      <c r="BB9" s="1313"/>
      <c r="BC9" s="1313"/>
      <c r="BD9" s="1313" t="s">
        <v>886</v>
      </c>
      <c r="BE9" s="1313"/>
      <c r="BF9" s="1313"/>
      <c r="BG9" s="1313"/>
      <c r="BH9" s="1313"/>
      <c r="BI9" s="1313"/>
      <c r="BJ9" s="1313"/>
      <c r="BK9" s="1313" t="s">
        <v>375</v>
      </c>
      <c r="BL9" s="1313"/>
      <c r="BM9" s="1313"/>
      <c r="BN9" s="1313"/>
      <c r="BO9" s="1313"/>
      <c r="BP9" s="1313"/>
      <c r="BQ9" s="1313"/>
      <c r="BR9" s="60"/>
      <c r="BS9" s="1313" t="s">
        <v>376</v>
      </c>
      <c r="BT9" s="1313"/>
      <c r="BU9" s="1313"/>
      <c r="BV9" s="54"/>
      <c r="BW9" s="54"/>
      <c r="BX9" s="54"/>
      <c r="BY9" s="54"/>
      <c r="BZ9" s="54"/>
      <c r="CA9" s="54"/>
      <c r="CB9" s="54"/>
      <c r="CC9" s="54"/>
      <c r="CD9" s="58"/>
      <c r="CE9" s="58"/>
    </row>
    <row r="10" spans="1:83" ht="28.15" customHeight="1">
      <c r="A10" s="54"/>
      <c r="B10" s="1318"/>
      <c r="C10" s="1318"/>
      <c r="D10" s="1320"/>
      <c r="E10" s="1315"/>
      <c r="F10" s="1320"/>
      <c r="G10" s="1320"/>
      <c r="H10" s="1320"/>
      <c r="I10" s="1320"/>
      <c r="J10" s="59" t="s">
        <v>377</v>
      </c>
      <c r="K10" s="59" t="s">
        <v>378</v>
      </c>
      <c r="L10" s="59" t="s">
        <v>379</v>
      </c>
      <c r="M10" s="1315"/>
      <c r="N10" s="59" t="s">
        <v>380</v>
      </c>
      <c r="O10" s="59" t="s">
        <v>381</v>
      </c>
      <c r="P10" s="59" t="s">
        <v>377</v>
      </c>
      <c r="Q10" s="59" t="s">
        <v>382</v>
      </c>
      <c r="R10" s="59" t="s">
        <v>383</v>
      </c>
      <c r="S10" s="59" t="s">
        <v>384</v>
      </c>
      <c r="T10" s="59" t="s">
        <v>385</v>
      </c>
      <c r="U10" s="59" t="s">
        <v>380</v>
      </c>
      <c r="V10" s="59" t="s">
        <v>381</v>
      </c>
      <c r="W10" s="59" t="s">
        <v>377</v>
      </c>
      <c r="X10" s="59" t="s">
        <v>382</v>
      </c>
      <c r="Y10" s="59" t="s">
        <v>383</v>
      </c>
      <c r="Z10" s="59" t="s">
        <v>384</v>
      </c>
      <c r="AA10" s="59" t="s">
        <v>385</v>
      </c>
      <c r="AB10" s="59" t="s">
        <v>380</v>
      </c>
      <c r="AC10" s="59" t="s">
        <v>381</v>
      </c>
      <c r="AD10" s="59" t="s">
        <v>377</v>
      </c>
      <c r="AE10" s="59" t="s">
        <v>382</v>
      </c>
      <c r="AF10" s="59" t="s">
        <v>383</v>
      </c>
      <c r="AG10" s="59" t="s">
        <v>384</v>
      </c>
      <c r="AH10" s="59" t="s">
        <v>385</v>
      </c>
      <c r="AI10" s="59" t="s">
        <v>380</v>
      </c>
      <c r="AJ10" s="59" t="s">
        <v>381</v>
      </c>
      <c r="AK10" s="59" t="s">
        <v>377</v>
      </c>
      <c r="AL10" s="59" t="s">
        <v>382</v>
      </c>
      <c r="AM10" s="59" t="s">
        <v>383</v>
      </c>
      <c r="AN10" s="59" t="s">
        <v>384</v>
      </c>
      <c r="AO10" s="59" t="s">
        <v>385</v>
      </c>
      <c r="AP10" s="59" t="s">
        <v>380</v>
      </c>
      <c r="AQ10" s="59" t="s">
        <v>381</v>
      </c>
      <c r="AR10" s="59" t="s">
        <v>377</v>
      </c>
      <c r="AS10" s="59" t="s">
        <v>382</v>
      </c>
      <c r="AT10" s="59" t="s">
        <v>383</v>
      </c>
      <c r="AU10" s="59" t="s">
        <v>384</v>
      </c>
      <c r="AV10" s="59" t="s">
        <v>385</v>
      </c>
      <c r="AW10" s="59" t="s">
        <v>380</v>
      </c>
      <c r="AX10" s="59" t="s">
        <v>381</v>
      </c>
      <c r="AY10" s="59" t="s">
        <v>377</v>
      </c>
      <c r="AZ10" s="59" t="s">
        <v>382</v>
      </c>
      <c r="BA10" s="59" t="s">
        <v>383</v>
      </c>
      <c r="BB10" s="59" t="s">
        <v>384</v>
      </c>
      <c r="BC10" s="59" t="s">
        <v>385</v>
      </c>
      <c r="BD10" s="59" t="s">
        <v>380</v>
      </c>
      <c r="BE10" s="59" t="s">
        <v>381</v>
      </c>
      <c r="BF10" s="59" t="s">
        <v>377</v>
      </c>
      <c r="BG10" s="59" t="s">
        <v>382</v>
      </c>
      <c r="BH10" s="59" t="s">
        <v>383</v>
      </c>
      <c r="BI10" s="59" t="s">
        <v>384</v>
      </c>
      <c r="BJ10" s="59" t="s">
        <v>385</v>
      </c>
      <c r="BK10" s="59" t="s">
        <v>380</v>
      </c>
      <c r="BL10" s="59" t="s">
        <v>381</v>
      </c>
      <c r="BM10" s="59" t="s">
        <v>377</v>
      </c>
      <c r="BN10" s="59" t="s">
        <v>382</v>
      </c>
      <c r="BO10" s="59" t="s">
        <v>383</v>
      </c>
      <c r="BP10" s="59" t="s">
        <v>384</v>
      </c>
      <c r="BQ10" s="59" t="s">
        <v>385</v>
      </c>
      <c r="BR10" s="61"/>
      <c r="BS10" s="1313"/>
      <c r="BT10" s="1313"/>
      <c r="BU10" s="1313"/>
      <c r="BV10" s="54"/>
      <c r="BW10" s="54"/>
      <c r="BX10" s="54"/>
      <c r="BY10" s="54"/>
      <c r="BZ10" s="54"/>
      <c r="CA10" s="54"/>
      <c r="CB10" s="54"/>
      <c r="CC10" s="54"/>
      <c r="CD10" s="58"/>
      <c r="CE10" s="58"/>
    </row>
    <row r="11" spans="1:83" ht="16.5" customHeight="1">
      <c r="A11" s="107"/>
      <c r="B11" s="1322">
        <v>1</v>
      </c>
      <c r="C11" s="1579" t="s">
        <v>920</v>
      </c>
      <c r="D11" s="1329">
        <f>+'[5]DG-PV Organic'!O17</f>
        <v>150</v>
      </c>
      <c r="E11" s="1324" t="s">
        <v>888</v>
      </c>
      <c r="F11" s="63" t="s">
        <v>388</v>
      </c>
      <c r="G11" s="64">
        <f>+지급비율!F20*$D$11/1000</f>
        <v>165000000</v>
      </c>
      <c r="H11" s="64">
        <f>+G11*10%</f>
        <v>16500000</v>
      </c>
      <c r="I11" s="64">
        <f>SUM(G11:H11)</f>
        <v>181500000</v>
      </c>
      <c r="J11" s="63">
        <f>+IFERROR(K11/I11,"-")</f>
        <v>0</v>
      </c>
      <c r="K11" s="134">
        <f>+IFERROR(R11+Y11+AF11+AM11+BA11+BH11,"-")</f>
        <v>0</v>
      </c>
      <c r="L11" s="134">
        <f>+I11-K11</f>
        <v>181500000</v>
      </c>
      <c r="M11" s="416"/>
      <c r="N11" s="67"/>
      <c r="O11" s="67"/>
      <c r="P11" s="135"/>
      <c r="Q11" s="134">
        <f>+$I11*지급비율!G20</f>
        <v>0</v>
      </c>
      <c r="R11" s="134"/>
      <c r="S11" s="134">
        <f t="shared" ref="S11:S58" si="0">+Q11-R11</f>
        <v>0</v>
      </c>
      <c r="T11" s="145"/>
      <c r="U11" s="67"/>
      <c r="V11" s="67"/>
      <c r="W11" s="135"/>
      <c r="X11" s="134">
        <f>+$I11*지급비율!N20</f>
        <v>0</v>
      </c>
      <c r="Y11" s="134"/>
      <c r="Z11" s="134">
        <f>+X11-Y11</f>
        <v>0</v>
      </c>
      <c r="AA11" s="145"/>
      <c r="AB11" s="67">
        <f>+EDATE(AI11,-1)</f>
        <v>46019</v>
      </c>
      <c r="AC11" s="67"/>
      <c r="AD11" s="135">
        <f>+IFERROR(AE11/$I11,"-")</f>
        <v>0.5</v>
      </c>
      <c r="AE11" s="134">
        <f>+$I11*지급비율!U20</f>
        <v>90750000</v>
      </c>
      <c r="AF11" s="134">
        <v>0</v>
      </c>
      <c r="AG11" s="134">
        <f>+AE11-AF11</f>
        <v>90750000</v>
      </c>
      <c r="AH11" s="145"/>
      <c r="AI11" s="67">
        <f>+EDATE(AP11,-1)</f>
        <v>46050</v>
      </c>
      <c r="AJ11" s="67"/>
      <c r="AK11" s="135">
        <f>+IFERROR(AL11/$I11,"-")</f>
        <v>0</v>
      </c>
      <c r="AL11" s="134">
        <f>+$I11*지급비율!AB20</f>
        <v>0</v>
      </c>
      <c r="AM11" s="134">
        <v>0</v>
      </c>
      <c r="AN11" s="134">
        <f>+AL11-AM11</f>
        <v>0</v>
      </c>
      <c r="AO11" s="145"/>
      <c r="AP11" s="67">
        <f>+EDATE(AW11,-1)</f>
        <v>46081</v>
      </c>
      <c r="AQ11" s="67"/>
      <c r="AR11" s="135">
        <f>+IFERROR(AS11/$I11,"-")</f>
        <v>0</v>
      </c>
      <c r="AS11" s="134">
        <f>+$I11*지급비율!AI20</f>
        <v>0</v>
      </c>
      <c r="AT11" s="134">
        <v>0</v>
      </c>
      <c r="AU11" s="134">
        <f>+AS11-AT11</f>
        <v>0</v>
      </c>
      <c r="AV11" s="145"/>
      <c r="AW11" s="67">
        <f>+EDATE(BD11,-1)</f>
        <v>46111</v>
      </c>
      <c r="AX11" s="67"/>
      <c r="AY11" s="135">
        <f>+IFERROR(AZ11/$I11,"-")</f>
        <v>0</v>
      </c>
      <c r="AZ11" s="134">
        <f>+$I11*지급비율!AP20</f>
        <v>0</v>
      </c>
      <c r="BA11" s="134">
        <v>0</v>
      </c>
      <c r="BB11" s="134">
        <f>+AZ11-BA11</f>
        <v>0</v>
      </c>
      <c r="BC11" s="145"/>
      <c r="BD11" s="67">
        <f>+EDATE(BK11,-1)</f>
        <v>46142</v>
      </c>
      <c r="BE11" s="67"/>
      <c r="BF11" s="135">
        <f>+IFERROR(BG11/$I11,"-")</f>
        <v>0.4</v>
      </c>
      <c r="BG11" s="134">
        <f>+$I11*지급비율!AW20</f>
        <v>72600000</v>
      </c>
      <c r="BH11" s="134">
        <v>0</v>
      </c>
      <c r="BI11" s="134">
        <f>+BG11-BH11</f>
        <v>72600000</v>
      </c>
      <c r="BJ11" s="145"/>
      <c r="BK11" s="67">
        <v>46173</v>
      </c>
      <c r="BL11" s="67"/>
      <c r="BM11" s="135">
        <f>+IFERROR(BN11/$I11,"-")</f>
        <v>0.1</v>
      </c>
      <c r="BN11" s="134">
        <f>+$I11*지급비율!BD20</f>
        <v>18150000</v>
      </c>
      <c r="BO11" s="134">
        <v>0</v>
      </c>
      <c r="BP11" s="134">
        <f>+BN11-BO11</f>
        <v>18150000</v>
      </c>
      <c r="BQ11" s="145"/>
      <c r="BR11" s="73"/>
      <c r="BS11" s="74" t="b">
        <f>+Q11+X11+AE11+AS11+AZ11+BG11+BN11=I11</f>
        <v>1</v>
      </c>
      <c r="BT11" s="74" t="b">
        <f>+R11+Y11+AF11+AT11+BA11+BH11+BO11=K11</f>
        <v>1</v>
      </c>
      <c r="BU11" s="74"/>
      <c r="BV11" s="58"/>
      <c r="BW11" s="58"/>
      <c r="BX11" s="58"/>
      <c r="BY11" s="58"/>
      <c r="BZ11" s="58"/>
      <c r="CA11" s="58"/>
      <c r="CB11" s="58"/>
      <c r="CC11" s="58"/>
      <c r="CD11" s="58"/>
      <c r="CE11" s="58"/>
    </row>
    <row r="12" spans="1:83" ht="16.5" customHeight="1">
      <c r="A12" s="107"/>
      <c r="B12" s="1322"/>
      <c r="C12" s="1579"/>
      <c r="D12" s="1329"/>
      <c r="E12" s="1324"/>
      <c r="F12" s="75" t="s">
        <v>389</v>
      </c>
      <c r="G12" s="76">
        <f>+지급비율!F21*$D$11/1000</f>
        <v>45000000</v>
      </c>
      <c r="H12" s="76">
        <f>+G12*10%</f>
        <v>4500000</v>
      </c>
      <c r="I12" s="76">
        <f>SUM(G12:H12)</f>
        <v>49500000</v>
      </c>
      <c r="J12" s="75">
        <f>+IFERROR(K12/I12,"-")</f>
        <v>0.2</v>
      </c>
      <c r="K12" s="80">
        <f>+IFERROR(R12+Y12+AF12+AM12+BA12+BH12,"-")</f>
        <v>9900000</v>
      </c>
      <c r="L12" s="80">
        <f>+I12-K12</f>
        <v>39600000</v>
      </c>
      <c r="M12" s="417"/>
      <c r="N12" s="78">
        <f>+O12</f>
        <v>45631</v>
      </c>
      <c r="O12" s="78">
        <v>45631</v>
      </c>
      <c r="P12" s="79">
        <f>+IFERROR(Q12/$I12,"-")</f>
        <v>0.2</v>
      </c>
      <c r="Q12" s="80">
        <f>+$I12*지급비율!G21</f>
        <v>9900000</v>
      </c>
      <c r="R12" s="80">
        <v>9900000</v>
      </c>
      <c r="S12" s="80">
        <f t="shared" si="0"/>
        <v>0</v>
      </c>
      <c r="T12" s="81"/>
      <c r="U12" s="152">
        <v>45961</v>
      </c>
      <c r="V12" s="152"/>
      <c r="W12" s="117">
        <f>+IFERROR(X12/$I12,"-")</f>
        <v>0.2</v>
      </c>
      <c r="X12" s="153">
        <f>+$I12*지급비율!N21</f>
        <v>9900000</v>
      </c>
      <c r="Y12" s="153">
        <v>0</v>
      </c>
      <c r="Z12" s="153">
        <f>+X12-Y12</f>
        <v>9900000</v>
      </c>
      <c r="AA12" s="118"/>
      <c r="AB12" s="78">
        <v>45991</v>
      </c>
      <c r="AC12" s="78"/>
      <c r="AD12" s="79">
        <f>+IFERROR(AE12/$I12,"-")</f>
        <v>0.5</v>
      </c>
      <c r="AE12" s="80">
        <f>+$I12*지급비율!U21</f>
        <v>24750000</v>
      </c>
      <c r="AF12" s="80">
        <v>0</v>
      </c>
      <c r="AG12" s="80">
        <f>+AE12-AF12</f>
        <v>24750000</v>
      </c>
      <c r="AH12" s="81"/>
      <c r="AI12" s="78"/>
      <c r="AJ12" s="78"/>
      <c r="AK12" s="79">
        <f>+IFERROR(AL12/$I12,"-")</f>
        <v>0</v>
      </c>
      <c r="AL12" s="80">
        <f>+$I12*지급비율!AB21</f>
        <v>0</v>
      </c>
      <c r="AM12" s="80">
        <v>0</v>
      </c>
      <c r="AN12" s="80">
        <f>+AL12-AM12</f>
        <v>0</v>
      </c>
      <c r="AO12" s="81"/>
      <c r="AP12" s="78"/>
      <c r="AQ12" s="78"/>
      <c r="AR12" s="79"/>
      <c r="AS12" s="80">
        <f>+$I12*지급비율!AI21</f>
        <v>0</v>
      </c>
      <c r="AT12" s="80"/>
      <c r="AU12" s="80"/>
      <c r="AV12" s="81"/>
      <c r="AW12" s="78"/>
      <c r="AX12" s="78"/>
      <c r="AY12" s="79"/>
      <c r="AZ12" s="80">
        <f>+$I12*지급비율!AP21</f>
        <v>0</v>
      </c>
      <c r="BA12" s="80"/>
      <c r="BB12" s="80">
        <f>+AZ12-BA12</f>
        <v>0</v>
      </c>
      <c r="BC12" s="81"/>
      <c r="BD12" s="78"/>
      <c r="BE12" s="78"/>
      <c r="BF12" s="79"/>
      <c r="BG12" s="80">
        <f>+$I12*지급비율!AW21</f>
        <v>0</v>
      </c>
      <c r="BH12" s="80"/>
      <c r="BI12" s="80">
        <f>+BG12-BH12</f>
        <v>0</v>
      </c>
      <c r="BJ12" s="81"/>
      <c r="BK12" s="78">
        <v>46173</v>
      </c>
      <c r="BL12" s="78"/>
      <c r="BM12" s="79">
        <f>+IFERROR(BN12/$I12,"-")</f>
        <v>0.1</v>
      </c>
      <c r="BN12" s="80">
        <f>+$I12*지급비율!BD21</f>
        <v>4950000</v>
      </c>
      <c r="BO12" s="80">
        <v>0</v>
      </c>
      <c r="BP12" s="80">
        <f>+BN12-BO12</f>
        <v>4950000</v>
      </c>
      <c r="BQ12" s="81"/>
      <c r="BR12" s="73"/>
      <c r="BS12" s="74" t="b">
        <f>+Q12+X12+AE12+AS12+AZ12+BG12+BN12=I12</f>
        <v>1</v>
      </c>
      <c r="BT12" s="74" t="b">
        <f>+R12+Y12+AF12+AT12+BA12+BH12+BO12=K12</f>
        <v>1</v>
      </c>
      <c r="BU12" s="74" t="b">
        <f>+BG12+BG13+AZ12+AZ13+AS12+AS13+AE12+AE13+X12+X13+Q12+Q13+BN12+BN13=([5]지급비율!$F$21+[5]지급비율!$F$22)*1.1*D11/1000</f>
        <v>1</v>
      </c>
      <c r="BV12" s="58"/>
      <c r="BW12" s="58"/>
      <c r="BX12" s="58"/>
      <c r="BY12" s="58"/>
      <c r="BZ12" s="58"/>
      <c r="CA12" s="58"/>
      <c r="CB12" s="58"/>
      <c r="CC12" s="58"/>
      <c r="CD12" s="58"/>
      <c r="CE12" s="58"/>
    </row>
    <row r="13" spans="1:83" ht="16.5" customHeight="1">
      <c r="A13" s="107"/>
      <c r="B13" s="1322"/>
      <c r="C13" s="1579"/>
      <c r="D13" s="1329"/>
      <c r="E13" s="1324"/>
      <c r="F13" s="75" t="s">
        <v>390</v>
      </c>
      <c r="G13" s="76">
        <f>+지급비율!F22*$D$11/1000</f>
        <v>30000000</v>
      </c>
      <c r="H13" s="76">
        <f>+G13*10%</f>
        <v>3000000</v>
      </c>
      <c r="I13" s="76">
        <f>SUM(G13:H13)</f>
        <v>33000000</v>
      </c>
      <c r="J13" s="75">
        <f>+IFERROR(K13/I13,"-")</f>
        <v>0.2</v>
      </c>
      <c r="K13" s="80">
        <f>+IFERROR(R13+Y13+AF13+AM13+BA13+BH13,"-")</f>
        <v>6600000</v>
      </c>
      <c r="L13" s="80">
        <f>+I13-K13</f>
        <v>26400000</v>
      </c>
      <c r="M13" s="417"/>
      <c r="N13" s="78">
        <f>+O13</f>
        <v>45631</v>
      </c>
      <c r="O13" s="72">
        <v>45631</v>
      </c>
      <c r="P13" s="79">
        <f>+IFERROR(Q13/$I13,"-")</f>
        <v>0.2</v>
      </c>
      <c r="Q13" s="80">
        <f>+$I13*지급비율!G22</f>
        <v>6600000</v>
      </c>
      <c r="R13" s="80">
        <v>6600000</v>
      </c>
      <c r="S13" s="80">
        <f t="shared" si="0"/>
        <v>0</v>
      </c>
      <c r="T13" s="81"/>
      <c r="U13" s="152">
        <v>45961</v>
      </c>
      <c r="V13" s="152"/>
      <c r="W13" s="117">
        <f>+IFERROR(X13/$I13,"-")</f>
        <v>0.2</v>
      </c>
      <c r="X13" s="153">
        <f>+$I13*지급비율!N22</f>
        <v>6600000</v>
      </c>
      <c r="Y13" s="153">
        <v>0</v>
      </c>
      <c r="Z13" s="153">
        <f>+X13-Y13</f>
        <v>6600000</v>
      </c>
      <c r="AA13" s="118"/>
      <c r="AB13" s="78">
        <v>45991</v>
      </c>
      <c r="AC13" s="72"/>
      <c r="AD13" s="79">
        <f>+IFERROR(AE13/$I13,"-")</f>
        <v>0.5</v>
      </c>
      <c r="AE13" s="80">
        <f>+$I13*지급비율!U22</f>
        <v>16500000</v>
      </c>
      <c r="AF13" s="80">
        <v>0</v>
      </c>
      <c r="AG13" s="80">
        <f>+AE13-AF13</f>
        <v>16500000</v>
      </c>
      <c r="AH13" s="81"/>
      <c r="AI13" s="72"/>
      <c r="AJ13" s="72"/>
      <c r="AK13" s="79">
        <f>+IFERROR(AL13/$I13,"-")</f>
        <v>0</v>
      </c>
      <c r="AL13" s="80">
        <f>+$I13*지급비율!AB22</f>
        <v>0</v>
      </c>
      <c r="AM13" s="80">
        <v>0</v>
      </c>
      <c r="AN13" s="80">
        <f>+AL13-AM13</f>
        <v>0</v>
      </c>
      <c r="AO13" s="81"/>
      <c r="AP13" s="72"/>
      <c r="AQ13" s="72"/>
      <c r="AR13" s="79"/>
      <c r="AS13" s="80">
        <f>+$I13*지급비율!AI22</f>
        <v>0</v>
      </c>
      <c r="AT13" s="80"/>
      <c r="AU13" s="80"/>
      <c r="AV13" s="81"/>
      <c r="AW13" s="72"/>
      <c r="AX13" s="72"/>
      <c r="AY13" s="79"/>
      <c r="AZ13" s="80">
        <f>+$I13*지급비율!AP22</f>
        <v>0</v>
      </c>
      <c r="BA13" s="80"/>
      <c r="BB13" s="80">
        <f>+AZ13-BA13</f>
        <v>0</v>
      </c>
      <c r="BC13" s="81"/>
      <c r="BD13" s="72"/>
      <c r="BE13" s="72"/>
      <c r="BF13" s="79"/>
      <c r="BG13" s="80">
        <f>+$I13*지급비율!AW22</f>
        <v>0</v>
      </c>
      <c r="BH13" s="80"/>
      <c r="BI13" s="80">
        <f>+BG13-BH13</f>
        <v>0</v>
      </c>
      <c r="BJ13" s="81"/>
      <c r="BK13" s="78">
        <v>46173</v>
      </c>
      <c r="BL13" s="72"/>
      <c r="BM13" s="79">
        <f>+IFERROR(BN13/$I13,"-")</f>
        <v>0.1</v>
      </c>
      <c r="BN13" s="80">
        <f>+$I13*지급비율!BD22</f>
        <v>3300000</v>
      </c>
      <c r="BO13" s="80">
        <v>0</v>
      </c>
      <c r="BP13" s="80">
        <f>+BN13-BO13</f>
        <v>3300000</v>
      </c>
      <c r="BQ13" s="81"/>
      <c r="BR13" s="73"/>
      <c r="BS13" s="74" t="b">
        <f>+Q13+X13+AE13+AS13+AZ13+BG13+BN13=I13</f>
        <v>1</v>
      </c>
      <c r="BT13" s="74" t="b">
        <f>+R13+Y13+AF13+AT13+BA13+BH13+BO13=K13</f>
        <v>1</v>
      </c>
      <c r="BU13" s="74"/>
      <c r="BV13" s="58"/>
      <c r="BW13" s="58"/>
      <c r="BX13" s="58"/>
      <c r="BY13" s="58"/>
      <c r="BZ13" s="58"/>
      <c r="CA13" s="58"/>
      <c r="CB13" s="58"/>
      <c r="CC13" s="58"/>
      <c r="CD13" s="58"/>
      <c r="CE13" s="58"/>
    </row>
    <row r="14" spans="1:83" ht="16.5" customHeight="1">
      <c r="A14" s="107"/>
      <c r="B14" s="1322"/>
      <c r="C14" s="1579"/>
      <c r="D14" s="1329"/>
      <c r="E14" s="1324"/>
      <c r="F14" s="101" t="s">
        <v>391</v>
      </c>
      <c r="G14" s="102">
        <f>+지급비율!F23*$D$11/1000</f>
        <v>30000000</v>
      </c>
      <c r="H14" s="102">
        <f>+G14*0.1</f>
        <v>3000000</v>
      </c>
      <c r="I14" s="102">
        <f>SUM(G14:H14)</f>
        <v>33000000</v>
      </c>
      <c r="J14" s="101">
        <f>+IFERROR(K14/I14,"-")</f>
        <v>0</v>
      </c>
      <c r="K14" s="106">
        <f>+IFERROR(R14+Y14+AF14+AM14+BA14+BH14,"-")</f>
        <v>0</v>
      </c>
      <c r="L14" s="106">
        <f>+I14-K14</f>
        <v>33000000</v>
      </c>
      <c r="M14" s="418"/>
      <c r="N14" s="85"/>
      <c r="O14" s="101"/>
      <c r="P14" s="105"/>
      <c r="Q14" s="106">
        <f>+$I14*지급비율!G23</f>
        <v>0</v>
      </c>
      <c r="R14" s="106"/>
      <c r="S14" s="106">
        <f t="shared" si="0"/>
        <v>0</v>
      </c>
      <c r="T14" s="101"/>
      <c r="U14" s="85"/>
      <c r="V14" s="101"/>
      <c r="W14" s="105"/>
      <c r="X14" s="106">
        <f>+$I14*지급비율!N23</f>
        <v>0</v>
      </c>
      <c r="Y14" s="106"/>
      <c r="Z14" s="106">
        <f>+X14-Y14</f>
        <v>0</v>
      </c>
      <c r="AA14" s="101"/>
      <c r="AB14" s="85"/>
      <c r="AC14" s="101"/>
      <c r="AD14" s="105"/>
      <c r="AE14" s="106">
        <f>+$I14*지급비율!U23</f>
        <v>0</v>
      </c>
      <c r="AF14" s="106"/>
      <c r="AG14" s="106">
        <f>+AE14-AF14</f>
        <v>0</v>
      </c>
      <c r="AH14" s="101"/>
      <c r="AI14" s="85"/>
      <c r="AJ14" s="101"/>
      <c r="AK14" s="105">
        <f>+IFERROR(AL14/$I14,"-")</f>
        <v>0</v>
      </c>
      <c r="AL14" s="106">
        <f>+$I14*지급비율!AB23</f>
        <v>0</v>
      </c>
      <c r="AM14" s="106">
        <v>0</v>
      </c>
      <c r="AN14" s="106">
        <f>+AL14-AM14</f>
        <v>0</v>
      </c>
      <c r="AO14" s="101"/>
      <c r="AP14" s="85"/>
      <c r="AQ14" s="101"/>
      <c r="AR14" s="105"/>
      <c r="AS14" s="106">
        <f>+$I14*지급비율!AI23</f>
        <v>0</v>
      </c>
      <c r="AT14" s="106"/>
      <c r="AU14" s="106"/>
      <c r="AV14" s="101"/>
      <c r="AW14" s="85"/>
      <c r="AX14" s="101"/>
      <c r="AY14" s="105"/>
      <c r="AZ14" s="106">
        <f>+$I14*지급비율!AP23</f>
        <v>0</v>
      </c>
      <c r="BA14" s="106"/>
      <c r="BB14" s="106">
        <f>+AZ14-BA14</f>
        <v>0</v>
      </c>
      <c r="BC14" s="101"/>
      <c r="BD14" s="85"/>
      <c r="BE14" s="101"/>
      <c r="BF14" s="105"/>
      <c r="BG14" s="106">
        <f>+$I14*지급비율!AW23</f>
        <v>0</v>
      </c>
      <c r="BH14" s="106"/>
      <c r="BI14" s="106">
        <f>+BG14-BH14</f>
        <v>0</v>
      </c>
      <c r="BJ14" s="101"/>
      <c r="BK14" s="78">
        <v>46173</v>
      </c>
      <c r="BL14" s="101"/>
      <c r="BM14" s="105">
        <f>+IFERROR(BN14/$I14,"-")</f>
        <v>1</v>
      </c>
      <c r="BN14" s="106">
        <f>+$I14*지급비율!BD23</f>
        <v>33000000</v>
      </c>
      <c r="BO14" s="106">
        <v>0</v>
      </c>
      <c r="BP14" s="106">
        <f>+BN14-BO14</f>
        <v>33000000</v>
      </c>
      <c r="BQ14" s="101"/>
      <c r="BR14" s="88"/>
      <c r="BS14" s="89" t="b">
        <f>+Q14+X14+AE14+AS14+AZ14+BG14+BN14=I14</f>
        <v>1</v>
      </c>
      <c r="BT14" s="90" t="b">
        <f>+R14+Y14+AF14+AT14+BA14+BH14+BO14=K14</f>
        <v>1</v>
      </c>
      <c r="BU14" s="89"/>
      <c r="BV14" s="58"/>
      <c r="BW14" s="58"/>
      <c r="BX14" s="58"/>
      <c r="BY14" s="58"/>
      <c r="BZ14" s="58"/>
      <c r="CA14" s="58"/>
      <c r="CB14" s="58"/>
      <c r="CC14" s="58"/>
      <c r="CD14" s="58"/>
      <c r="CE14" s="58"/>
    </row>
    <row r="15" spans="1:83" ht="16.5" customHeight="1">
      <c r="A15" s="62"/>
      <c r="B15" s="1322"/>
      <c r="C15" s="1579"/>
      <c r="D15" s="1329"/>
      <c r="E15" s="1324"/>
      <c r="F15" s="91" t="s">
        <v>392</v>
      </c>
      <c r="G15" s="92">
        <f>SUM(G11:G14)</f>
        <v>270000000</v>
      </c>
      <c r="H15" s="92">
        <f>SUM(H11:H14)</f>
        <v>27000000</v>
      </c>
      <c r="I15" s="92">
        <f>SUM(I11:I14)</f>
        <v>297000000</v>
      </c>
      <c r="J15" s="91">
        <f>+IFERROR(K15/I15,"-")</f>
        <v>5.5555555555555552E-2</v>
      </c>
      <c r="K15" s="92">
        <f>SUM(K11:K14)</f>
        <v>16500000</v>
      </c>
      <c r="L15" s="92">
        <f>SUM(L11:L14)</f>
        <v>280500000</v>
      </c>
      <c r="M15" s="419"/>
      <c r="N15" s="93"/>
      <c r="O15" s="91"/>
      <c r="P15" s="94">
        <f>+IFERROR(Q15/$I15,"-")</f>
        <v>5.5555555555555552E-2</v>
      </c>
      <c r="Q15" s="92">
        <f>SUM(Q11:Q14)</f>
        <v>16500000</v>
      </c>
      <c r="R15" s="170">
        <f>SUM(R11:R14)</f>
        <v>16500000</v>
      </c>
      <c r="S15" s="92">
        <f t="shared" si="0"/>
        <v>0</v>
      </c>
      <c r="T15" s="91"/>
      <c r="U15" s="93"/>
      <c r="V15" s="91"/>
      <c r="W15" s="94">
        <f>+IFERROR(X15/$I15,"-")</f>
        <v>5.5555555555555552E-2</v>
      </c>
      <c r="X15" s="92">
        <f>SUM(X11:X14)</f>
        <v>16500000</v>
      </c>
      <c r="Y15" s="92">
        <f>SUM(Y11:Y14)</f>
        <v>0</v>
      </c>
      <c r="Z15" s="92">
        <f>+X15-Y15</f>
        <v>16500000</v>
      </c>
      <c r="AA15" s="91"/>
      <c r="AB15" s="93"/>
      <c r="AC15" s="91"/>
      <c r="AD15" s="94">
        <f>+IFERROR(AE15/$I15,"-")</f>
        <v>0.44444444444444442</v>
      </c>
      <c r="AE15" s="92">
        <f>SUM(AE11:AE14)</f>
        <v>132000000</v>
      </c>
      <c r="AF15" s="92">
        <f>SUM(AF11:AF14)</f>
        <v>0</v>
      </c>
      <c r="AG15" s="92">
        <f>+AE15-AF15</f>
        <v>132000000</v>
      </c>
      <c r="AH15" s="91"/>
      <c r="AI15" s="93"/>
      <c r="AJ15" s="91"/>
      <c r="AK15" s="94">
        <f>+IFERROR(AL15/$I15,"-")</f>
        <v>0</v>
      </c>
      <c r="AL15" s="92">
        <f>SUM(AL11:AL14)</f>
        <v>0</v>
      </c>
      <c r="AM15" s="92">
        <f>SUM(AM11:AM14)</f>
        <v>0</v>
      </c>
      <c r="AN15" s="92">
        <f>+AL15-AM15</f>
        <v>0</v>
      </c>
      <c r="AO15" s="91"/>
      <c r="AP15" s="93"/>
      <c r="AQ15" s="91"/>
      <c r="AR15" s="94">
        <f>+IFERROR(AS15/$I15,"-")</f>
        <v>0</v>
      </c>
      <c r="AS15" s="92">
        <f>SUM(AS11:AS14)</f>
        <v>0</v>
      </c>
      <c r="AT15" s="92">
        <f>SUM(AT11:AT14)</f>
        <v>0</v>
      </c>
      <c r="AU15" s="92">
        <f>+AS15-AT15</f>
        <v>0</v>
      </c>
      <c r="AV15" s="91"/>
      <c r="AW15" s="93"/>
      <c r="AX15" s="91"/>
      <c r="AY15" s="94">
        <f>+IFERROR(AZ15/$I15,"-")</f>
        <v>0</v>
      </c>
      <c r="AZ15" s="92">
        <f>SUM(AZ11:AZ14)</f>
        <v>0</v>
      </c>
      <c r="BA15" s="92">
        <f>SUM(BA11:BA14)</f>
        <v>0</v>
      </c>
      <c r="BB15" s="92">
        <f>+AZ15-BA15</f>
        <v>0</v>
      </c>
      <c r="BC15" s="91"/>
      <c r="BD15" s="93"/>
      <c r="BE15" s="91"/>
      <c r="BF15" s="94">
        <f>+IFERROR(BG15/$I15,"-")</f>
        <v>0.24444444444444444</v>
      </c>
      <c r="BG15" s="92">
        <f>SUM(BG11:BG14)</f>
        <v>72600000</v>
      </c>
      <c r="BH15" s="92">
        <f>SUM(BH11:BH14)</f>
        <v>0</v>
      </c>
      <c r="BI15" s="92">
        <f>+BG15-BH15</f>
        <v>72600000</v>
      </c>
      <c r="BJ15" s="91"/>
      <c r="BK15" s="93"/>
      <c r="BL15" s="91"/>
      <c r="BM15" s="94">
        <f>+IFERROR(BN15/$I15,"-")</f>
        <v>0.2</v>
      </c>
      <c r="BN15" s="92">
        <f>SUM(BN11:BN14)</f>
        <v>59400000</v>
      </c>
      <c r="BO15" s="92">
        <f>SUM(BO11:BO14)</f>
        <v>0</v>
      </c>
      <c r="BP15" s="92">
        <f>+BN15-BO15</f>
        <v>59400000</v>
      </c>
      <c r="BQ15" s="91"/>
      <c r="BR15" s="88"/>
      <c r="BS15" s="96"/>
      <c r="BT15" s="96"/>
      <c r="BU15" s="139"/>
      <c r="BV15" s="54"/>
      <c r="BW15" s="54"/>
      <c r="BX15" s="54"/>
      <c r="BY15" s="54"/>
      <c r="BZ15" s="54"/>
      <c r="CA15" s="54"/>
      <c r="CB15" s="54"/>
      <c r="CC15" s="54"/>
      <c r="CD15" s="58"/>
      <c r="CE15" s="58"/>
    </row>
    <row r="16" spans="1:83" ht="16.5" customHeight="1">
      <c r="A16" s="107"/>
      <c r="B16" s="1322">
        <f>+B11+1</f>
        <v>2</v>
      </c>
      <c r="C16" s="1579" t="s">
        <v>921</v>
      </c>
      <c r="D16" s="1329">
        <f>+'[5]ref.지급기준 (2)'!D169</f>
        <v>144.15</v>
      </c>
      <c r="E16" s="1324" t="s">
        <v>888</v>
      </c>
      <c r="F16" s="63" t="s">
        <v>388</v>
      </c>
      <c r="G16" s="64">
        <f>+지급비율!F20*$D$16/1000</f>
        <v>158565000</v>
      </c>
      <c r="H16" s="64">
        <f>+G16*10%</f>
        <v>15856500</v>
      </c>
      <c r="I16" s="64">
        <f>SUM(G16:H16)</f>
        <v>174421500</v>
      </c>
      <c r="J16" s="63">
        <f>+IFERROR(K16/'Bolt Taeyanggwang 5HO'!I16,"-")</f>
        <v>0</v>
      </c>
      <c r="K16" s="134">
        <f>+IFERROR(R16+Y16+AF16+AM16+BA16+BH16,"-")</f>
        <v>0</v>
      </c>
      <c r="L16" s="134">
        <f>+'Bolt Taeyanggwang 5HO'!I16-K16</f>
        <v>174421500</v>
      </c>
      <c r="M16" s="416"/>
      <c r="N16" s="67"/>
      <c r="O16" s="67"/>
      <c r="P16" s="135"/>
      <c r="Q16" s="134">
        <f>+$I16*지급비율!G20</f>
        <v>0</v>
      </c>
      <c r="R16" s="134"/>
      <c r="S16" s="134">
        <f t="shared" si="0"/>
        <v>0</v>
      </c>
      <c r="T16" s="145"/>
      <c r="U16" s="67"/>
      <c r="V16" s="67"/>
      <c r="W16" s="135"/>
      <c r="X16" s="134"/>
      <c r="Y16" s="134"/>
      <c r="Z16" s="134"/>
      <c r="AA16" s="145"/>
      <c r="AB16" s="67"/>
      <c r="AC16" s="67"/>
      <c r="AD16" s="135"/>
      <c r="AE16" s="134"/>
      <c r="AF16" s="134"/>
      <c r="AG16" s="134"/>
      <c r="AH16" s="145"/>
      <c r="AI16" s="67"/>
      <c r="AJ16" s="67"/>
      <c r="AK16" s="135"/>
      <c r="AL16" s="134"/>
      <c r="AM16" s="134"/>
      <c r="AN16" s="134"/>
      <c r="AO16" s="145"/>
      <c r="AP16" s="67"/>
      <c r="AQ16" s="67"/>
      <c r="AR16" s="135"/>
      <c r="AS16" s="134"/>
      <c r="AT16" s="134"/>
      <c r="AU16" s="134"/>
      <c r="AV16" s="145"/>
      <c r="AW16" s="67"/>
      <c r="AX16" s="67"/>
      <c r="AY16" s="135"/>
      <c r="AZ16" s="134"/>
      <c r="BA16" s="134"/>
      <c r="BB16" s="134"/>
      <c r="BC16" s="145"/>
      <c r="BD16" s="67"/>
      <c r="BE16" s="67"/>
      <c r="BF16" s="135"/>
      <c r="BG16" s="134"/>
      <c r="BH16" s="134"/>
      <c r="BI16" s="134"/>
      <c r="BJ16" s="145"/>
      <c r="BK16" s="67"/>
      <c r="BL16" s="67"/>
      <c r="BM16" s="135"/>
      <c r="BN16" s="134"/>
      <c r="BO16" s="134"/>
      <c r="BP16" s="134"/>
      <c r="BQ16" s="145"/>
      <c r="BR16" s="73"/>
      <c r="BS16" s="74" t="b">
        <f>+Q16+X16+AE16+AS16+AZ16+BG16+BN16=I16</f>
        <v>0</v>
      </c>
      <c r="BT16" s="74" t="b">
        <f>+R16+Y16+AF16+AT16+BA16+BH16+BO16=K16</f>
        <v>1</v>
      </c>
      <c r="BU16" s="74"/>
      <c r="BV16" s="58"/>
      <c r="BW16" s="58"/>
      <c r="BX16" s="58"/>
      <c r="BY16" s="58"/>
      <c r="BZ16" s="58"/>
      <c r="CA16" s="58"/>
      <c r="CB16" s="58"/>
      <c r="CC16" s="58"/>
      <c r="CD16" s="58"/>
      <c r="CE16" s="58"/>
    </row>
    <row r="17" spans="1:83" ht="16.5" customHeight="1">
      <c r="A17" s="107"/>
      <c r="B17" s="1322"/>
      <c r="C17" s="1579"/>
      <c r="D17" s="1329"/>
      <c r="E17" s="1324"/>
      <c r="F17" s="75" t="s">
        <v>389</v>
      </c>
      <c r="G17" s="76">
        <f>+지급비율!F21*$D$16/1000</f>
        <v>43245000</v>
      </c>
      <c r="H17" s="76">
        <f>+G17*10%</f>
        <v>4324500</v>
      </c>
      <c r="I17" s="76">
        <f>SUM(G17:H17)</f>
        <v>47569500</v>
      </c>
      <c r="J17" s="75">
        <f>+IFERROR(K17/'Bolt Taeyanggwang 5HO'!I17,"-")</f>
        <v>0.2</v>
      </c>
      <c r="K17" s="80">
        <f>+IFERROR(R17+Y17+AF17+AM17+BA17+BH17,"-")</f>
        <v>9513900</v>
      </c>
      <c r="L17" s="80">
        <f>+'Bolt Taeyanggwang 5HO'!I17-K17</f>
        <v>38055600</v>
      </c>
      <c r="M17" s="417"/>
      <c r="N17" s="78">
        <f>+O17</f>
        <v>45631</v>
      </c>
      <c r="O17" s="78">
        <v>45631</v>
      </c>
      <c r="P17" s="79">
        <f>+IFERROR(Q17/'Bolt Taeyanggwang 5HO'!$I17,"-")</f>
        <v>0.2</v>
      </c>
      <c r="Q17" s="80">
        <f>+$I17*지급비율!G21</f>
        <v>9513900</v>
      </c>
      <c r="R17" s="80">
        <v>9513900</v>
      </c>
      <c r="S17" s="80">
        <f t="shared" si="0"/>
        <v>0</v>
      </c>
      <c r="T17" s="81"/>
      <c r="U17" s="78"/>
      <c r="V17" s="78"/>
      <c r="W17" s="79"/>
      <c r="X17" s="80"/>
      <c r="Y17" s="80"/>
      <c r="Z17" s="80"/>
      <c r="AA17" s="81"/>
      <c r="AB17" s="78"/>
      <c r="AC17" s="78"/>
      <c r="AD17" s="79"/>
      <c r="AE17" s="80"/>
      <c r="AF17" s="80"/>
      <c r="AG17" s="80"/>
      <c r="AH17" s="81"/>
      <c r="AI17" s="78"/>
      <c r="AJ17" s="78"/>
      <c r="AK17" s="79"/>
      <c r="AL17" s="80"/>
      <c r="AM17" s="80"/>
      <c r="AN17" s="80"/>
      <c r="AO17" s="81"/>
      <c r="AP17" s="78"/>
      <c r="AQ17" s="78"/>
      <c r="AR17" s="79"/>
      <c r="AS17" s="80"/>
      <c r="AT17" s="80"/>
      <c r="AU17" s="80"/>
      <c r="AV17" s="81"/>
      <c r="AW17" s="78"/>
      <c r="AX17" s="78"/>
      <c r="AY17" s="79"/>
      <c r="AZ17" s="80"/>
      <c r="BA17" s="80"/>
      <c r="BB17" s="80"/>
      <c r="BC17" s="81"/>
      <c r="BD17" s="78"/>
      <c r="BE17" s="78"/>
      <c r="BF17" s="79"/>
      <c r="BG17" s="80"/>
      <c r="BH17" s="80"/>
      <c r="BI17" s="80"/>
      <c r="BJ17" s="81"/>
      <c r="BK17" s="78"/>
      <c r="BL17" s="78"/>
      <c r="BM17" s="79"/>
      <c r="BN17" s="80"/>
      <c r="BO17" s="80"/>
      <c r="BP17" s="80"/>
      <c r="BQ17" s="81"/>
      <c r="BR17" s="73"/>
      <c r="BS17" s="74" t="b">
        <f>+Q17+X17+AE17+AS17+AZ17+BG17+BN17=I17</f>
        <v>0</v>
      </c>
      <c r="BT17" s="74" t="b">
        <f>+R17+Y17+AF17+AT17+BA17+BH17+BO17=K17</f>
        <v>1</v>
      </c>
      <c r="BU17" s="74" t="b">
        <f>+BG17+BG18+AZ17+AZ18+AS17+AS18+AE17+AE18+X17+X18+Q17+Q18+BN17+BN18=([5]지급비율!$F$21+[5]지급비율!$F$22)*1.1*D16/1000</f>
        <v>0</v>
      </c>
      <c r="BV17" s="58"/>
      <c r="BW17" s="58"/>
      <c r="BX17" s="58"/>
      <c r="BY17" s="58"/>
      <c r="BZ17" s="58"/>
      <c r="CA17" s="58"/>
      <c r="CB17" s="58"/>
      <c r="CC17" s="58"/>
      <c r="CD17" s="58"/>
      <c r="CE17" s="58"/>
    </row>
    <row r="18" spans="1:83" ht="16.5" customHeight="1">
      <c r="A18" s="107"/>
      <c r="B18" s="1322"/>
      <c r="C18" s="1579"/>
      <c r="D18" s="1329"/>
      <c r="E18" s="1324"/>
      <c r="F18" s="75" t="s">
        <v>390</v>
      </c>
      <c r="G18" s="76">
        <f>+지급비율!F22*$D$16/1000</f>
        <v>28830000</v>
      </c>
      <c r="H18" s="76">
        <f>+G18*10%</f>
        <v>2883000</v>
      </c>
      <c r="I18" s="76">
        <f>SUM(G18:H18)</f>
        <v>31713000</v>
      </c>
      <c r="J18" s="75">
        <f>+IFERROR(K18/'Bolt Taeyanggwang 5HO'!I18,"-")</f>
        <v>0.2</v>
      </c>
      <c r="K18" s="80">
        <f>+IFERROR(R18+Y18+AF18+AM18+BA18+BH18,"-")</f>
        <v>6342600</v>
      </c>
      <c r="L18" s="80">
        <f>+'Bolt Taeyanggwang 5HO'!I18-K18</f>
        <v>25370400</v>
      </c>
      <c r="M18" s="417"/>
      <c r="N18" s="78">
        <f>+O18</f>
        <v>45631</v>
      </c>
      <c r="O18" s="72">
        <v>45631</v>
      </c>
      <c r="P18" s="79">
        <f>+IFERROR(Q18/'Bolt Taeyanggwang 5HO'!$I18,"-")</f>
        <v>0.2</v>
      </c>
      <c r="Q18" s="80">
        <f>+$I18*지급비율!G22</f>
        <v>6342600</v>
      </c>
      <c r="R18" s="80">
        <v>6342600</v>
      </c>
      <c r="S18" s="80">
        <f t="shared" si="0"/>
        <v>0</v>
      </c>
      <c r="T18" s="81"/>
      <c r="U18" s="78"/>
      <c r="V18" s="78"/>
      <c r="W18" s="79"/>
      <c r="X18" s="80"/>
      <c r="Y18" s="80"/>
      <c r="Z18" s="80"/>
      <c r="AA18" s="81"/>
      <c r="AB18" s="78"/>
      <c r="AC18" s="72"/>
      <c r="AD18" s="79"/>
      <c r="AE18" s="80"/>
      <c r="AF18" s="80"/>
      <c r="AG18" s="80"/>
      <c r="AH18" s="81"/>
      <c r="AI18" s="72"/>
      <c r="AJ18" s="72"/>
      <c r="AK18" s="79"/>
      <c r="AL18" s="80"/>
      <c r="AM18" s="80"/>
      <c r="AN18" s="80"/>
      <c r="AO18" s="81"/>
      <c r="AP18" s="72"/>
      <c r="AQ18" s="72"/>
      <c r="AR18" s="79"/>
      <c r="AS18" s="80"/>
      <c r="AT18" s="80"/>
      <c r="AU18" s="80"/>
      <c r="AV18" s="81"/>
      <c r="AW18" s="72"/>
      <c r="AX18" s="72"/>
      <c r="AY18" s="79"/>
      <c r="AZ18" s="80"/>
      <c r="BA18" s="80"/>
      <c r="BB18" s="80"/>
      <c r="BC18" s="81"/>
      <c r="BD18" s="72"/>
      <c r="BE18" s="72"/>
      <c r="BF18" s="79"/>
      <c r="BG18" s="80"/>
      <c r="BH18" s="80"/>
      <c r="BI18" s="80"/>
      <c r="BJ18" s="81"/>
      <c r="BK18" s="78"/>
      <c r="BL18" s="72"/>
      <c r="BM18" s="79"/>
      <c r="BN18" s="80"/>
      <c r="BO18" s="80"/>
      <c r="BP18" s="80"/>
      <c r="BQ18" s="81"/>
      <c r="BR18" s="73"/>
      <c r="BS18" s="74" t="b">
        <f>+Q18+X18+AE18+AS18+AZ18+BG18+BN18=I18</f>
        <v>0</v>
      </c>
      <c r="BT18" s="74" t="b">
        <f>+R18+Y18+AF18+AT18+BA18+BH18+BO18=K18</f>
        <v>1</v>
      </c>
      <c r="BU18" s="74"/>
      <c r="BV18" s="58"/>
      <c r="BW18" s="58"/>
      <c r="BX18" s="58"/>
      <c r="BY18" s="58"/>
      <c r="BZ18" s="58"/>
      <c r="CA18" s="58"/>
      <c r="CB18" s="58"/>
      <c r="CC18" s="58"/>
      <c r="CD18" s="58"/>
      <c r="CE18" s="58"/>
    </row>
    <row r="19" spans="1:83" ht="16.5" customHeight="1">
      <c r="A19" s="107"/>
      <c r="B19" s="1322"/>
      <c r="C19" s="1579"/>
      <c r="D19" s="1329"/>
      <c r="E19" s="1324"/>
      <c r="F19" s="101" t="s">
        <v>391</v>
      </c>
      <c r="G19" s="102">
        <f>+지급비율!F23*$D$16/1000</f>
        <v>28830000</v>
      </c>
      <c r="H19" s="102">
        <f>+G19*0.1</f>
        <v>2883000</v>
      </c>
      <c r="I19" s="102">
        <f>SUM(G19:H19)</f>
        <v>31713000</v>
      </c>
      <c r="J19" s="101">
        <f>+IFERROR(K19/'Bolt Taeyanggwang 5HO'!I19,"-")</f>
        <v>0</v>
      </c>
      <c r="K19" s="106">
        <f>+IFERROR(R19+Y19+AF19+AM19+BA19+BH19,"-")</f>
        <v>0</v>
      </c>
      <c r="L19" s="106">
        <f>+'Bolt Taeyanggwang 5HO'!I19-K19</f>
        <v>31713000</v>
      </c>
      <c r="M19" s="418"/>
      <c r="N19" s="85"/>
      <c r="O19" s="101"/>
      <c r="P19" s="105"/>
      <c r="Q19" s="106">
        <f>+$I19*지급비율!G23</f>
        <v>0</v>
      </c>
      <c r="R19" s="106"/>
      <c r="S19" s="106">
        <f t="shared" si="0"/>
        <v>0</v>
      </c>
      <c r="T19" s="101"/>
      <c r="U19" s="85"/>
      <c r="V19" s="101"/>
      <c r="W19" s="105"/>
      <c r="X19" s="106"/>
      <c r="Y19" s="106"/>
      <c r="Z19" s="106"/>
      <c r="AA19" s="101"/>
      <c r="AB19" s="85"/>
      <c r="AC19" s="101"/>
      <c r="AD19" s="105"/>
      <c r="AE19" s="106"/>
      <c r="AF19" s="106"/>
      <c r="AG19" s="106"/>
      <c r="AH19" s="101"/>
      <c r="AI19" s="85"/>
      <c r="AJ19" s="101"/>
      <c r="AK19" s="105"/>
      <c r="AL19" s="106"/>
      <c r="AM19" s="106"/>
      <c r="AN19" s="106"/>
      <c r="AO19" s="101"/>
      <c r="AP19" s="85"/>
      <c r="AQ19" s="101"/>
      <c r="AR19" s="105"/>
      <c r="AS19" s="106"/>
      <c r="AT19" s="106"/>
      <c r="AU19" s="106"/>
      <c r="AV19" s="101"/>
      <c r="AW19" s="85"/>
      <c r="AX19" s="101"/>
      <c r="AY19" s="105"/>
      <c r="AZ19" s="106"/>
      <c r="BA19" s="106"/>
      <c r="BB19" s="106"/>
      <c r="BC19" s="101"/>
      <c r="BD19" s="85"/>
      <c r="BE19" s="101"/>
      <c r="BF19" s="105"/>
      <c r="BG19" s="106"/>
      <c r="BH19" s="106"/>
      <c r="BI19" s="106"/>
      <c r="BJ19" s="101"/>
      <c r="BK19" s="78"/>
      <c r="BL19" s="101"/>
      <c r="BM19" s="105"/>
      <c r="BN19" s="106"/>
      <c r="BO19" s="106"/>
      <c r="BP19" s="106"/>
      <c r="BQ19" s="101"/>
      <c r="BR19" s="88"/>
      <c r="BS19" s="89" t="b">
        <f>+Q19+X19+AE19+AS19+AZ19+BG19+BN19=I19</f>
        <v>0</v>
      </c>
      <c r="BT19" s="90" t="b">
        <f>+R19+Y19+AF19+AT19+BA19+BH19+BO19=K19</f>
        <v>1</v>
      </c>
      <c r="BU19" s="89"/>
      <c r="BV19" s="58"/>
      <c r="BW19" s="58"/>
      <c r="BX19" s="58"/>
      <c r="BY19" s="58"/>
      <c r="BZ19" s="58"/>
      <c r="CA19" s="58"/>
      <c r="CB19" s="58"/>
      <c r="CC19" s="58"/>
      <c r="CD19" s="58"/>
      <c r="CE19" s="58"/>
    </row>
    <row r="20" spans="1:83" ht="16.5" customHeight="1">
      <c r="A20" s="62"/>
      <c r="B20" s="1322"/>
      <c r="C20" s="1579"/>
      <c r="D20" s="1329"/>
      <c r="E20" s="1324"/>
      <c r="F20" s="91" t="s">
        <v>392</v>
      </c>
      <c r="G20" s="92">
        <f>SUM(G16:G19)</f>
        <v>259470000</v>
      </c>
      <c r="H20" s="92">
        <f>SUM(H16:H19)</f>
        <v>25947000</v>
      </c>
      <c r="I20" s="92">
        <f>SUM(I16:I19)</f>
        <v>285417000</v>
      </c>
      <c r="J20" s="91">
        <f>+IFERROR(K20/'Bolt Taeyanggwang 5HO'!I20,"-")</f>
        <v>5.5555555555555552E-2</v>
      </c>
      <c r="K20" s="92">
        <f>SUM(K16:K19)</f>
        <v>15856500</v>
      </c>
      <c r="L20" s="92">
        <f>SUM(L16:L19)</f>
        <v>269560500</v>
      </c>
      <c r="M20" s="419"/>
      <c r="N20" s="93"/>
      <c r="O20" s="91"/>
      <c r="P20" s="94">
        <f>+IFERROR(Q20/'Bolt Taeyanggwang 5HO'!$I20,"-")</f>
        <v>5.5555555555555552E-2</v>
      </c>
      <c r="Q20" s="92">
        <f>SUM(Q16:Q19)</f>
        <v>15856500</v>
      </c>
      <c r="R20" s="170">
        <f>SUM(R16:R19)</f>
        <v>15856500</v>
      </c>
      <c r="S20" s="92">
        <f t="shared" si="0"/>
        <v>0</v>
      </c>
      <c r="T20" s="91"/>
      <c r="U20" s="93"/>
      <c r="V20" s="91"/>
      <c r="W20" s="94"/>
      <c r="X20" s="92"/>
      <c r="Y20" s="92"/>
      <c r="Z20" s="92"/>
      <c r="AA20" s="91"/>
      <c r="AB20" s="93"/>
      <c r="AC20" s="91"/>
      <c r="AD20" s="94"/>
      <c r="AE20" s="92"/>
      <c r="AF20" s="92"/>
      <c r="AG20" s="92"/>
      <c r="AH20" s="91"/>
      <c r="AI20" s="93"/>
      <c r="AJ20" s="91"/>
      <c r="AK20" s="94"/>
      <c r="AL20" s="92"/>
      <c r="AM20" s="92"/>
      <c r="AN20" s="92"/>
      <c r="AO20" s="91"/>
      <c r="AP20" s="93"/>
      <c r="AQ20" s="91"/>
      <c r="AR20" s="94"/>
      <c r="AS20" s="92"/>
      <c r="AT20" s="92"/>
      <c r="AU20" s="92"/>
      <c r="AV20" s="91"/>
      <c r="AW20" s="93"/>
      <c r="AX20" s="91"/>
      <c r="AY20" s="94"/>
      <c r="AZ20" s="92"/>
      <c r="BA20" s="92"/>
      <c r="BB20" s="92"/>
      <c r="BC20" s="91"/>
      <c r="BD20" s="93"/>
      <c r="BE20" s="91"/>
      <c r="BF20" s="94"/>
      <c r="BG20" s="92"/>
      <c r="BH20" s="92"/>
      <c r="BI20" s="92"/>
      <c r="BJ20" s="91"/>
      <c r="BK20" s="93"/>
      <c r="BL20" s="91"/>
      <c r="BM20" s="94"/>
      <c r="BN20" s="92"/>
      <c r="BO20" s="92"/>
      <c r="BP20" s="92"/>
      <c r="BQ20" s="91"/>
      <c r="BR20" s="88"/>
      <c r="BS20" s="96"/>
      <c r="BT20" s="96"/>
      <c r="BU20" s="139"/>
      <c r="BV20" s="54"/>
      <c r="BW20" s="54"/>
      <c r="BX20" s="54"/>
      <c r="BY20" s="54"/>
      <c r="BZ20" s="54"/>
      <c r="CA20" s="54"/>
      <c r="CB20" s="54"/>
      <c r="CC20" s="54"/>
      <c r="CD20" s="58"/>
      <c r="CE20" s="58"/>
    </row>
    <row r="21" spans="1:83" ht="16.5" customHeight="1">
      <c r="A21" s="107"/>
      <c r="B21" s="1322">
        <f>+B16+1</f>
        <v>3</v>
      </c>
      <c r="C21" s="1579" t="s">
        <v>922</v>
      </c>
      <c r="D21" s="1329">
        <f>+'[5]ref.지급기준 (2)'!D174</f>
        <v>138.43</v>
      </c>
      <c r="E21" s="1324" t="s">
        <v>888</v>
      </c>
      <c r="F21" s="63" t="s">
        <v>388</v>
      </c>
      <c r="G21" s="64">
        <f>+지급비율!F20*$D$21/1000</f>
        <v>152273000</v>
      </c>
      <c r="H21" s="64">
        <f>+G21*10%</f>
        <v>15227300</v>
      </c>
      <c r="I21" s="64">
        <f>SUM(G21:H21)</f>
        <v>167500300</v>
      </c>
      <c r="J21" s="63">
        <f>+IFERROR(K21/'Bolt Taeyanggwang 5HO'!I21,"-")</f>
        <v>0</v>
      </c>
      <c r="K21" s="134">
        <f>+IFERROR(R21+Y21+AF21+AM21+BA21+BH21,"-")</f>
        <v>0</v>
      </c>
      <c r="L21" s="134">
        <f>+'Bolt Taeyanggwang 5HO'!I21-K21</f>
        <v>167500300</v>
      </c>
      <c r="M21" s="416"/>
      <c r="N21" s="67"/>
      <c r="O21" s="67"/>
      <c r="P21" s="135"/>
      <c r="Q21" s="134">
        <f>+$I21*지급비율!G20</f>
        <v>0</v>
      </c>
      <c r="R21" s="134"/>
      <c r="S21" s="134">
        <f t="shared" si="0"/>
        <v>0</v>
      </c>
      <c r="T21" s="145"/>
      <c r="U21" s="67"/>
      <c r="V21" s="67"/>
      <c r="W21" s="135"/>
      <c r="X21" s="134"/>
      <c r="Y21" s="134"/>
      <c r="Z21" s="134"/>
      <c r="AA21" s="145"/>
      <c r="AB21" s="67"/>
      <c r="AC21" s="67"/>
      <c r="AD21" s="135"/>
      <c r="AE21" s="134"/>
      <c r="AF21" s="134"/>
      <c r="AG21" s="134"/>
      <c r="AH21" s="145"/>
      <c r="AI21" s="67"/>
      <c r="AJ21" s="67"/>
      <c r="AK21" s="135"/>
      <c r="AL21" s="134"/>
      <c r="AM21" s="134"/>
      <c r="AN21" s="134"/>
      <c r="AO21" s="145"/>
      <c r="AP21" s="67"/>
      <c r="AQ21" s="67"/>
      <c r="AR21" s="135"/>
      <c r="AS21" s="134"/>
      <c r="AT21" s="134"/>
      <c r="AU21" s="134"/>
      <c r="AV21" s="145"/>
      <c r="AW21" s="67"/>
      <c r="AX21" s="67"/>
      <c r="AY21" s="135"/>
      <c r="AZ21" s="134"/>
      <c r="BA21" s="134"/>
      <c r="BB21" s="134"/>
      <c r="BC21" s="145"/>
      <c r="BD21" s="67"/>
      <c r="BE21" s="67"/>
      <c r="BF21" s="135"/>
      <c r="BG21" s="134"/>
      <c r="BH21" s="134"/>
      <c r="BI21" s="134"/>
      <c r="BJ21" s="145"/>
      <c r="BK21" s="67"/>
      <c r="BL21" s="67"/>
      <c r="BM21" s="135"/>
      <c r="BN21" s="134"/>
      <c r="BO21" s="134"/>
      <c r="BP21" s="134"/>
      <c r="BQ21" s="145"/>
      <c r="BR21" s="73"/>
      <c r="BS21" s="74" t="b">
        <f>+Q21+X21+AE21+AS21+AZ21+BG21+BN21=I21</f>
        <v>0</v>
      </c>
      <c r="BT21" s="74" t="b">
        <f>+R21+Y21+AF21+AT21+BA21+BH21+BO21=K21</f>
        <v>1</v>
      </c>
      <c r="BU21" s="74"/>
      <c r="BV21" s="58"/>
      <c r="BW21" s="58"/>
      <c r="BX21" s="58"/>
      <c r="BY21" s="58"/>
      <c r="BZ21" s="58"/>
      <c r="CA21" s="58"/>
      <c r="CB21" s="58"/>
      <c r="CC21" s="58"/>
      <c r="CD21" s="58"/>
      <c r="CE21" s="58"/>
    </row>
    <row r="22" spans="1:83" ht="16.5" customHeight="1">
      <c r="A22" s="107"/>
      <c r="B22" s="1322"/>
      <c r="C22" s="1579"/>
      <c r="D22" s="1329"/>
      <c r="E22" s="1324"/>
      <c r="F22" s="75" t="s">
        <v>389</v>
      </c>
      <c r="G22" s="76">
        <f>+지급비율!F21*$D$21/1000</f>
        <v>41529000</v>
      </c>
      <c r="H22" s="76">
        <f>+G22*10%</f>
        <v>4152900</v>
      </c>
      <c r="I22" s="76">
        <f>SUM(G22:H22)</f>
        <v>45681900</v>
      </c>
      <c r="J22" s="75">
        <f>+IFERROR(K22/'Bolt Taeyanggwang 5HO'!I22,"-")</f>
        <v>0.2</v>
      </c>
      <c r="K22" s="80">
        <f>+IFERROR(R22+Y22+AF22+AM22+BA22+BH22,"-")</f>
        <v>9136380</v>
      </c>
      <c r="L22" s="80">
        <f>+'Bolt Taeyanggwang 5HO'!I22-K22</f>
        <v>36545520</v>
      </c>
      <c r="M22" s="417"/>
      <c r="N22" s="78">
        <f>+O22</f>
        <v>45631</v>
      </c>
      <c r="O22" s="78">
        <v>45631</v>
      </c>
      <c r="P22" s="79">
        <f>+IFERROR(Q22/'Bolt Taeyanggwang 5HO'!$I22,"-")</f>
        <v>0.2</v>
      </c>
      <c r="Q22" s="80">
        <f>+$I22*지급비율!G21</f>
        <v>9136380</v>
      </c>
      <c r="R22" s="80">
        <v>9136380</v>
      </c>
      <c r="S22" s="80">
        <f t="shared" si="0"/>
        <v>0</v>
      </c>
      <c r="T22" s="81"/>
      <c r="U22" s="78"/>
      <c r="V22" s="78"/>
      <c r="W22" s="79"/>
      <c r="X22" s="80"/>
      <c r="Y22" s="80"/>
      <c r="Z22" s="80"/>
      <c r="AA22" s="81"/>
      <c r="AB22" s="78"/>
      <c r="AC22" s="78"/>
      <c r="AD22" s="79"/>
      <c r="AE22" s="80"/>
      <c r="AF22" s="80"/>
      <c r="AG22" s="80"/>
      <c r="AH22" s="81"/>
      <c r="AI22" s="78"/>
      <c r="AJ22" s="78"/>
      <c r="AK22" s="79"/>
      <c r="AL22" s="80"/>
      <c r="AM22" s="80"/>
      <c r="AN22" s="80"/>
      <c r="AO22" s="81"/>
      <c r="AP22" s="78"/>
      <c r="AQ22" s="78"/>
      <c r="AR22" s="79"/>
      <c r="AS22" s="80"/>
      <c r="AT22" s="80"/>
      <c r="AU22" s="80"/>
      <c r="AV22" s="81"/>
      <c r="AW22" s="78"/>
      <c r="AX22" s="78"/>
      <c r="AY22" s="79"/>
      <c r="AZ22" s="80"/>
      <c r="BA22" s="80"/>
      <c r="BB22" s="80"/>
      <c r="BC22" s="81"/>
      <c r="BD22" s="78"/>
      <c r="BE22" s="78"/>
      <c r="BF22" s="79"/>
      <c r="BG22" s="80"/>
      <c r="BH22" s="80"/>
      <c r="BI22" s="80"/>
      <c r="BJ22" s="81"/>
      <c r="BK22" s="78"/>
      <c r="BL22" s="78"/>
      <c r="BM22" s="79"/>
      <c r="BN22" s="80"/>
      <c r="BO22" s="80"/>
      <c r="BP22" s="80"/>
      <c r="BQ22" s="81"/>
      <c r="BR22" s="73"/>
      <c r="BS22" s="74" t="b">
        <f>+Q22+X22+AE22+AS22+AZ22+BG22+BN22=I22</f>
        <v>0</v>
      </c>
      <c r="BT22" s="74" t="b">
        <f>+R22+Y22+AF22+AT22+BA22+BH22+BO22=K22</f>
        <v>1</v>
      </c>
      <c r="BU22" s="74" t="b">
        <f>+BG22+BG23+AZ22+AZ23+AS22+AS23+AE22+AE23+X22+X23+Q22+Q23+BN22+BN23=([5]지급비율!$F$21+[5]지급비율!$F$22)*1.1*D21/1000</f>
        <v>0</v>
      </c>
      <c r="BV22" s="58"/>
      <c r="BW22" s="58"/>
      <c r="BX22" s="58"/>
      <c r="BY22" s="58"/>
      <c r="BZ22" s="58"/>
      <c r="CA22" s="58"/>
      <c r="CB22" s="58"/>
      <c r="CC22" s="58"/>
      <c r="CD22" s="58"/>
      <c r="CE22" s="58"/>
    </row>
    <row r="23" spans="1:83" ht="16.5" customHeight="1">
      <c r="A23" s="107"/>
      <c r="B23" s="1322"/>
      <c r="C23" s="1579"/>
      <c r="D23" s="1329"/>
      <c r="E23" s="1324"/>
      <c r="F23" s="75" t="s">
        <v>390</v>
      </c>
      <c r="G23" s="76">
        <f>+지급비율!F22*$D$21/1000</f>
        <v>27686000</v>
      </c>
      <c r="H23" s="76">
        <f>+G23*10%</f>
        <v>2768600</v>
      </c>
      <c r="I23" s="76">
        <f>SUM(G23:H23)</f>
        <v>30454600</v>
      </c>
      <c r="J23" s="75">
        <f>+IFERROR(K23/'Bolt Taeyanggwang 5HO'!I23,"-")</f>
        <v>0.2</v>
      </c>
      <c r="K23" s="80">
        <f>+IFERROR(R23+Y23+AF23+AM23+BA23+BH23,"-")</f>
        <v>6090920</v>
      </c>
      <c r="L23" s="80">
        <f>+'Bolt Taeyanggwang 5HO'!I23-K23</f>
        <v>24363680</v>
      </c>
      <c r="M23" s="417"/>
      <c r="N23" s="78">
        <f>+O23</f>
        <v>45631</v>
      </c>
      <c r="O23" s="72">
        <v>45631</v>
      </c>
      <c r="P23" s="79">
        <f>+IFERROR(Q23/'Bolt Taeyanggwang 5HO'!$I23,"-")</f>
        <v>0.2</v>
      </c>
      <c r="Q23" s="80">
        <f>+$I23*지급비율!G22</f>
        <v>6090920</v>
      </c>
      <c r="R23" s="80">
        <v>6090920</v>
      </c>
      <c r="S23" s="80">
        <f t="shared" si="0"/>
        <v>0</v>
      </c>
      <c r="T23" s="81"/>
      <c r="U23" s="78"/>
      <c r="V23" s="78"/>
      <c r="W23" s="79"/>
      <c r="X23" s="80"/>
      <c r="Y23" s="80"/>
      <c r="Z23" s="80"/>
      <c r="AA23" s="81"/>
      <c r="AB23" s="78"/>
      <c r="AC23" s="72"/>
      <c r="AD23" s="79"/>
      <c r="AE23" s="80"/>
      <c r="AF23" s="80"/>
      <c r="AG23" s="80"/>
      <c r="AH23" s="81"/>
      <c r="AI23" s="72"/>
      <c r="AJ23" s="72"/>
      <c r="AK23" s="79"/>
      <c r="AL23" s="80"/>
      <c r="AM23" s="80"/>
      <c r="AN23" s="80"/>
      <c r="AO23" s="81"/>
      <c r="AP23" s="72"/>
      <c r="AQ23" s="72"/>
      <c r="AR23" s="79"/>
      <c r="AS23" s="80"/>
      <c r="AT23" s="80"/>
      <c r="AU23" s="80"/>
      <c r="AV23" s="81"/>
      <c r="AW23" s="72"/>
      <c r="AX23" s="72"/>
      <c r="AY23" s="79"/>
      <c r="AZ23" s="80"/>
      <c r="BA23" s="80"/>
      <c r="BB23" s="80"/>
      <c r="BC23" s="81"/>
      <c r="BD23" s="72"/>
      <c r="BE23" s="72"/>
      <c r="BF23" s="79"/>
      <c r="BG23" s="80"/>
      <c r="BH23" s="80"/>
      <c r="BI23" s="80"/>
      <c r="BJ23" s="81"/>
      <c r="BK23" s="78"/>
      <c r="BL23" s="72"/>
      <c r="BM23" s="79"/>
      <c r="BN23" s="80"/>
      <c r="BO23" s="80"/>
      <c r="BP23" s="80"/>
      <c r="BQ23" s="81"/>
      <c r="BR23" s="73"/>
      <c r="BS23" s="74" t="b">
        <f>+Q23+X23+AE23+AS23+AZ23+BG23+BN23=I23</f>
        <v>0</v>
      </c>
      <c r="BT23" s="74" t="b">
        <f>+R23+Y23+AF23+AT23+BA23+BH23+BO23=K23</f>
        <v>1</v>
      </c>
      <c r="BU23" s="74"/>
      <c r="BV23" s="58"/>
      <c r="BW23" s="58"/>
      <c r="BX23" s="58"/>
      <c r="BY23" s="58"/>
      <c r="BZ23" s="58"/>
      <c r="CA23" s="58"/>
      <c r="CB23" s="58"/>
      <c r="CC23" s="58"/>
      <c r="CD23" s="58"/>
      <c r="CE23" s="58"/>
    </row>
    <row r="24" spans="1:83" ht="16.5" customHeight="1">
      <c r="A24" s="107"/>
      <c r="B24" s="1322"/>
      <c r="C24" s="1579"/>
      <c r="D24" s="1329"/>
      <c r="E24" s="1324"/>
      <c r="F24" s="101" t="s">
        <v>391</v>
      </c>
      <c r="G24" s="102">
        <f>+지급비율!F23*$D$21/1000</f>
        <v>27686000</v>
      </c>
      <c r="H24" s="102">
        <f>+G24*0.1</f>
        <v>2768600</v>
      </c>
      <c r="I24" s="102">
        <f>SUM(G24:H24)</f>
        <v>30454600</v>
      </c>
      <c r="J24" s="101">
        <f>+IFERROR(K24/'Bolt Taeyanggwang 5HO'!I24,"-")</f>
        <v>0</v>
      </c>
      <c r="K24" s="106">
        <f>+IFERROR(R24+Y24+AF24+AM24+BA24+BH24,"-")</f>
        <v>0</v>
      </c>
      <c r="L24" s="106">
        <f>+'Bolt Taeyanggwang 5HO'!I24-K24</f>
        <v>30454600</v>
      </c>
      <c r="M24" s="418"/>
      <c r="N24" s="85"/>
      <c r="O24" s="101"/>
      <c r="P24" s="105"/>
      <c r="Q24" s="106">
        <f>+$I24*지급비율!G23</f>
        <v>0</v>
      </c>
      <c r="R24" s="106"/>
      <c r="S24" s="106">
        <f t="shared" si="0"/>
        <v>0</v>
      </c>
      <c r="T24" s="101"/>
      <c r="U24" s="85"/>
      <c r="V24" s="101"/>
      <c r="W24" s="105"/>
      <c r="X24" s="106"/>
      <c r="Y24" s="106"/>
      <c r="Z24" s="106"/>
      <c r="AA24" s="101"/>
      <c r="AB24" s="85"/>
      <c r="AC24" s="101"/>
      <c r="AD24" s="105"/>
      <c r="AE24" s="106"/>
      <c r="AF24" s="106"/>
      <c r="AG24" s="106"/>
      <c r="AH24" s="101"/>
      <c r="AI24" s="85"/>
      <c r="AJ24" s="101"/>
      <c r="AK24" s="105"/>
      <c r="AL24" s="106"/>
      <c r="AM24" s="106"/>
      <c r="AN24" s="106"/>
      <c r="AO24" s="101"/>
      <c r="AP24" s="85"/>
      <c r="AQ24" s="101"/>
      <c r="AR24" s="105"/>
      <c r="AS24" s="106"/>
      <c r="AT24" s="106"/>
      <c r="AU24" s="106"/>
      <c r="AV24" s="101"/>
      <c r="AW24" s="85"/>
      <c r="AX24" s="101"/>
      <c r="AY24" s="105"/>
      <c r="AZ24" s="106"/>
      <c r="BA24" s="106"/>
      <c r="BB24" s="106"/>
      <c r="BC24" s="101"/>
      <c r="BD24" s="85"/>
      <c r="BE24" s="101"/>
      <c r="BF24" s="105"/>
      <c r="BG24" s="106"/>
      <c r="BH24" s="106"/>
      <c r="BI24" s="106"/>
      <c r="BJ24" s="101"/>
      <c r="BK24" s="78"/>
      <c r="BL24" s="101"/>
      <c r="BM24" s="105"/>
      <c r="BN24" s="106"/>
      <c r="BO24" s="106"/>
      <c r="BP24" s="106"/>
      <c r="BQ24" s="101"/>
      <c r="BR24" s="88"/>
      <c r="BS24" s="89" t="b">
        <f>+Q24+X24+AE24+AS24+AZ24+BG24+BN24=I24</f>
        <v>0</v>
      </c>
      <c r="BT24" s="90" t="b">
        <f>+R24+Y24+AF24+AT24+BA24+BH24+BO24=K24</f>
        <v>1</v>
      </c>
      <c r="BU24" s="89"/>
      <c r="BV24" s="58"/>
      <c r="BW24" s="58"/>
      <c r="BX24" s="58"/>
      <c r="BY24" s="58"/>
      <c r="BZ24" s="58"/>
      <c r="CA24" s="58"/>
      <c r="CB24" s="58"/>
      <c r="CC24" s="58"/>
      <c r="CD24" s="58"/>
      <c r="CE24" s="58"/>
    </row>
    <row r="25" spans="1:83" ht="16.5" customHeight="1">
      <c r="A25" s="62"/>
      <c r="B25" s="1322"/>
      <c r="C25" s="1579"/>
      <c r="D25" s="1329"/>
      <c r="E25" s="1324"/>
      <c r="F25" s="91" t="s">
        <v>392</v>
      </c>
      <c r="G25" s="92">
        <f>SUM(G21:G24)</f>
        <v>249174000</v>
      </c>
      <c r="H25" s="92">
        <f>SUM(H21:H24)</f>
        <v>24917400</v>
      </c>
      <c r="I25" s="92">
        <f>SUM(I21:I24)</f>
        <v>274091400</v>
      </c>
      <c r="J25" s="91">
        <f>+IFERROR(K25/'Bolt Taeyanggwang 5HO'!I25,"-")</f>
        <v>5.5555555555555552E-2</v>
      </c>
      <c r="K25" s="92">
        <f>SUM(K21:K24)</f>
        <v>15227300</v>
      </c>
      <c r="L25" s="92">
        <f>SUM(L21:L24)</f>
        <v>258864100</v>
      </c>
      <c r="M25" s="419"/>
      <c r="N25" s="93"/>
      <c r="O25" s="91"/>
      <c r="P25" s="94">
        <f>+IFERROR(Q25/'Bolt Taeyanggwang 5HO'!$I25,"-")</f>
        <v>5.5555555555555552E-2</v>
      </c>
      <c r="Q25" s="92">
        <f>SUM(Q21:Q24)</f>
        <v>15227300</v>
      </c>
      <c r="R25" s="170">
        <f>SUM(R21:R24)</f>
        <v>15227300</v>
      </c>
      <c r="S25" s="92">
        <f t="shared" si="0"/>
        <v>0</v>
      </c>
      <c r="T25" s="91"/>
      <c r="U25" s="93"/>
      <c r="V25" s="91"/>
      <c r="W25" s="94"/>
      <c r="X25" s="92"/>
      <c r="Y25" s="92"/>
      <c r="Z25" s="92"/>
      <c r="AA25" s="91"/>
      <c r="AB25" s="93"/>
      <c r="AC25" s="91"/>
      <c r="AD25" s="94"/>
      <c r="AE25" s="92"/>
      <c r="AF25" s="92"/>
      <c r="AG25" s="92"/>
      <c r="AH25" s="91"/>
      <c r="AI25" s="93"/>
      <c r="AJ25" s="91"/>
      <c r="AK25" s="94"/>
      <c r="AL25" s="92"/>
      <c r="AM25" s="92"/>
      <c r="AN25" s="92"/>
      <c r="AO25" s="91"/>
      <c r="AP25" s="93"/>
      <c r="AQ25" s="91"/>
      <c r="AR25" s="94"/>
      <c r="AS25" s="92"/>
      <c r="AT25" s="92"/>
      <c r="AU25" s="92"/>
      <c r="AV25" s="91"/>
      <c r="AW25" s="93"/>
      <c r="AX25" s="91"/>
      <c r="AY25" s="94"/>
      <c r="AZ25" s="92"/>
      <c r="BA25" s="92"/>
      <c r="BB25" s="92"/>
      <c r="BC25" s="91"/>
      <c r="BD25" s="93"/>
      <c r="BE25" s="91"/>
      <c r="BF25" s="94"/>
      <c r="BG25" s="92"/>
      <c r="BH25" s="92"/>
      <c r="BI25" s="92"/>
      <c r="BJ25" s="91"/>
      <c r="BK25" s="93"/>
      <c r="BL25" s="91"/>
      <c r="BM25" s="94"/>
      <c r="BN25" s="92"/>
      <c r="BO25" s="92"/>
      <c r="BP25" s="92"/>
      <c r="BQ25" s="91"/>
      <c r="BR25" s="88"/>
      <c r="BS25" s="96"/>
      <c r="BT25" s="96"/>
      <c r="BU25" s="139"/>
      <c r="BV25" s="54"/>
      <c r="BW25" s="54"/>
      <c r="BX25" s="54"/>
      <c r="BY25" s="54"/>
      <c r="BZ25" s="54"/>
      <c r="CA25" s="54"/>
      <c r="CB25" s="54"/>
      <c r="CC25" s="54"/>
      <c r="CD25" s="58"/>
      <c r="CE25" s="58"/>
    </row>
    <row r="26" spans="1:83" ht="16.5" customHeight="1">
      <c r="A26" s="62"/>
      <c r="B26" s="1322">
        <f t="shared" ref="B26" si="1">+B21+1</f>
        <v>4</v>
      </c>
      <c r="C26" s="1580" t="s">
        <v>923</v>
      </c>
      <c r="D26" s="1343">
        <v>2444.8000000000002</v>
      </c>
      <c r="E26" s="1324" t="s">
        <v>888</v>
      </c>
      <c r="F26" s="63" t="s">
        <v>388</v>
      </c>
      <c r="G26" s="64">
        <f>+$G$2*D26/1000</f>
        <v>2689280000</v>
      </c>
      <c r="H26" s="64">
        <f>+G26*10%</f>
        <v>268928000</v>
      </c>
      <c r="I26" s="64">
        <f>SUM(G26:H26)</f>
        <v>2958208000</v>
      </c>
      <c r="J26" s="63">
        <f t="shared" ref="J26:J58" si="2">+IFERROR(K26/I26,"-")</f>
        <v>0</v>
      </c>
      <c r="K26" s="134">
        <f>+IFERROR(R26+Y26+AF26+AM26+AT26+BA26+BH26+BO26,"-")</f>
        <v>0</v>
      </c>
      <c r="L26" s="134">
        <f>+I26-K26</f>
        <v>2958208000</v>
      </c>
      <c r="M26" s="1331" t="s">
        <v>407</v>
      </c>
      <c r="N26" s="67"/>
      <c r="O26" s="67"/>
      <c r="P26" s="135"/>
      <c r="Q26" s="66"/>
      <c r="R26" s="66"/>
      <c r="S26" s="66">
        <f t="shared" si="0"/>
        <v>0</v>
      </c>
      <c r="T26" s="136"/>
      <c r="U26" s="67"/>
      <c r="V26" s="67"/>
      <c r="W26" s="135"/>
      <c r="X26" s="134"/>
      <c r="Y26" s="134"/>
      <c r="Z26" s="134">
        <f t="shared" ref="Z26:Z58" si="3">+X26-Y26</f>
        <v>0</v>
      </c>
      <c r="AA26" s="145"/>
      <c r="AB26" s="67">
        <f>+EDATE(AI26,-1)</f>
        <v>46020</v>
      </c>
      <c r="AC26" s="67"/>
      <c r="AD26" s="135">
        <f>+IFERROR(AE26/$I26,"-")</f>
        <v>0.5</v>
      </c>
      <c r="AE26" s="134">
        <f>+$I26*지급비율!U20</f>
        <v>1479104000</v>
      </c>
      <c r="AF26" s="134"/>
      <c r="AG26" s="134">
        <f t="shared" ref="AG26:AG58" si="4">+AE26-AF26</f>
        <v>1479104000</v>
      </c>
      <c r="AH26" s="145"/>
      <c r="AI26" s="67">
        <f>+EDATE(AP26,-1)+1</f>
        <v>46051</v>
      </c>
      <c r="AJ26" s="67"/>
      <c r="AK26" s="135">
        <f t="shared" ref="AK26:AK60" si="5">+IFERROR(AL26/$I26,"-")</f>
        <v>0</v>
      </c>
      <c r="AL26" s="134">
        <f>+$I26*지급비율!AB20</f>
        <v>0</v>
      </c>
      <c r="AM26" s="134"/>
      <c r="AN26" s="134">
        <f t="shared" ref="AN26:AN58" si="6">+AL26-AM26</f>
        <v>0</v>
      </c>
      <c r="AO26" s="145"/>
      <c r="AP26" s="67">
        <f>+EDATE(AW26,-1)</f>
        <v>46081</v>
      </c>
      <c r="AQ26" s="67"/>
      <c r="AR26" s="135">
        <f>+IFERROR(AS26/$I26,"-")</f>
        <v>0</v>
      </c>
      <c r="AS26" s="134">
        <f>+$I26*지급비율!AI20</f>
        <v>0</v>
      </c>
      <c r="AT26" s="134"/>
      <c r="AU26" s="134">
        <f t="shared" ref="AU26:AU58" si="7">+AS26-AT26</f>
        <v>0</v>
      </c>
      <c r="AV26" s="145"/>
      <c r="AW26" s="67">
        <f>+EDATE(BD26,-1)</f>
        <v>46111</v>
      </c>
      <c r="AX26" s="67"/>
      <c r="AY26" s="135">
        <f>+IFERROR(AZ26/$I26,"-")</f>
        <v>0</v>
      </c>
      <c r="AZ26" s="134">
        <f>+$I26*지급비율!AP20</f>
        <v>0</v>
      </c>
      <c r="BA26" s="134"/>
      <c r="BB26" s="134">
        <f t="shared" ref="BB26:BB58" si="8">+AZ26-BA26</f>
        <v>0</v>
      </c>
      <c r="BC26" s="145"/>
      <c r="BD26" s="67">
        <f>+EDATE(BK26,-1)</f>
        <v>46142</v>
      </c>
      <c r="BE26" s="67"/>
      <c r="BF26" s="135">
        <f>+IFERROR(BG26/$I26,"-")</f>
        <v>0.4</v>
      </c>
      <c r="BG26" s="134">
        <f>+$I26*지급비율!AW20</f>
        <v>1183283200</v>
      </c>
      <c r="BH26" s="134"/>
      <c r="BI26" s="134">
        <f t="shared" ref="BI26:BI58" si="9">+BG26-BH26</f>
        <v>1183283200</v>
      </c>
      <c r="BJ26" s="145"/>
      <c r="BK26" s="67">
        <v>46173</v>
      </c>
      <c r="BL26" s="67"/>
      <c r="BM26" s="135">
        <f t="shared" ref="BM26:BM60" si="10">+IFERROR(BN26/$I26,"-")</f>
        <v>0.1</v>
      </c>
      <c r="BN26" s="134">
        <f>+$I26*지급비율!BD20</f>
        <v>295820800</v>
      </c>
      <c r="BO26" s="134"/>
      <c r="BP26" s="134">
        <f t="shared" ref="BP26:BP58" si="11">+BN26-BO26</f>
        <v>295820800</v>
      </c>
      <c r="BQ26" s="145"/>
      <c r="BR26" s="73"/>
      <c r="BS26" s="74" t="b">
        <f>+Q26+X26+AE26+AS26+AZ26+BG26+BN26=I26</f>
        <v>1</v>
      </c>
      <c r="BT26" s="74" t="b">
        <f>+R26+Y26+AF26+AT26+BA26+BH26+BO26=K26</f>
        <v>1</v>
      </c>
      <c r="BU26" s="74"/>
      <c r="BV26" s="54"/>
      <c r="BW26" s="54"/>
      <c r="BX26" s="54"/>
      <c r="BY26" s="54"/>
      <c r="BZ26" s="54"/>
      <c r="CA26" s="54"/>
      <c r="CB26" s="54"/>
      <c r="CC26" s="54"/>
      <c r="CD26" s="58"/>
      <c r="CE26" s="58"/>
    </row>
    <row r="27" spans="1:83" ht="16.5" customHeight="1">
      <c r="A27" s="62"/>
      <c r="B27" s="1322"/>
      <c r="C27" s="1580"/>
      <c r="D27" s="1344"/>
      <c r="E27" s="1324"/>
      <c r="F27" s="75" t="s">
        <v>389</v>
      </c>
      <c r="G27" s="76">
        <f>+지급비율!F21*D26/1000</f>
        <v>733440000</v>
      </c>
      <c r="H27" s="76">
        <f>+G27*10%</f>
        <v>73344000</v>
      </c>
      <c r="I27" s="76">
        <f>SUM(G27:H27)</f>
        <v>806784000</v>
      </c>
      <c r="J27" s="75">
        <f t="shared" si="2"/>
        <v>0</v>
      </c>
      <c r="K27" s="80">
        <f>+IFERROR(R27+Y27+AF27+AM27+AT27+BA27+BH27+BO27,"-")</f>
        <v>0</v>
      </c>
      <c r="L27" s="80">
        <f>+I27-K27</f>
        <v>806784000</v>
      </c>
      <c r="M27" s="1332"/>
      <c r="N27" s="428">
        <v>45930</v>
      </c>
      <c r="O27" s="428"/>
      <c r="P27" s="403">
        <f>+IFERROR(Q27/$I27,"-")</f>
        <v>0.3</v>
      </c>
      <c r="Q27" s="404">
        <f>+$I27*지급비율!G29</f>
        <v>242035200</v>
      </c>
      <c r="R27" s="404"/>
      <c r="S27" s="404">
        <f t="shared" si="0"/>
        <v>242035200</v>
      </c>
      <c r="T27" s="429"/>
      <c r="U27" s="152">
        <v>45961</v>
      </c>
      <c r="V27" s="152"/>
      <c r="W27" s="117">
        <f>+IFERROR(X27/$I27,"-")</f>
        <v>0.1</v>
      </c>
      <c r="X27" s="289">
        <f>+$I27*지급비율!N29</f>
        <v>80678400</v>
      </c>
      <c r="Y27" s="289"/>
      <c r="Z27" s="289">
        <f t="shared" si="3"/>
        <v>80678400</v>
      </c>
      <c r="AA27" s="118"/>
      <c r="AB27" s="78">
        <v>46022</v>
      </c>
      <c r="AC27" s="78"/>
      <c r="AD27" s="79">
        <f>+IFERROR(AE27/$I27,"-")</f>
        <v>0.5</v>
      </c>
      <c r="AE27" s="99">
        <f>+$I27*지급비율!U29</f>
        <v>403392000</v>
      </c>
      <c r="AF27" s="70"/>
      <c r="AG27" s="70">
        <f t="shared" si="4"/>
        <v>403392000</v>
      </c>
      <c r="AH27" s="81"/>
      <c r="AI27" s="78"/>
      <c r="AJ27" s="72"/>
      <c r="AK27" s="79">
        <f t="shared" si="5"/>
        <v>0</v>
      </c>
      <c r="AL27" s="99">
        <f>+$I27*지급비율!AB21</f>
        <v>0</v>
      </c>
      <c r="AM27" s="70"/>
      <c r="AN27" s="70">
        <f t="shared" si="6"/>
        <v>0</v>
      </c>
      <c r="AO27" s="81"/>
      <c r="AP27" s="78"/>
      <c r="AQ27" s="72"/>
      <c r="AR27" s="79"/>
      <c r="AS27" s="99">
        <f>+$I27*지급비율!AI21</f>
        <v>0</v>
      </c>
      <c r="AT27" s="70"/>
      <c r="AU27" s="70">
        <f t="shared" si="7"/>
        <v>0</v>
      </c>
      <c r="AV27" s="81"/>
      <c r="AW27" s="78"/>
      <c r="AX27" s="72"/>
      <c r="AY27" s="79"/>
      <c r="AZ27" s="99">
        <f>+$I27*지급비율!AP21</f>
        <v>0</v>
      </c>
      <c r="BA27" s="70"/>
      <c r="BB27" s="70">
        <f t="shared" si="8"/>
        <v>0</v>
      </c>
      <c r="BC27" s="81"/>
      <c r="BD27" s="78"/>
      <c r="BE27" s="72"/>
      <c r="BF27" s="79"/>
      <c r="BG27" s="99">
        <f>+$I27*지급비율!AW21</f>
        <v>0</v>
      </c>
      <c r="BH27" s="70"/>
      <c r="BI27" s="70">
        <f t="shared" si="9"/>
        <v>0</v>
      </c>
      <c r="BJ27" s="81"/>
      <c r="BK27" s="138">
        <v>46173</v>
      </c>
      <c r="BL27" s="72"/>
      <c r="BM27" s="79">
        <f t="shared" si="10"/>
        <v>0.1</v>
      </c>
      <c r="BN27" s="99">
        <f>+$I27*지급비율!BD29</f>
        <v>80678400</v>
      </c>
      <c r="BO27" s="70"/>
      <c r="BP27" s="70">
        <f t="shared" si="11"/>
        <v>80678400</v>
      </c>
      <c r="BQ27" s="81"/>
      <c r="BR27" s="73"/>
      <c r="BS27" s="74" t="b">
        <f>+Q27+X27+AE27+AS27+AZ27+BG27+BN27=I27</f>
        <v>1</v>
      </c>
      <c r="BT27" s="74" t="b">
        <f>+R27+Y27+AF27+AT27+BA27+BH27+BO27=K27</f>
        <v>1</v>
      </c>
      <c r="BU27" s="74" t="b">
        <f>+BG27+BG28+AZ27+AZ28+AS27+AS28+AE27+AE28+X27+X28+Q27+Q28+BN27+BN28=([5]지급비율!$F$21+[5]지급비율!$F$22)*1.1*D26/1000</f>
        <v>1</v>
      </c>
      <c r="BV27" s="54"/>
      <c r="BW27" s="54"/>
      <c r="BX27" s="54"/>
      <c r="BY27" s="54"/>
      <c r="BZ27" s="54"/>
      <c r="CA27" s="54"/>
      <c r="CB27" s="54"/>
      <c r="CC27" s="54"/>
      <c r="CD27" s="58"/>
      <c r="CE27" s="58"/>
    </row>
    <row r="28" spans="1:83" ht="16.5" customHeight="1">
      <c r="A28" s="62"/>
      <c r="B28" s="1322"/>
      <c r="C28" s="1580"/>
      <c r="D28" s="1344"/>
      <c r="E28" s="1324"/>
      <c r="F28" s="75" t="s">
        <v>390</v>
      </c>
      <c r="G28" s="76">
        <f>+지급비율!F22*D26/1000</f>
        <v>488960000.00000006</v>
      </c>
      <c r="H28" s="76">
        <f>+G28*10%</f>
        <v>48896000.000000007</v>
      </c>
      <c r="I28" s="76">
        <f>SUM(G28:H28)</f>
        <v>537856000.00000012</v>
      </c>
      <c r="J28" s="75">
        <f t="shared" si="2"/>
        <v>0</v>
      </c>
      <c r="K28" s="80">
        <f>+IFERROR(R28+Y28+AF28+AM28+AT28+BA28+BH28+BO28,"-")</f>
        <v>0</v>
      </c>
      <c r="L28" s="80">
        <f>+I28-K28</f>
        <v>537856000.00000012</v>
      </c>
      <c r="M28" s="1332"/>
      <c r="N28" s="428">
        <v>45930</v>
      </c>
      <c r="O28" s="428"/>
      <c r="P28" s="403">
        <f>+IFERROR(Q28/$I28,"-")</f>
        <v>0.3</v>
      </c>
      <c r="Q28" s="404">
        <f>+$I28*지급비율!G30</f>
        <v>161356800.00000003</v>
      </c>
      <c r="R28" s="404"/>
      <c r="S28" s="404">
        <f t="shared" si="0"/>
        <v>161356800.00000003</v>
      </c>
      <c r="T28" s="429"/>
      <c r="U28" s="152">
        <v>45961</v>
      </c>
      <c r="V28" s="152"/>
      <c r="W28" s="117">
        <f>+IFERROR(X28/$I28,"-")</f>
        <v>0.1</v>
      </c>
      <c r="X28" s="289">
        <f>+$I28*지급비율!N30</f>
        <v>53785600.000000015</v>
      </c>
      <c r="Y28" s="289"/>
      <c r="Z28" s="289">
        <f t="shared" si="3"/>
        <v>53785600.000000015</v>
      </c>
      <c r="AA28" s="118"/>
      <c r="AB28" s="78">
        <v>46022</v>
      </c>
      <c r="AC28" s="78"/>
      <c r="AD28" s="79">
        <f>+IFERROR(AE28/$I28,"-")</f>
        <v>0.5</v>
      </c>
      <c r="AE28" s="99">
        <f>+$I28*지급비율!U30</f>
        <v>268928000.00000006</v>
      </c>
      <c r="AF28" s="70"/>
      <c r="AG28" s="70">
        <f t="shared" si="4"/>
        <v>268928000.00000006</v>
      </c>
      <c r="AH28" s="81"/>
      <c r="AI28" s="72"/>
      <c r="AJ28" s="72"/>
      <c r="AK28" s="79">
        <f t="shared" si="5"/>
        <v>0</v>
      </c>
      <c r="AL28" s="99">
        <f>+$I28*지급비율!AB22</f>
        <v>0</v>
      </c>
      <c r="AM28" s="70"/>
      <c r="AN28" s="70">
        <f t="shared" si="6"/>
        <v>0</v>
      </c>
      <c r="AO28" s="81"/>
      <c r="AP28" s="72"/>
      <c r="AQ28" s="72"/>
      <c r="AR28" s="79"/>
      <c r="AS28" s="99">
        <f>+$I28*지급비율!AI22</f>
        <v>0</v>
      </c>
      <c r="AT28" s="70"/>
      <c r="AU28" s="70">
        <f t="shared" si="7"/>
        <v>0</v>
      </c>
      <c r="AV28" s="81"/>
      <c r="AW28" s="72"/>
      <c r="AX28" s="72"/>
      <c r="AY28" s="79"/>
      <c r="AZ28" s="99">
        <f>+$I28*지급비율!AP22</f>
        <v>0</v>
      </c>
      <c r="BA28" s="70"/>
      <c r="BB28" s="70">
        <f t="shared" si="8"/>
        <v>0</v>
      </c>
      <c r="BC28" s="81"/>
      <c r="BD28" s="72"/>
      <c r="BE28" s="72"/>
      <c r="BF28" s="79"/>
      <c r="BG28" s="99">
        <f>+$I28*지급비율!AW22</f>
        <v>0</v>
      </c>
      <c r="BH28" s="70"/>
      <c r="BI28" s="70">
        <f t="shared" si="9"/>
        <v>0</v>
      </c>
      <c r="BJ28" s="81"/>
      <c r="BK28" s="72">
        <v>46173</v>
      </c>
      <c r="BL28" s="72"/>
      <c r="BM28" s="79">
        <f t="shared" si="10"/>
        <v>0.1</v>
      </c>
      <c r="BN28" s="99">
        <f>+$I28*지급비율!BD30</f>
        <v>53785600.000000015</v>
      </c>
      <c r="BO28" s="70"/>
      <c r="BP28" s="70">
        <f t="shared" si="11"/>
        <v>53785600.000000015</v>
      </c>
      <c r="BQ28" s="81"/>
      <c r="BR28" s="73"/>
      <c r="BS28" s="74" t="b">
        <f>+Q28+X28+AE28+AS28+AZ28+BG28+BN28=I28</f>
        <v>1</v>
      </c>
      <c r="BT28" s="74" t="b">
        <f>+R28+Y28+AF28+AT28+BA28+BH28+BO28=K28</f>
        <v>1</v>
      </c>
      <c r="BU28" s="74"/>
      <c r="BV28" s="54"/>
      <c r="BW28" s="54"/>
      <c r="BX28" s="54"/>
      <c r="BY28" s="54"/>
      <c r="BZ28" s="54"/>
      <c r="CA28" s="54"/>
      <c r="CB28" s="54"/>
      <c r="CC28" s="54"/>
      <c r="CD28" s="58"/>
      <c r="CE28" s="58"/>
    </row>
    <row r="29" spans="1:83" ht="16.5" customHeight="1">
      <c r="A29" s="62"/>
      <c r="B29" s="1322"/>
      <c r="C29" s="1580"/>
      <c r="D29" s="1344"/>
      <c r="E29" s="1324"/>
      <c r="F29" s="101" t="s">
        <v>391</v>
      </c>
      <c r="G29" s="102">
        <f>+지급비율!F23*D26/1000</f>
        <v>488960000.00000006</v>
      </c>
      <c r="H29" s="102">
        <f>+G29*0.1</f>
        <v>48896000.000000007</v>
      </c>
      <c r="I29" s="102">
        <f>SUM(G29:H29)</f>
        <v>537856000.00000012</v>
      </c>
      <c r="J29" s="101">
        <f t="shared" si="2"/>
        <v>0</v>
      </c>
      <c r="K29" s="106">
        <f>+IFERROR(R29+Y29+AF29+AM29+AT29+BA29+BH29+BO29,"-")</f>
        <v>0</v>
      </c>
      <c r="L29" s="106">
        <f>+I29-K29</f>
        <v>537856000.00000012</v>
      </c>
      <c r="M29" s="1333"/>
      <c r="N29" s="430"/>
      <c r="O29" s="431"/>
      <c r="P29" s="432"/>
      <c r="Q29" s="433"/>
      <c r="R29" s="433"/>
      <c r="S29" s="433">
        <f t="shared" si="0"/>
        <v>0</v>
      </c>
      <c r="T29" s="431"/>
      <c r="U29" s="85"/>
      <c r="V29" s="101"/>
      <c r="W29" s="105"/>
      <c r="X29" s="106"/>
      <c r="Y29" s="106"/>
      <c r="Z29" s="106">
        <f t="shared" si="3"/>
        <v>0</v>
      </c>
      <c r="AA29" s="101"/>
      <c r="AB29" s="85"/>
      <c r="AC29" s="101"/>
      <c r="AD29" s="105"/>
      <c r="AE29" s="106">
        <f>+$I29*지급비율!U23</f>
        <v>0</v>
      </c>
      <c r="AF29" s="106"/>
      <c r="AG29" s="106">
        <f t="shared" si="4"/>
        <v>0</v>
      </c>
      <c r="AH29" s="101"/>
      <c r="AI29" s="85"/>
      <c r="AJ29" s="101"/>
      <c r="AK29" s="105">
        <f t="shared" si="5"/>
        <v>0</v>
      </c>
      <c r="AL29" s="106">
        <f>+$I29*지급비율!AB23</f>
        <v>0</v>
      </c>
      <c r="AM29" s="106"/>
      <c r="AN29" s="106">
        <f t="shared" si="6"/>
        <v>0</v>
      </c>
      <c r="AO29" s="101"/>
      <c r="AP29" s="85"/>
      <c r="AQ29" s="101"/>
      <c r="AR29" s="105"/>
      <c r="AS29" s="106">
        <f>+$I29*지급비율!AI23</f>
        <v>0</v>
      </c>
      <c r="AT29" s="106"/>
      <c r="AU29" s="106">
        <f t="shared" si="7"/>
        <v>0</v>
      </c>
      <c r="AV29" s="101"/>
      <c r="AW29" s="85"/>
      <c r="AX29" s="101"/>
      <c r="AY29" s="105"/>
      <c r="AZ29" s="106">
        <f>+$I29*지급비율!AP23</f>
        <v>0</v>
      </c>
      <c r="BA29" s="106"/>
      <c r="BB29" s="106">
        <f t="shared" si="8"/>
        <v>0</v>
      </c>
      <c r="BC29" s="101"/>
      <c r="BD29" s="85"/>
      <c r="BE29" s="101"/>
      <c r="BF29" s="105"/>
      <c r="BG29" s="106">
        <f>+$I29*지급비율!AW23</f>
        <v>0</v>
      </c>
      <c r="BH29" s="106"/>
      <c r="BI29" s="106">
        <f t="shared" si="9"/>
        <v>0</v>
      </c>
      <c r="BJ29" s="101"/>
      <c r="BK29" s="104">
        <v>46173</v>
      </c>
      <c r="BL29" s="101"/>
      <c r="BM29" s="105">
        <f t="shared" si="10"/>
        <v>1</v>
      </c>
      <c r="BN29" s="106">
        <f>+$I29*지급비율!BD23</f>
        <v>537856000.00000012</v>
      </c>
      <c r="BO29" s="106"/>
      <c r="BP29" s="106">
        <f t="shared" si="11"/>
        <v>537856000.00000012</v>
      </c>
      <c r="BQ29" s="101"/>
      <c r="BR29" s="88"/>
      <c r="BS29" s="89" t="b">
        <f>+Q29+X29+AE29+AS29+AZ29+BG29+BN29=I29</f>
        <v>1</v>
      </c>
      <c r="BT29" s="90" t="b">
        <f>+R29+Y29+AF29+AT29+BA29+BH29+BO29=K29</f>
        <v>1</v>
      </c>
      <c r="BU29" s="90"/>
      <c r="BV29" s="54"/>
      <c r="BW29" s="54"/>
      <c r="BX29" s="54"/>
      <c r="BY29" s="54"/>
      <c r="BZ29" s="54"/>
      <c r="CA29" s="54"/>
      <c r="CB29" s="54"/>
      <c r="CC29" s="54"/>
      <c r="CD29" s="58"/>
      <c r="CE29" s="58"/>
    </row>
    <row r="30" spans="1:83" ht="16.5" customHeight="1">
      <c r="A30" s="62"/>
      <c r="B30" s="1322"/>
      <c r="C30" s="1580"/>
      <c r="D30" s="1345"/>
      <c r="E30" s="1324"/>
      <c r="F30" s="91" t="s">
        <v>392</v>
      </c>
      <c r="G30" s="92">
        <f>SUM(G26:G29)</f>
        <v>4400640000</v>
      </c>
      <c r="H30" s="92">
        <f>SUM(H26:H29)</f>
        <v>440064000</v>
      </c>
      <c r="I30" s="92">
        <f>SUM(I26:I29)</f>
        <v>4840704000</v>
      </c>
      <c r="J30" s="91">
        <f t="shared" si="2"/>
        <v>0</v>
      </c>
      <c r="K30" s="92">
        <f>SUM(K26:K29)</f>
        <v>0</v>
      </c>
      <c r="L30" s="92">
        <f>SUM(L26:L29)</f>
        <v>4840704000</v>
      </c>
      <c r="M30" s="419">
        <f>+Q27+Q28</f>
        <v>403392000</v>
      </c>
      <c r="N30" s="434"/>
      <c r="O30" s="435"/>
      <c r="P30" s="436">
        <f>+IFERROR(Q30/$I30,"-")</f>
        <v>8.3333333333333329E-2</v>
      </c>
      <c r="Q30" s="419">
        <f>SUM(Q26:Q29)</f>
        <v>403392000</v>
      </c>
      <c r="R30" s="419">
        <f>SUM(R26:R29)</f>
        <v>0</v>
      </c>
      <c r="S30" s="419">
        <f t="shared" si="0"/>
        <v>403392000</v>
      </c>
      <c r="T30" s="435"/>
      <c r="U30" s="93"/>
      <c r="V30" s="91"/>
      <c r="W30" s="94">
        <f>+IFERROR(X30/$I30,"-")</f>
        <v>2.7777777777777776E-2</v>
      </c>
      <c r="X30" s="92">
        <f>SUM(X26:X29)</f>
        <v>134464000</v>
      </c>
      <c r="Y30" s="92">
        <f>SUM(Y26:Y29)</f>
        <v>0</v>
      </c>
      <c r="Z30" s="92">
        <f t="shared" si="3"/>
        <v>134464000</v>
      </c>
      <c r="AA30" s="91"/>
      <c r="AB30" s="93"/>
      <c r="AC30" s="91"/>
      <c r="AD30" s="94">
        <f>+IFERROR(AE30/$I30,"-")</f>
        <v>0.44444444444444442</v>
      </c>
      <c r="AE30" s="92">
        <f>SUM(AE26:AE29)</f>
        <v>2151424000</v>
      </c>
      <c r="AF30" s="92">
        <f>SUM(AF26:AF29)</f>
        <v>0</v>
      </c>
      <c r="AG30" s="92">
        <f t="shared" si="4"/>
        <v>2151424000</v>
      </c>
      <c r="AH30" s="91"/>
      <c r="AI30" s="93"/>
      <c r="AJ30" s="91"/>
      <c r="AK30" s="94">
        <f t="shared" si="5"/>
        <v>0</v>
      </c>
      <c r="AL30" s="92">
        <f>SUM(AL26:AL29)</f>
        <v>0</v>
      </c>
      <c r="AM30" s="92">
        <f>SUM(AM26:AM29)</f>
        <v>0</v>
      </c>
      <c r="AN30" s="92">
        <f t="shared" si="6"/>
        <v>0</v>
      </c>
      <c r="AO30" s="91"/>
      <c r="AP30" s="93"/>
      <c r="AQ30" s="91"/>
      <c r="AR30" s="94">
        <f>+IFERROR(AS30/$I30,"-")</f>
        <v>0</v>
      </c>
      <c r="AS30" s="92">
        <f>SUM(AS26:AS29)</f>
        <v>0</v>
      </c>
      <c r="AT30" s="92">
        <f>SUM(AT26:AT29)</f>
        <v>0</v>
      </c>
      <c r="AU30" s="92">
        <f t="shared" si="7"/>
        <v>0</v>
      </c>
      <c r="AV30" s="91"/>
      <c r="AW30" s="93"/>
      <c r="AX30" s="91"/>
      <c r="AY30" s="94">
        <f>+IFERROR(AZ30/$I30,"-")</f>
        <v>0</v>
      </c>
      <c r="AZ30" s="92">
        <f>SUM(AZ26:AZ29)</f>
        <v>0</v>
      </c>
      <c r="BA30" s="92">
        <f>SUM(BA26:BA29)</f>
        <v>0</v>
      </c>
      <c r="BB30" s="92">
        <f t="shared" si="8"/>
        <v>0</v>
      </c>
      <c r="BC30" s="91"/>
      <c r="BD30" s="93"/>
      <c r="BE30" s="91"/>
      <c r="BF30" s="94">
        <f>+IFERROR(BG30/$I30,"-")</f>
        <v>0.24444444444444444</v>
      </c>
      <c r="BG30" s="92">
        <f>SUM(BG26:BG29)</f>
        <v>1183283200</v>
      </c>
      <c r="BH30" s="92">
        <f>SUM(BH26:BH29)</f>
        <v>0</v>
      </c>
      <c r="BI30" s="92">
        <f t="shared" si="9"/>
        <v>1183283200</v>
      </c>
      <c r="BJ30" s="91"/>
      <c r="BK30" s="93"/>
      <c r="BL30" s="91"/>
      <c r="BM30" s="94">
        <f t="shared" si="10"/>
        <v>0.2</v>
      </c>
      <c r="BN30" s="92">
        <f>SUM(BN26:BN29)</f>
        <v>968140800.00000012</v>
      </c>
      <c r="BO30" s="92">
        <f>SUM(BO26:BO29)</f>
        <v>0</v>
      </c>
      <c r="BP30" s="92">
        <f t="shared" si="11"/>
        <v>968140800.00000012</v>
      </c>
      <c r="BQ30" s="91"/>
      <c r="BR30" s="88"/>
      <c r="BS30" s="96"/>
      <c r="BT30" s="96"/>
      <c r="BU30" s="139"/>
      <c r="BV30" s="54"/>
      <c r="BW30" s="54"/>
      <c r="BX30" s="54"/>
      <c r="BY30" s="54"/>
      <c r="BZ30" s="54"/>
      <c r="CA30" s="54"/>
      <c r="CB30" s="54"/>
      <c r="CC30" s="54"/>
      <c r="CD30" s="58"/>
      <c r="CE30" s="58"/>
    </row>
    <row r="31" spans="1:83" ht="16.5" customHeight="1">
      <c r="A31" s="62"/>
      <c r="B31" s="1322">
        <f t="shared" ref="B31" si="12">+B26+1</f>
        <v>5</v>
      </c>
      <c r="C31" s="1580" t="s">
        <v>924</v>
      </c>
      <c r="D31" s="1343">
        <v>304.16500000000002</v>
      </c>
      <c r="E31" s="1324" t="s">
        <v>888</v>
      </c>
      <c r="F31" s="63" t="s">
        <v>388</v>
      </c>
      <c r="G31" s="64">
        <f>+$G$2*D31/1000</f>
        <v>334581500</v>
      </c>
      <c r="H31" s="64">
        <f>+G31*10%</f>
        <v>33458150</v>
      </c>
      <c r="I31" s="64">
        <f>SUM(G31:H31)</f>
        <v>368039650</v>
      </c>
      <c r="J31" s="63">
        <f t="shared" si="2"/>
        <v>0</v>
      </c>
      <c r="K31" s="134">
        <f>+IFERROR(R31+Y31+AF31+AM31+AT31+BA31+BH31+BO31,"-")</f>
        <v>0</v>
      </c>
      <c r="L31" s="134">
        <f>+I31-K31</f>
        <v>368039650</v>
      </c>
      <c r="M31" s="1331" t="s">
        <v>407</v>
      </c>
      <c r="N31" s="437"/>
      <c r="O31" s="437"/>
      <c r="P31" s="438"/>
      <c r="Q31" s="439">
        <f>+$I31*지급비율!G20</f>
        <v>0</v>
      </c>
      <c r="R31" s="439"/>
      <c r="S31" s="439">
        <f t="shared" si="0"/>
        <v>0</v>
      </c>
      <c r="T31" s="440"/>
      <c r="U31" s="67"/>
      <c r="V31" s="67"/>
      <c r="W31" s="135"/>
      <c r="X31" s="134">
        <f>+$I31*지급비율!N20</f>
        <v>0</v>
      </c>
      <c r="Y31" s="134"/>
      <c r="Z31" s="134">
        <f t="shared" si="3"/>
        <v>0</v>
      </c>
      <c r="AA31" s="145"/>
      <c r="AB31" s="67">
        <f>+EDATE(AI31,-1)</f>
        <v>45990</v>
      </c>
      <c r="AC31" s="67"/>
      <c r="AD31" s="135">
        <f>+IFERROR(AE31/$I31,"-")</f>
        <v>0.5</v>
      </c>
      <c r="AE31" s="134">
        <f>+$I31*지급비율!U20</f>
        <v>184019825</v>
      </c>
      <c r="AF31" s="134"/>
      <c r="AG31" s="134">
        <f t="shared" si="4"/>
        <v>184019825</v>
      </c>
      <c r="AH31" s="145"/>
      <c r="AI31" s="67">
        <f>+EDATE(AP31,-1)+1</f>
        <v>46020</v>
      </c>
      <c r="AJ31" s="67"/>
      <c r="AK31" s="135">
        <f t="shared" si="5"/>
        <v>0</v>
      </c>
      <c r="AL31" s="134">
        <f>+$I31*지급비율!AB20</f>
        <v>0</v>
      </c>
      <c r="AM31" s="134"/>
      <c r="AN31" s="134">
        <f t="shared" si="6"/>
        <v>0</v>
      </c>
      <c r="AO31" s="145"/>
      <c r="AP31" s="67">
        <f>+EDATE(AW31,-1)</f>
        <v>46050</v>
      </c>
      <c r="AQ31" s="67"/>
      <c r="AR31" s="135">
        <f>+IFERROR(AS31/$I31,"-")</f>
        <v>0</v>
      </c>
      <c r="AS31" s="134">
        <f>+$I31*지급비율!AI20</f>
        <v>0</v>
      </c>
      <c r="AT31" s="134"/>
      <c r="AU31" s="134">
        <f t="shared" si="7"/>
        <v>0</v>
      </c>
      <c r="AV31" s="145"/>
      <c r="AW31" s="67">
        <f>+EDATE(BD31,-1)</f>
        <v>46081</v>
      </c>
      <c r="AX31" s="67"/>
      <c r="AY31" s="135">
        <f>+IFERROR(AZ31/$I31,"-")</f>
        <v>0</v>
      </c>
      <c r="AZ31" s="134">
        <f>+$I31*지급비율!AP20</f>
        <v>0</v>
      </c>
      <c r="BA31" s="134"/>
      <c r="BB31" s="134">
        <f t="shared" si="8"/>
        <v>0</v>
      </c>
      <c r="BC31" s="145"/>
      <c r="BD31" s="67">
        <f>+EDATE(BK31,-1)</f>
        <v>46111</v>
      </c>
      <c r="BE31" s="67"/>
      <c r="BF31" s="135">
        <f>+IFERROR(BG31/$I31,"-")</f>
        <v>0.4</v>
      </c>
      <c r="BG31" s="134">
        <f>+$I31*지급비율!AW20</f>
        <v>147215860</v>
      </c>
      <c r="BH31" s="134"/>
      <c r="BI31" s="134">
        <f t="shared" si="9"/>
        <v>147215860</v>
      </c>
      <c r="BJ31" s="145"/>
      <c r="BK31" s="67">
        <v>46142</v>
      </c>
      <c r="BL31" s="67"/>
      <c r="BM31" s="135">
        <f t="shared" si="10"/>
        <v>0.1</v>
      </c>
      <c r="BN31" s="134">
        <f>+$I31*지급비율!BD20</f>
        <v>36803965</v>
      </c>
      <c r="BO31" s="134"/>
      <c r="BP31" s="134">
        <f t="shared" si="11"/>
        <v>36803965</v>
      </c>
      <c r="BQ31" s="145"/>
      <c r="BR31" s="73"/>
      <c r="BS31" s="74" t="b">
        <f>+Q31+X31+AE31+AS31+AZ31+BG31+BN31=I31</f>
        <v>1</v>
      </c>
      <c r="BT31" s="74" t="b">
        <f>+R31+Y31+AF31+AT31+BA31+BH31+BO31=K31</f>
        <v>1</v>
      </c>
      <c r="BU31" s="74"/>
      <c r="BV31" s="54"/>
      <c r="BW31" s="54"/>
      <c r="BX31" s="54"/>
      <c r="BY31" s="54"/>
      <c r="BZ31" s="54"/>
      <c r="CA31" s="54"/>
      <c r="CB31" s="54"/>
      <c r="CC31" s="54"/>
      <c r="CD31" s="58"/>
      <c r="CE31" s="58"/>
    </row>
    <row r="32" spans="1:83" ht="16.5" customHeight="1">
      <c r="A32" s="62"/>
      <c r="B32" s="1322"/>
      <c r="C32" s="1580"/>
      <c r="D32" s="1344"/>
      <c r="E32" s="1324"/>
      <c r="F32" s="75" t="s">
        <v>389</v>
      </c>
      <c r="G32" s="76">
        <f>+지급비율!F21*$D$31/1000</f>
        <v>91249500</v>
      </c>
      <c r="H32" s="76">
        <f>+G32*10%</f>
        <v>9124950</v>
      </c>
      <c r="I32" s="76">
        <f>SUM(G32:H32)</f>
        <v>100374450</v>
      </c>
      <c r="J32" s="75">
        <f t="shared" si="2"/>
        <v>0</v>
      </c>
      <c r="K32" s="80">
        <f>+IFERROR(R32+Y32+AF32+AM32+AT32+BA32+BH32+BO32,"-")</f>
        <v>0</v>
      </c>
      <c r="L32" s="80">
        <f>+I32-K32</f>
        <v>100374450</v>
      </c>
      <c r="M32" s="1332"/>
      <c r="N32" s="152">
        <v>45935</v>
      </c>
      <c r="O32" s="152"/>
      <c r="P32" s="117">
        <f>+IFERROR(Q32/$I32,"-")</f>
        <v>0.2</v>
      </c>
      <c r="Q32" s="289">
        <f>+$I32*지급비율!G21</f>
        <v>20074890</v>
      </c>
      <c r="R32" s="289"/>
      <c r="S32" s="289">
        <f t="shared" si="0"/>
        <v>20074890</v>
      </c>
      <c r="T32" s="118"/>
      <c r="U32" s="78">
        <v>45991</v>
      </c>
      <c r="V32" s="78"/>
      <c r="W32" s="79">
        <f>+IFERROR(X32/$I32,"-")</f>
        <v>0.2</v>
      </c>
      <c r="X32" s="70">
        <f>+$I32*지급비율!N21</f>
        <v>20074890</v>
      </c>
      <c r="Y32" s="70"/>
      <c r="Z32" s="70">
        <f t="shared" si="3"/>
        <v>20074890</v>
      </c>
      <c r="AA32" s="81"/>
      <c r="AB32" s="78">
        <v>45991</v>
      </c>
      <c r="AC32" s="78"/>
      <c r="AD32" s="79">
        <f>+IFERROR(AE32/$I32,"-")</f>
        <v>0.5</v>
      </c>
      <c r="AE32" s="99">
        <f>+$I32*지급비율!U21</f>
        <v>50187225</v>
      </c>
      <c r="AF32" s="70"/>
      <c r="AG32" s="70">
        <f t="shared" si="4"/>
        <v>50187225</v>
      </c>
      <c r="AH32" s="81"/>
      <c r="AI32" s="78"/>
      <c r="AJ32" s="72"/>
      <c r="AK32" s="79">
        <f t="shared" si="5"/>
        <v>0</v>
      </c>
      <c r="AL32" s="99">
        <f>+$I32*지급비율!AB21</f>
        <v>0</v>
      </c>
      <c r="AM32" s="70"/>
      <c r="AN32" s="70">
        <f t="shared" si="6"/>
        <v>0</v>
      </c>
      <c r="AO32" s="81"/>
      <c r="AP32" s="78"/>
      <c r="AQ32" s="72"/>
      <c r="AR32" s="79"/>
      <c r="AS32" s="99">
        <f>+$I32*지급비율!AI21</f>
        <v>0</v>
      </c>
      <c r="AT32" s="70"/>
      <c r="AU32" s="70">
        <f t="shared" si="7"/>
        <v>0</v>
      </c>
      <c r="AV32" s="81"/>
      <c r="AW32" s="78"/>
      <c r="AX32" s="72"/>
      <c r="AY32" s="79"/>
      <c r="AZ32" s="99">
        <f>+$I32*지급비율!AP21</f>
        <v>0</v>
      </c>
      <c r="BA32" s="70"/>
      <c r="BB32" s="70">
        <f t="shared" si="8"/>
        <v>0</v>
      </c>
      <c r="BC32" s="81"/>
      <c r="BD32" s="78"/>
      <c r="BE32" s="72"/>
      <c r="BF32" s="79"/>
      <c r="BG32" s="99">
        <f>+$I32*지급비율!AW21</f>
        <v>0</v>
      </c>
      <c r="BH32" s="70"/>
      <c r="BI32" s="70">
        <f t="shared" si="9"/>
        <v>0</v>
      </c>
      <c r="BJ32" s="81"/>
      <c r="BK32" s="138">
        <v>46142</v>
      </c>
      <c r="BL32" s="72"/>
      <c r="BM32" s="79">
        <f t="shared" si="10"/>
        <v>0.1</v>
      </c>
      <c r="BN32" s="99">
        <f>+$I32*지급비율!BD21</f>
        <v>10037445</v>
      </c>
      <c r="BO32" s="70"/>
      <c r="BP32" s="70">
        <f t="shared" si="11"/>
        <v>10037445</v>
      </c>
      <c r="BQ32" s="81"/>
      <c r="BR32" s="73"/>
      <c r="BS32" s="74" t="b">
        <f>+Q32+X32+AE32+AS32+AZ32+BG32+BN32=I32</f>
        <v>1</v>
      </c>
      <c r="BT32" s="74" t="b">
        <f>+R32+Y32+AF32+AT32+BA32+BH32+BO32=K32</f>
        <v>1</v>
      </c>
      <c r="BU32" s="74" t="b">
        <f>+BG32+BG33+AZ32+AZ33+AS32+AS33+AE32+AE33+X32+X33+Q32+Q33+BN32+BN33=([5]지급비율!$F$21+[5]지급비율!$F$22)*1.1*D31/1000</f>
        <v>1</v>
      </c>
      <c r="BV32" s="54"/>
      <c r="BW32" s="54"/>
      <c r="BX32" s="54"/>
      <c r="BY32" s="54"/>
      <c r="BZ32" s="54"/>
      <c r="CA32" s="54"/>
      <c r="CB32" s="54"/>
      <c r="CC32" s="54"/>
      <c r="CD32" s="58"/>
      <c r="CE32" s="58"/>
    </row>
    <row r="33" spans="1:83" ht="16.5" customHeight="1">
      <c r="A33" s="62"/>
      <c r="B33" s="1322"/>
      <c r="C33" s="1580"/>
      <c r="D33" s="1344"/>
      <c r="E33" s="1324"/>
      <c r="F33" s="75" t="s">
        <v>390</v>
      </c>
      <c r="G33" s="76">
        <f>+지급비율!F22*$D$31/1000</f>
        <v>60833000.000000007</v>
      </c>
      <c r="H33" s="76">
        <f>+G33*10%</f>
        <v>6083300.0000000009</v>
      </c>
      <c r="I33" s="76">
        <f>SUM(G33:H33)</f>
        <v>66916300.000000007</v>
      </c>
      <c r="J33" s="75">
        <f t="shared" si="2"/>
        <v>0</v>
      </c>
      <c r="K33" s="80">
        <f>+IFERROR(R33+Y33+AF33+AM33+AT33+BA33+BH33+BO33,"-")</f>
        <v>0</v>
      </c>
      <c r="L33" s="80">
        <f>+I33-K33</f>
        <v>66916300.000000007</v>
      </c>
      <c r="M33" s="1332"/>
      <c r="N33" s="152">
        <v>45935</v>
      </c>
      <c r="O33" s="152"/>
      <c r="P33" s="117">
        <f>+IFERROR(Q33/$I33,"-")</f>
        <v>0.2</v>
      </c>
      <c r="Q33" s="289">
        <f>+$I33*지급비율!G22</f>
        <v>13383260.000000002</v>
      </c>
      <c r="R33" s="289"/>
      <c r="S33" s="289">
        <f t="shared" si="0"/>
        <v>13383260.000000002</v>
      </c>
      <c r="T33" s="118"/>
      <c r="U33" s="78">
        <v>45991</v>
      </c>
      <c r="V33" s="78"/>
      <c r="W33" s="79">
        <f>+IFERROR(X33/$I33,"-")</f>
        <v>0.2</v>
      </c>
      <c r="X33" s="70">
        <f>+$I33*지급비율!N22</f>
        <v>13383260.000000002</v>
      </c>
      <c r="Y33" s="70"/>
      <c r="Z33" s="70">
        <f t="shared" si="3"/>
        <v>13383260.000000002</v>
      </c>
      <c r="AA33" s="81"/>
      <c r="AB33" s="78">
        <v>45991</v>
      </c>
      <c r="AC33" s="78"/>
      <c r="AD33" s="79">
        <f>+IFERROR(AE33/$I33,"-")</f>
        <v>0.5</v>
      </c>
      <c r="AE33" s="99">
        <f>+$I33*지급비율!U22</f>
        <v>33458150.000000004</v>
      </c>
      <c r="AF33" s="70"/>
      <c r="AG33" s="70">
        <f t="shared" si="4"/>
        <v>33458150.000000004</v>
      </c>
      <c r="AH33" s="81"/>
      <c r="AI33" s="72"/>
      <c r="AJ33" s="72"/>
      <c r="AK33" s="79">
        <f t="shared" si="5"/>
        <v>0</v>
      </c>
      <c r="AL33" s="99">
        <f>+$I33*지급비율!AB22</f>
        <v>0</v>
      </c>
      <c r="AM33" s="70"/>
      <c r="AN33" s="70">
        <f t="shared" si="6"/>
        <v>0</v>
      </c>
      <c r="AO33" s="81"/>
      <c r="AP33" s="72"/>
      <c r="AQ33" s="72"/>
      <c r="AR33" s="79"/>
      <c r="AS33" s="99">
        <f>+$I33*지급비율!AI22</f>
        <v>0</v>
      </c>
      <c r="AT33" s="70"/>
      <c r="AU33" s="70">
        <f t="shared" si="7"/>
        <v>0</v>
      </c>
      <c r="AV33" s="81"/>
      <c r="AW33" s="72"/>
      <c r="AX33" s="72"/>
      <c r="AY33" s="79"/>
      <c r="AZ33" s="99">
        <f>+$I33*지급비율!AP22</f>
        <v>0</v>
      </c>
      <c r="BA33" s="70"/>
      <c r="BB33" s="70">
        <f t="shared" si="8"/>
        <v>0</v>
      </c>
      <c r="BC33" s="81"/>
      <c r="BD33" s="72"/>
      <c r="BE33" s="72"/>
      <c r="BF33" s="79"/>
      <c r="BG33" s="99">
        <f>+$I33*지급비율!AW22</f>
        <v>0</v>
      </c>
      <c r="BH33" s="70"/>
      <c r="BI33" s="70">
        <f t="shared" si="9"/>
        <v>0</v>
      </c>
      <c r="BJ33" s="81"/>
      <c r="BK33" s="72">
        <v>46142</v>
      </c>
      <c r="BL33" s="72"/>
      <c r="BM33" s="79">
        <f t="shared" si="10"/>
        <v>0.1</v>
      </c>
      <c r="BN33" s="99">
        <f>+$I33*지급비율!BD22</f>
        <v>6691630.0000000009</v>
      </c>
      <c r="BO33" s="70"/>
      <c r="BP33" s="70">
        <f t="shared" si="11"/>
        <v>6691630.0000000009</v>
      </c>
      <c r="BQ33" s="81"/>
      <c r="BR33" s="73"/>
      <c r="BS33" s="74" t="b">
        <f>+Q33+X33+AE33+AS33+AZ33+BG33+BN33=I33</f>
        <v>1</v>
      </c>
      <c r="BT33" s="74" t="b">
        <f>+R33+Y33+AF33+AT33+BA33+BH33+BO33=K33</f>
        <v>1</v>
      </c>
      <c r="BU33" s="74"/>
      <c r="BV33" s="54"/>
      <c r="BW33" s="54"/>
      <c r="BX33" s="54"/>
      <c r="BY33" s="54"/>
      <c r="BZ33" s="54"/>
      <c r="CA33" s="54"/>
      <c r="CB33" s="54"/>
      <c r="CC33" s="54"/>
      <c r="CD33" s="58"/>
      <c r="CE33" s="58"/>
    </row>
    <row r="34" spans="1:83" ht="16.5" customHeight="1">
      <c r="A34" s="62"/>
      <c r="B34" s="1322"/>
      <c r="C34" s="1580"/>
      <c r="D34" s="1344"/>
      <c r="E34" s="1324"/>
      <c r="F34" s="101" t="s">
        <v>391</v>
      </c>
      <c r="G34" s="102">
        <f>+지급비율!F23*$D$31/1000</f>
        <v>60833000.000000007</v>
      </c>
      <c r="H34" s="102">
        <f>+G34*0.1</f>
        <v>6083300.0000000009</v>
      </c>
      <c r="I34" s="102">
        <f>SUM(G34:H34)</f>
        <v>66916300.000000007</v>
      </c>
      <c r="J34" s="101">
        <f t="shared" si="2"/>
        <v>0</v>
      </c>
      <c r="K34" s="106">
        <f>+IFERROR(R34+Y34+AF34+AM34+AT34+BA34+BH34+BO34,"-")</f>
        <v>0</v>
      </c>
      <c r="L34" s="106">
        <f>+I34-K34</f>
        <v>66916300.000000007</v>
      </c>
      <c r="M34" s="1333"/>
      <c r="N34" s="430"/>
      <c r="O34" s="431"/>
      <c r="P34" s="432"/>
      <c r="Q34" s="433">
        <f>+$I34*지급비율!G23</f>
        <v>0</v>
      </c>
      <c r="R34" s="433"/>
      <c r="S34" s="433">
        <f t="shared" si="0"/>
        <v>0</v>
      </c>
      <c r="T34" s="431"/>
      <c r="U34" s="85"/>
      <c r="V34" s="101"/>
      <c r="W34" s="105"/>
      <c r="X34" s="70">
        <f>+$I34*지급비율!N23</f>
        <v>0</v>
      </c>
      <c r="Y34" s="106"/>
      <c r="Z34" s="106">
        <f t="shared" si="3"/>
        <v>0</v>
      </c>
      <c r="AA34" s="101"/>
      <c r="AB34" s="85"/>
      <c r="AC34" s="101"/>
      <c r="AD34" s="105"/>
      <c r="AE34" s="99">
        <f>+$I34*지급비율!U23</f>
        <v>0</v>
      </c>
      <c r="AF34" s="106"/>
      <c r="AG34" s="106">
        <f t="shared" si="4"/>
        <v>0</v>
      </c>
      <c r="AH34" s="101"/>
      <c r="AI34" s="85"/>
      <c r="AJ34" s="101"/>
      <c r="AK34" s="105">
        <f t="shared" si="5"/>
        <v>0</v>
      </c>
      <c r="AL34" s="99">
        <f>+$I34*지급비율!AB23</f>
        <v>0</v>
      </c>
      <c r="AM34" s="106"/>
      <c r="AN34" s="106">
        <f t="shared" si="6"/>
        <v>0</v>
      </c>
      <c r="AO34" s="101"/>
      <c r="AP34" s="85"/>
      <c r="AQ34" s="101"/>
      <c r="AR34" s="105"/>
      <c r="AS34" s="99">
        <f>+$I34*지급비율!AI23</f>
        <v>0</v>
      </c>
      <c r="AT34" s="106"/>
      <c r="AU34" s="106">
        <f t="shared" si="7"/>
        <v>0</v>
      </c>
      <c r="AV34" s="101"/>
      <c r="AW34" s="85"/>
      <c r="AX34" s="101"/>
      <c r="AY34" s="105"/>
      <c r="AZ34" s="99">
        <f>+$I34*지급비율!AP23</f>
        <v>0</v>
      </c>
      <c r="BA34" s="106"/>
      <c r="BB34" s="106">
        <f t="shared" si="8"/>
        <v>0</v>
      </c>
      <c r="BC34" s="101"/>
      <c r="BD34" s="85"/>
      <c r="BE34" s="101"/>
      <c r="BF34" s="105"/>
      <c r="BG34" s="99">
        <f>+$I34*지급비율!AW23</f>
        <v>0</v>
      </c>
      <c r="BH34" s="106"/>
      <c r="BI34" s="106">
        <f t="shared" si="9"/>
        <v>0</v>
      </c>
      <c r="BJ34" s="101"/>
      <c r="BK34" s="104">
        <v>46142</v>
      </c>
      <c r="BL34" s="101"/>
      <c r="BM34" s="105">
        <f t="shared" si="10"/>
        <v>1</v>
      </c>
      <c r="BN34" s="99">
        <f>+$I34*지급비율!BD23</f>
        <v>66916300.000000007</v>
      </c>
      <c r="BO34" s="106"/>
      <c r="BP34" s="106">
        <f t="shared" si="11"/>
        <v>66916300.000000007</v>
      </c>
      <c r="BQ34" s="101"/>
      <c r="BR34" s="88"/>
      <c r="BS34" s="89" t="b">
        <f>+Q34+X34+AE34+AS34+AZ34+BG34+BN34=I34</f>
        <v>1</v>
      </c>
      <c r="BT34" s="90" t="b">
        <f>+R34+Y34+AF34+AT34+BA34+BH34+BO34=K34</f>
        <v>1</v>
      </c>
      <c r="BU34" s="90"/>
      <c r="BV34" s="54"/>
      <c r="BW34" s="54"/>
      <c r="BX34" s="54"/>
      <c r="BY34" s="54"/>
      <c r="BZ34" s="54"/>
      <c r="CA34" s="54"/>
      <c r="CB34" s="54"/>
      <c r="CC34" s="54"/>
      <c r="CD34" s="58"/>
      <c r="CE34" s="58"/>
    </row>
    <row r="35" spans="1:83" ht="16.5" customHeight="1">
      <c r="A35" s="62"/>
      <c r="B35" s="1322"/>
      <c r="C35" s="1580"/>
      <c r="D35" s="1345"/>
      <c r="E35" s="1324"/>
      <c r="F35" s="91" t="s">
        <v>392</v>
      </c>
      <c r="G35" s="92">
        <f>SUM(G31:G34)</f>
        <v>547497000</v>
      </c>
      <c r="H35" s="92">
        <f>SUM(H31:H34)</f>
        <v>54749700</v>
      </c>
      <c r="I35" s="92">
        <f>SUM(I31:I34)</f>
        <v>602246700</v>
      </c>
      <c r="J35" s="91">
        <f t="shared" si="2"/>
        <v>0</v>
      </c>
      <c r="K35" s="92">
        <f>SUM(K31:K34)</f>
        <v>0</v>
      </c>
      <c r="L35" s="92">
        <f>SUM(L31:L34)</f>
        <v>602246700</v>
      </c>
      <c r="M35" s="419">
        <f>+Q32+Q33</f>
        <v>33458150</v>
      </c>
      <c r="N35" s="434"/>
      <c r="O35" s="435"/>
      <c r="P35" s="436">
        <f>+IFERROR(Q35/$I35,"-")</f>
        <v>5.5555555555555552E-2</v>
      </c>
      <c r="Q35" s="419">
        <f>SUM(Q31:Q34)</f>
        <v>33458150</v>
      </c>
      <c r="R35" s="419">
        <f>SUM(R31:R34)</f>
        <v>0</v>
      </c>
      <c r="S35" s="419">
        <f t="shared" si="0"/>
        <v>33458150</v>
      </c>
      <c r="T35" s="435"/>
      <c r="U35" s="93"/>
      <c r="V35" s="91"/>
      <c r="W35" s="94">
        <f>+IFERROR(X35/$I35,"-")</f>
        <v>5.5555555555555552E-2</v>
      </c>
      <c r="X35" s="92">
        <f>SUM(X31:X34)</f>
        <v>33458150</v>
      </c>
      <c r="Y35" s="92">
        <f>SUM(Y31:Y34)</f>
        <v>0</v>
      </c>
      <c r="Z35" s="92">
        <f t="shared" si="3"/>
        <v>33458150</v>
      </c>
      <c r="AA35" s="91"/>
      <c r="AB35" s="93"/>
      <c r="AC35" s="91"/>
      <c r="AD35" s="94">
        <f>+IFERROR(AE35/$I35,"-")</f>
        <v>0.44444444444444442</v>
      </c>
      <c r="AE35" s="92">
        <f>SUM(AE31:AE34)</f>
        <v>267665200</v>
      </c>
      <c r="AF35" s="92">
        <f>SUM(AF31:AF34)</f>
        <v>0</v>
      </c>
      <c r="AG35" s="92">
        <f t="shared" si="4"/>
        <v>267665200</v>
      </c>
      <c r="AH35" s="91"/>
      <c r="AI35" s="93"/>
      <c r="AJ35" s="91"/>
      <c r="AK35" s="94">
        <f t="shared" si="5"/>
        <v>0</v>
      </c>
      <c r="AL35" s="92">
        <f>SUM(AL31:AL34)</f>
        <v>0</v>
      </c>
      <c r="AM35" s="92">
        <f>SUM(AM31:AM34)</f>
        <v>0</v>
      </c>
      <c r="AN35" s="92">
        <f t="shared" si="6"/>
        <v>0</v>
      </c>
      <c r="AO35" s="91"/>
      <c r="AP35" s="93"/>
      <c r="AQ35" s="91"/>
      <c r="AR35" s="94">
        <f>+IFERROR(AS35/$I35,"-")</f>
        <v>0</v>
      </c>
      <c r="AS35" s="92">
        <f>SUM(AS31:AS34)</f>
        <v>0</v>
      </c>
      <c r="AT35" s="92">
        <f>SUM(AT31:AT34)</f>
        <v>0</v>
      </c>
      <c r="AU35" s="92">
        <f t="shared" si="7"/>
        <v>0</v>
      </c>
      <c r="AV35" s="91"/>
      <c r="AW35" s="93"/>
      <c r="AX35" s="91"/>
      <c r="AY35" s="94">
        <f>+IFERROR(AZ35/$I35,"-")</f>
        <v>0</v>
      </c>
      <c r="AZ35" s="92">
        <f>SUM(AZ31:AZ34)</f>
        <v>0</v>
      </c>
      <c r="BA35" s="92">
        <f>SUM(BA31:BA34)</f>
        <v>0</v>
      </c>
      <c r="BB35" s="92">
        <f t="shared" si="8"/>
        <v>0</v>
      </c>
      <c r="BC35" s="91"/>
      <c r="BD35" s="93"/>
      <c r="BE35" s="91"/>
      <c r="BF35" s="94">
        <f>+IFERROR(BG35/$I35,"-")</f>
        <v>0.24444444444444444</v>
      </c>
      <c r="BG35" s="92">
        <f>SUM(BG31:BG34)</f>
        <v>147215860</v>
      </c>
      <c r="BH35" s="92">
        <f>SUM(BH31:BH34)</f>
        <v>0</v>
      </c>
      <c r="BI35" s="92">
        <f t="shared" si="9"/>
        <v>147215860</v>
      </c>
      <c r="BJ35" s="91"/>
      <c r="BK35" s="93"/>
      <c r="BL35" s="91"/>
      <c r="BM35" s="94">
        <f t="shared" si="10"/>
        <v>0.2</v>
      </c>
      <c r="BN35" s="92">
        <f>SUM(BN31:BN34)</f>
        <v>120449340</v>
      </c>
      <c r="BO35" s="92">
        <f>SUM(BO31:BO34)</f>
        <v>0</v>
      </c>
      <c r="BP35" s="92">
        <f t="shared" si="11"/>
        <v>120449340</v>
      </c>
      <c r="BQ35" s="91"/>
      <c r="BR35" s="88"/>
      <c r="BS35" s="96"/>
      <c r="BT35" s="96"/>
      <c r="BU35" s="139"/>
      <c r="BV35" s="54"/>
      <c r="BW35" s="54"/>
      <c r="BX35" s="54"/>
      <c r="BY35" s="54"/>
      <c r="BZ35" s="54"/>
      <c r="CA35" s="54"/>
      <c r="CB35" s="54"/>
      <c r="CC35" s="54"/>
      <c r="CD35" s="58"/>
      <c r="CE35" s="58"/>
    </row>
    <row r="36" spans="1:83" ht="16.5" customHeight="1">
      <c r="A36" s="62"/>
      <c r="B36" s="1322">
        <f t="shared" ref="B36" si="13">+B31+1</f>
        <v>6</v>
      </c>
      <c r="C36" s="1580" t="s">
        <v>925</v>
      </c>
      <c r="D36" s="1343">
        <v>605.15499999999997</v>
      </c>
      <c r="E36" s="1324" t="s">
        <v>888</v>
      </c>
      <c r="F36" s="63" t="s">
        <v>388</v>
      </c>
      <c r="G36" s="64">
        <f>+$G$2*D36/1000</f>
        <v>665670500</v>
      </c>
      <c r="H36" s="64">
        <f>+G36*10%</f>
        <v>66567050</v>
      </c>
      <c r="I36" s="64">
        <f>SUM(G36:H36)</f>
        <v>732237550</v>
      </c>
      <c r="J36" s="63">
        <f t="shared" si="2"/>
        <v>0</v>
      </c>
      <c r="K36" s="134">
        <f>+IFERROR(R36+Y36+AF36+AM36+AT36+BA36+BH36+BO36,"-")</f>
        <v>0</v>
      </c>
      <c r="L36" s="134">
        <f>+I36-K36</f>
        <v>732237550</v>
      </c>
      <c r="M36" s="1331" t="s">
        <v>407</v>
      </c>
      <c r="N36" s="437"/>
      <c r="O36" s="437"/>
      <c r="P36" s="438"/>
      <c r="Q36" s="439">
        <f>+$I36*지급비율!G20</f>
        <v>0</v>
      </c>
      <c r="R36" s="439"/>
      <c r="S36" s="439">
        <f t="shared" si="0"/>
        <v>0</v>
      </c>
      <c r="T36" s="440"/>
      <c r="U36" s="67"/>
      <c r="V36" s="67"/>
      <c r="W36" s="135"/>
      <c r="X36" s="134">
        <f>+$I36*지급비율!N20</f>
        <v>0</v>
      </c>
      <c r="Y36" s="134"/>
      <c r="Z36" s="134">
        <f t="shared" si="3"/>
        <v>0</v>
      </c>
      <c r="AA36" s="145"/>
      <c r="AB36" s="67">
        <f>+EDATE(AI36,-1)</f>
        <v>45990</v>
      </c>
      <c r="AC36" s="67"/>
      <c r="AD36" s="135">
        <f>+IFERROR(AE36/$I36,"-")</f>
        <v>0.5</v>
      </c>
      <c r="AE36" s="134">
        <f>+$I36*지급비율!U20</f>
        <v>366118775</v>
      </c>
      <c r="AF36" s="134"/>
      <c r="AG36" s="134">
        <f t="shared" si="4"/>
        <v>366118775</v>
      </c>
      <c r="AH36" s="145"/>
      <c r="AI36" s="67">
        <f>+EDATE(AP36,-1)+1</f>
        <v>46020</v>
      </c>
      <c r="AJ36" s="67"/>
      <c r="AK36" s="135">
        <f t="shared" si="5"/>
        <v>0</v>
      </c>
      <c r="AL36" s="134">
        <f>+$I36*지급비율!AB20</f>
        <v>0</v>
      </c>
      <c r="AM36" s="134"/>
      <c r="AN36" s="134">
        <f t="shared" si="6"/>
        <v>0</v>
      </c>
      <c r="AO36" s="145"/>
      <c r="AP36" s="67">
        <f>+EDATE(AW36,-1)</f>
        <v>46050</v>
      </c>
      <c r="AQ36" s="67"/>
      <c r="AR36" s="135">
        <f>+IFERROR(AS36/$I36,"-")</f>
        <v>0</v>
      </c>
      <c r="AS36" s="134">
        <f>+$I36*지급비율!AI20</f>
        <v>0</v>
      </c>
      <c r="AT36" s="134"/>
      <c r="AU36" s="134">
        <f t="shared" si="7"/>
        <v>0</v>
      </c>
      <c r="AV36" s="145"/>
      <c r="AW36" s="67">
        <f>+EDATE(BD36,-1)</f>
        <v>46081</v>
      </c>
      <c r="AX36" s="67"/>
      <c r="AY36" s="135">
        <f>+IFERROR(AZ36/$I36,"-")</f>
        <v>0</v>
      </c>
      <c r="AZ36" s="134">
        <f>+$I36*지급비율!AP20</f>
        <v>0</v>
      </c>
      <c r="BA36" s="134"/>
      <c r="BB36" s="134">
        <f t="shared" si="8"/>
        <v>0</v>
      </c>
      <c r="BC36" s="145"/>
      <c r="BD36" s="67">
        <f>+EDATE(BK36,-1)</f>
        <v>46111</v>
      </c>
      <c r="BE36" s="67"/>
      <c r="BF36" s="135">
        <f>+IFERROR(BG36/$I36,"-")</f>
        <v>0.4</v>
      </c>
      <c r="BG36" s="134">
        <f>+$I36*지급비율!AW20</f>
        <v>292895020</v>
      </c>
      <c r="BH36" s="134"/>
      <c r="BI36" s="134">
        <f t="shared" si="9"/>
        <v>292895020</v>
      </c>
      <c r="BJ36" s="145"/>
      <c r="BK36" s="67">
        <v>46142</v>
      </c>
      <c r="BL36" s="67"/>
      <c r="BM36" s="135">
        <f t="shared" si="10"/>
        <v>0.1</v>
      </c>
      <c r="BN36" s="134">
        <f>+$I36*지급비율!BD20</f>
        <v>73223755</v>
      </c>
      <c r="BO36" s="134"/>
      <c r="BP36" s="134">
        <f t="shared" si="11"/>
        <v>73223755</v>
      </c>
      <c r="BQ36" s="145"/>
      <c r="BR36" s="73"/>
      <c r="BS36" s="74" t="b">
        <f>+Q36+X36+AE36+AS36+AZ36+BG36+BN36=I36</f>
        <v>1</v>
      </c>
      <c r="BT36" s="74" t="b">
        <f>+R36+Y36+AF36+AT36+BA36+BH36+BO36=K36</f>
        <v>1</v>
      </c>
      <c r="BU36" s="74"/>
      <c r="BV36" s="54"/>
      <c r="BW36" s="54"/>
      <c r="BX36" s="54"/>
      <c r="BY36" s="54"/>
      <c r="BZ36" s="54"/>
      <c r="CA36" s="54"/>
      <c r="CB36" s="54"/>
      <c r="CC36" s="54"/>
      <c r="CD36" s="58"/>
      <c r="CE36" s="58"/>
    </row>
    <row r="37" spans="1:83" ht="16.5" customHeight="1">
      <c r="A37" s="62"/>
      <c r="B37" s="1322"/>
      <c r="C37" s="1580"/>
      <c r="D37" s="1344"/>
      <c r="E37" s="1324"/>
      <c r="F37" s="75" t="s">
        <v>389</v>
      </c>
      <c r="G37" s="76">
        <f>+지급비율!F21*D36/1000</f>
        <v>181546500</v>
      </c>
      <c r="H37" s="76">
        <f>+G37*10%</f>
        <v>18154650</v>
      </c>
      <c r="I37" s="76">
        <f>SUM(G37:H37)</f>
        <v>199701150</v>
      </c>
      <c r="J37" s="75">
        <f t="shared" si="2"/>
        <v>0</v>
      </c>
      <c r="K37" s="80">
        <f>+IFERROR(R37+Y37+AF37+AM37+AT37+BA37+BH37+BO37,"-")</f>
        <v>0</v>
      </c>
      <c r="L37" s="80">
        <f>+I37-K37</f>
        <v>199701150</v>
      </c>
      <c r="M37" s="1332"/>
      <c r="N37" s="152">
        <v>45935</v>
      </c>
      <c r="O37" s="152"/>
      <c r="P37" s="117">
        <f>+IFERROR(Q37/$I37,"-")</f>
        <v>0.2</v>
      </c>
      <c r="Q37" s="289">
        <f>+$I37*지급비율!G21</f>
        <v>39940230</v>
      </c>
      <c r="R37" s="289"/>
      <c r="S37" s="289">
        <f t="shared" si="0"/>
        <v>39940230</v>
      </c>
      <c r="T37" s="118"/>
      <c r="U37" s="78">
        <v>45991</v>
      </c>
      <c r="V37" s="78"/>
      <c r="W37" s="79">
        <f>+IFERROR(X37/$I37,"-")</f>
        <v>0.2</v>
      </c>
      <c r="X37" s="70">
        <f>+$I37*지급비율!N21</f>
        <v>39940230</v>
      </c>
      <c r="Y37" s="70"/>
      <c r="Z37" s="70">
        <f t="shared" si="3"/>
        <v>39940230</v>
      </c>
      <c r="AA37" s="81"/>
      <c r="AB37" s="78">
        <v>45991</v>
      </c>
      <c r="AC37" s="78"/>
      <c r="AD37" s="79">
        <f>+IFERROR(AE37/$I37,"-")</f>
        <v>0.5</v>
      </c>
      <c r="AE37" s="99">
        <f>+$I37*지급비율!U21</f>
        <v>99850575</v>
      </c>
      <c r="AF37" s="70"/>
      <c r="AG37" s="70">
        <f t="shared" si="4"/>
        <v>99850575</v>
      </c>
      <c r="AH37" s="81"/>
      <c r="AI37" s="78"/>
      <c r="AJ37" s="72"/>
      <c r="AK37" s="79">
        <f t="shared" si="5"/>
        <v>0</v>
      </c>
      <c r="AL37" s="99">
        <f>+$I37*지급비율!AB21</f>
        <v>0</v>
      </c>
      <c r="AM37" s="70"/>
      <c r="AN37" s="70">
        <f t="shared" si="6"/>
        <v>0</v>
      </c>
      <c r="AO37" s="81"/>
      <c r="AP37" s="78"/>
      <c r="AQ37" s="72"/>
      <c r="AR37" s="79"/>
      <c r="AS37" s="99">
        <f>+$I37*지급비율!AI21</f>
        <v>0</v>
      </c>
      <c r="AT37" s="70"/>
      <c r="AU37" s="70">
        <f t="shared" si="7"/>
        <v>0</v>
      </c>
      <c r="AV37" s="81"/>
      <c r="AW37" s="78"/>
      <c r="AX37" s="72"/>
      <c r="AY37" s="79"/>
      <c r="AZ37" s="99">
        <f>+$I37*지급비율!AP21</f>
        <v>0</v>
      </c>
      <c r="BA37" s="70"/>
      <c r="BB37" s="70">
        <f t="shared" si="8"/>
        <v>0</v>
      </c>
      <c r="BC37" s="81"/>
      <c r="BD37" s="78"/>
      <c r="BE37" s="72"/>
      <c r="BF37" s="79"/>
      <c r="BG37" s="99">
        <f>+$I37*지급비율!AW21</f>
        <v>0</v>
      </c>
      <c r="BH37" s="70"/>
      <c r="BI37" s="70">
        <f t="shared" si="9"/>
        <v>0</v>
      </c>
      <c r="BJ37" s="81"/>
      <c r="BK37" s="138">
        <v>46142</v>
      </c>
      <c r="BL37" s="72"/>
      <c r="BM37" s="79">
        <f t="shared" si="10"/>
        <v>0.1</v>
      </c>
      <c r="BN37" s="99">
        <f>+$I37*지급비율!BD21</f>
        <v>19970115</v>
      </c>
      <c r="BO37" s="70"/>
      <c r="BP37" s="70">
        <f t="shared" si="11"/>
        <v>19970115</v>
      </c>
      <c r="BQ37" s="81"/>
      <c r="BR37" s="73"/>
      <c r="BS37" s="74" t="b">
        <f>+Q37+X37+AE37+AS37+AZ37+BG37+BN37=I37</f>
        <v>1</v>
      </c>
      <c r="BT37" s="74" t="b">
        <f>+R37+Y37+AF37+AT37+BA37+BH37+BO37=K37</f>
        <v>1</v>
      </c>
      <c r="BU37" s="74" t="b">
        <f>+BG37+BG38+AZ37+AZ38+AS37+AS38+AE37+AE38+X37+X38+Q37+Q38+BN37+BN38=([5]지급비율!$F$21+[5]지급비율!$F$22)*1.1*D36/1000</f>
        <v>1</v>
      </c>
      <c r="BV37" s="54"/>
      <c r="BW37" s="54"/>
      <c r="BX37" s="54"/>
      <c r="BY37" s="54"/>
      <c r="BZ37" s="54"/>
      <c r="CA37" s="54"/>
      <c r="CB37" s="54"/>
      <c r="CC37" s="54"/>
      <c r="CD37" s="58"/>
      <c r="CE37" s="58"/>
    </row>
    <row r="38" spans="1:83" ht="16.5" customHeight="1">
      <c r="A38" s="62"/>
      <c r="B38" s="1322"/>
      <c r="C38" s="1580"/>
      <c r="D38" s="1344"/>
      <c r="E38" s="1324"/>
      <c r="F38" s="75" t="s">
        <v>390</v>
      </c>
      <c r="G38" s="76">
        <f>+지급비율!F22*D36/1000</f>
        <v>121031000</v>
      </c>
      <c r="H38" s="76">
        <f>+G38*10%</f>
        <v>12103100</v>
      </c>
      <c r="I38" s="76">
        <f>SUM(G38:H38)</f>
        <v>133134100</v>
      </c>
      <c r="J38" s="75">
        <f t="shared" si="2"/>
        <v>0</v>
      </c>
      <c r="K38" s="80">
        <f>+IFERROR(R38+Y38+AF38+AM38+AT38+BA38+BH38+BO38,"-")</f>
        <v>0</v>
      </c>
      <c r="L38" s="80">
        <f>+I38-K38</f>
        <v>133134100</v>
      </c>
      <c r="M38" s="1332"/>
      <c r="N38" s="152">
        <v>45935</v>
      </c>
      <c r="O38" s="152"/>
      <c r="P38" s="117">
        <f>+IFERROR(Q38/$I38,"-")</f>
        <v>0.2</v>
      </c>
      <c r="Q38" s="289">
        <f>+$I38*지급비율!G22</f>
        <v>26626820</v>
      </c>
      <c r="R38" s="289"/>
      <c r="S38" s="289">
        <f t="shared" si="0"/>
        <v>26626820</v>
      </c>
      <c r="T38" s="118"/>
      <c r="U38" s="78">
        <v>45991</v>
      </c>
      <c r="V38" s="78"/>
      <c r="W38" s="79">
        <f>+IFERROR(X38/$I38,"-")</f>
        <v>0.2</v>
      </c>
      <c r="X38" s="70">
        <f>+$I38*지급비율!N22</f>
        <v>26626820</v>
      </c>
      <c r="Y38" s="70"/>
      <c r="Z38" s="70">
        <f t="shared" si="3"/>
        <v>26626820</v>
      </c>
      <c r="AA38" s="81"/>
      <c r="AB38" s="78">
        <v>45991</v>
      </c>
      <c r="AC38" s="78"/>
      <c r="AD38" s="79">
        <f>+IFERROR(AE38/$I38,"-")</f>
        <v>0.5</v>
      </c>
      <c r="AE38" s="99">
        <f>+$I38*지급비율!U22</f>
        <v>66567050</v>
      </c>
      <c r="AF38" s="70"/>
      <c r="AG38" s="70">
        <f t="shared" si="4"/>
        <v>66567050</v>
      </c>
      <c r="AH38" s="81"/>
      <c r="AI38" s="72"/>
      <c r="AJ38" s="72"/>
      <c r="AK38" s="79">
        <f t="shared" si="5"/>
        <v>0</v>
      </c>
      <c r="AL38" s="99">
        <f>+$I38*지급비율!AB22</f>
        <v>0</v>
      </c>
      <c r="AM38" s="70"/>
      <c r="AN38" s="70">
        <f t="shared" si="6"/>
        <v>0</v>
      </c>
      <c r="AO38" s="81"/>
      <c r="AP38" s="72"/>
      <c r="AQ38" s="72"/>
      <c r="AR38" s="79"/>
      <c r="AS38" s="99">
        <f>+$I38*지급비율!AI22</f>
        <v>0</v>
      </c>
      <c r="AT38" s="70"/>
      <c r="AU38" s="70">
        <f t="shared" si="7"/>
        <v>0</v>
      </c>
      <c r="AV38" s="81"/>
      <c r="AW38" s="72"/>
      <c r="AX38" s="72"/>
      <c r="AY38" s="79"/>
      <c r="AZ38" s="99">
        <f>+$I38*지급비율!AP22</f>
        <v>0</v>
      </c>
      <c r="BA38" s="70"/>
      <c r="BB38" s="70">
        <f t="shared" si="8"/>
        <v>0</v>
      </c>
      <c r="BC38" s="81"/>
      <c r="BD38" s="72"/>
      <c r="BE38" s="72"/>
      <c r="BF38" s="79"/>
      <c r="BG38" s="99">
        <f>+$I38*지급비율!AW22</f>
        <v>0</v>
      </c>
      <c r="BH38" s="70"/>
      <c r="BI38" s="70">
        <f t="shared" si="9"/>
        <v>0</v>
      </c>
      <c r="BJ38" s="81"/>
      <c r="BK38" s="72">
        <v>46142</v>
      </c>
      <c r="BL38" s="72"/>
      <c r="BM38" s="79">
        <f t="shared" si="10"/>
        <v>0.1</v>
      </c>
      <c r="BN38" s="99">
        <f>+$I38*지급비율!BD22</f>
        <v>13313410</v>
      </c>
      <c r="BO38" s="70"/>
      <c r="BP38" s="70">
        <f t="shared" si="11"/>
        <v>13313410</v>
      </c>
      <c r="BQ38" s="81"/>
      <c r="BR38" s="73"/>
      <c r="BS38" s="74" t="b">
        <f>+Q38+X38+AE38+AS38+AZ38+BG38+BN38=I38</f>
        <v>1</v>
      </c>
      <c r="BT38" s="74" t="b">
        <f>+R38+Y38+AF38+AT38+BA38+BH38+BO38=K38</f>
        <v>1</v>
      </c>
      <c r="BU38" s="74"/>
      <c r="BV38" s="54"/>
      <c r="BW38" s="54"/>
      <c r="BX38" s="54"/>
      <c r="BY38" s="54"/>
      <c r="BZ38" s="54"/>
      <c r="CA38" s="54"/>
      <c r="CB38" s="54"/>
      <c r="CC38" s="54"/>
      <c r="CD38" s="58"/>
      <c r="CE38" s="58"/>
    </row>
    <row r="39" spans="1:83" ht="16.5" customHeight="1">
      <c r="A39" s="62"/>
      <c r="B39" s="1322"/>
      <c r="C39" s="1580"/>
      <c r="D39" s="1344"/>
      <c r="E39" s="1324"/>
      <c r="F39" s="101" t="s">
        <v>391</v>
      </c>
      <c r="G39" s="102">
        <f>+지급비율!F23*D36/1000</f>
        <v>121031000</v>
      </c>
      <c r="H39" s="102">
        <f>+G39*0.1</f>
        <v>12103100</v>
      </c>
      <c r="I39" s="102">
        <f>SUM(G39:H39)</f>
        <v>133134100</v>
      </c>
      <c r="J39" s="101">
        <f t="shared" si="2"/>
        <v>0</v>
      </c>
      <c r="K39" s="106">
        <f>+IFERROR(R39+Y39+AF39+AM39+AT39+BA39+BH39+BO39,"-")</f>
        <v>0</v>
      </c>
      <c r="L39" s="106">
        <f>+I39-K39</f>
        <v>133134100</v>
      </c>
      <c r="M39" s="1333"/>
      <c r="N39" s="430"/>
      <c r="O39" s="431"/>
      <c r="P39" s="432"/>
      <c r="Q39" s="433">
        <f>+$I39*지급비율!G23</f>
        <v>0</v>
      </c>
      <c r="R39" s="433"/>
      <c r="S39" s="433">
        <f t="shared" si="0"/>
        <v>0</v>
      </c>
      <c r="T39" s="431"/>
      <c r="U39" s="85"/>
      <c r="V39" s="101"/>
      <c r="W39" s="105"/>
      <c r="X39" s="70">
        <f>+$I39*지급비율!N23</f>
        <v>0</v>
      </c>
      <c r="Y39" s="106"/>
      <c r="Z39" s="106">
        <f t="shared" si="3"/>
        <v>0</v>
      </c>
      <c r="AA39" s="101"/>
      <c r="AB39" s="85"/>
      <c r="AC39" s="101"/>
      <c r="AD39" s="105"/>
      <c r="AE39" s="99">
        <f>+$I39*지급비율!U23</f>
        <v>0</v>
      </c>
      <c r="AF39" s="106"/>
      <c r="AG39" s="106">
        <f t="shared" si="4"/>
        <v>0</v>
      </c>
      <c r="AH39" s="101"/>
      <c r="AI39" s="85"/>
      <c r="AJ39" s="101"/>
      <c r="AK39" s="105">
        <f t="shared" si="5"/>
        <v>0</v>
      </c>
      <c r="AL39" s="99">
        <f>+$I39*지급비율!AB23</f>
        <v>0</v>
      </c>
      <c r="AM39" s="106"/>
      <c r="AN39" s="106">
        <f t="shared" si="6"/>
        <v>0</v>
      </c>
      <c r="AO39" s="101"/>
      <c r="AP39" s="85"/>
      <c r="AQ39" s="101"/>
      <c r="AR39" s="105"/>
      <c r="AS39" s="99">
        <f>+$I39*지급비율!AI23</f>
        <v>0</v>
      </c>
      <c r="AT39" s="106"/>
      <c r="AU39" s="106">
        <f t="shared" si="7"/>
        <v>0</v>
      </c>
      <c r="AV39" s="101"/>
      <c r="AW39" s="85"/>
      <c r="AX39" s="101"/>
      <c r="AY39" s="105"/>
      <c r="AZ39" s="99">
        <f>+$I39*지급비율!AP23</f>
        <v>0</v>
      </c>
      <c r="BA39" s="106"/>
      <c r="BB39" s="106">
        <f t="shared" si="8"/>
        <v>0</v>
      </c>
      <c r="BC39" s="101"/>
      <c r="BD39" s="85"/>
      <c r="BE39" s="101"/>
      <c r="BF39" s="105"/>
      <c r="BG39" s="99">
        <f>+$I39*지급비율!AW23</f>
        <v>0</v>
      </c>
      <c r="BH39" s="106"/>
      <c r="BI39" s="106">
        <f t="shared" si="9"/>
        <v>0</v>
      </c>
      <c r="BJ39" s="101"/>
      <c r="BK39" s="104">
        <v>46142</v>
      </c>
      <c r="BL39" s="101"/>
      <c r="BM39" s="105">
        <f t="shared" si="10"/>
        <v>1</v>
      </c>
      <c r="BN39" s="99">
        <f>+$I39*지급비율!BD23</f>
        <v>133134100</v>
      </c>
      <c r="BO39" s="106"/>
      <c r="BP39" s="106">
        <f t="shared" si="11"/>
        <v>133134100</v>
      </c>
      <c r="BQ39" s="101"/>
      <c r="BR39" s="88"/>
      <c r="BS39" s="89" t="b">
        <f>+Q39+X39+AE39+AS39+AZ39+BG39+BN39=I39</f>
        <v>1</v>
      </c>
      <c r="BT39" s="90" t="b">
        <f>+R39+Y39+AF39+AT39+BA39+BH39+BO39=K39</f>
        <v>1</v>
      </c>
      <c r="BU39" s="90"/>
      <c r="BV39" s="54"/>
      <c r="BW39" s="54"/>
      <c r="BX39" s="54"/>
      <c r="BY39" s="54"/>
      <c r="BZ39" s="54"/>
      <c r="CA39" s="54"/>
      <c r="CB39" s="54"/>
      <c r="CC39" s="54"/>
      <c r="CD39" s="58"/>
      <c r="CE39" s="58"/>
    </row>
    <row r="40" spans="1:83" ht="16.5" customHeight="1">
      <c r="A40" s="62"/>
      <c r="B40" s="1322"/>
      <c r="C40" s="1580"/>
      <c r="D40" s="1345"/>
      <c r="E40" s="1324"/>
      <c r="F40" s="91" t="s">
        <v>392</v>
      </c>
      <c r="G40" s="92">
        <f>SUM(G36:G39)</f>
        <v>1089279000</v>
      </c>
      <c r="H40" s="92">
        <f>SUM(H36:H39)</f>
        <v>108927900</v>
      </c>
      <c r="I40" s="92">
        <f>SUM(I36:I39)</f>
        <v>1198206900</v>
      </c>
      <c r="J40" s="91">
        <f t="shared" si="2"/>
        <v>0</v>
      </c>
      <c r="K40" s="92">
        <f>SUM(K36:K39)</f>
        <v>0</v>
      </c>
      <c r="L40" s="92">
        <f>SUM(L36:L39)</f>
        <v>1198206900</v>
      </c>
      <c r="M40" s="419">
        <f>+Q37+Q38</f>
        <v>66567050</v>
      </c>
      <c r="N40" s="434"/>
      <c r="O40" s="435"/>
      <c r="P40" s="436">
        <f>+IFERROR(Q40/$I40,"-")</f>
        <v>5.5555555555555552E-2</v>
      </c>
      <c r="Q40" s="419">
        <f>SUM(Q36:Q39)</f>
        <v>66567050</v>
      </c>
      <c r="R40" s="419">
        <f>SUM(R36:R39)</f>
        <v>0</v>
      </c>
      <c r="S40" s="419">
        <f t="shared" si="0"/>
        <v>66567050</v>
      </c>
      <c r="T40" s="435"/>
      <c r="U40" s="93"/>
      <c r="V40" s="91"/>
      <c r="W40" s="94">
        <f>+IFERROR(X40/$I40,"-")</f>
        <v>5.5555555555555552E-2</v>
      </c>
      <c r="X40" s="92">
        <f>SUM(X36:X39)</f>
        <v>66567050</v>
      </c>
      <c r="Y40" s="92">
        <f>SUM(Y36:Y39)</f>
        <v>0</v>
      </c>
      <c r="Z40" s="92">
        <f t="shared" si="3"/>
        <v>66567050</v>
      </c>
      <c r="AA40" s="91"/>
      <c r="AB40" s="93"/>
      <c r="AC40" s="91"/>
      <c r="AD40" s="94">
        <f>+IFERROR(AE40/$I40,"-")</f>
        <v>0.44444444444444442</v>
      </c>
      <c r="AE40" s="92">
        <f>SUM(AE36:AE39)</f>
        <v>532536400</v>
      </c>
      <c r="AF40" s="92">
        <f>SUM(AF36:AF39)</f>
        <v>0</v>
      </c>
      <c r="AG40" s="92">
        <f t="shared" si="4"/>
        <v>532536400</v>
      </c>
      <c r="AH40" s="91"/>
      <c r="AI40" s="93"/>
      <c r="AJ40" s="91"/>
      <c r="AK40" s="94">
        <f t="shared" si="5"/>
        <v>0</v>
      </c>
      <c r="AL40" s="92">
        <f>SUM(AL36:AL39)</f>
        <v>0</v>
      </c>
      <c r="AM40" s="92">
        <f>SUM(AM36:AM39)</f>
        <v>0</v>
      </c>
      <c r="AN40" s="92">
        <f t="shared" si="6"/>
        <v>0</v>
      </c>
      <c r="AO40" s="91"/>
      <c r="AP40" s="93"/>
      <c r="AQ40" s="91"/>
      <c r="AR40" s="94">
        <f>+IFERROR(AS40/$I40,"-")</f>
        <v>0</v>
      </c>
      <c r="AS40" s="92">
        <f>SUM(AS36:AS39)</f>
        <v>0</v>
      </c>
      <c r="AT40" s="92">
        <f>SUM(AT36:AT39)</f>
        <v>0</v>
      </c>
      <c r="AU40" s="92">
        <f t="shared" si="7"/>
        <v>0</v>
      </c>
      <c r="AV40" s="91"/>
      <c r="AW40" s="93"/>
      <c r="AX40" s="91"/>
      <c r="AY40" s="94">
        <f>+IFERROR(AZ40/$I40,"-")</f>
        <v>0</v>
      </c>
      <c r="AZ40" s="92">
        <f>SUM(AZ36:AZ39)</f>
        <v>0</v>
      </c>
      <c r="BA40" s="92">
        <f>SUM(BA36:BA39)</f>
        <v>0</v>
      </c>
      <c r="BB40" s="92">
        <f t="shared" si="8"/>
        <v>0</v>
      </c>
      <c r="BC40" s="91"/>
      <c r="BD40" s="93"/>
      <c r="BE40" s="91"/>
      <c r="BF40" s="94">
        <f>+IFERROR(BG40/$I40,"-")</f>
        <v>0.24444444444444444</v>
      </c>
      <c r="BG40" s="92">
        <f>SUM(BG36:BG39)</f>
        <v>292895020</v>
      </c>
      <c r="BH40" s="92">
        <f>SUM(BH36:BH39)</f>
        <v>0</v>
      </c>
      <c r="BI40" s="92">
        <f t="shared" si="9"/>
        <v>292895020</v>
      </c>
      <c r="BJ40" s="91"/>
      <c r="BK40" s="93"/>
      <c r="BL40" s="91"/>
      <c r="BM40" s="94">
        <f t="shared" si="10"/>
        <v>0.2</v>
      </c>
      <c r="BN40" s="92">
        <f>SUM(BN36:BN39)</f>
        <v>239641380</v>
      </c>
      <c r="BO40" s="92">
        <f>SUM(BO36:BO39)</f>
        <v>0</v>
      </c>
      <c r="BP40" s="92">
        <f t="shared" si="11"/>
        <v>239641380</v>
      </c>
      <c r="BQ40" s="91"/>
      <c r="BR40" s="88"/>
      <c r="BS40" s="96"/>
      <c r="BT40" s="96"/>
      <c r="BU40" s="139"/>
      <c r="BV40" s="54"/>
      <c r="BW40" s="54"/>
      <c r="BX40" s="54"/>
      <c r="BY40" s="54"/>
      <c r="BZ40" s="54"/>
      <c r="CA40" s="54"/>
      <c r="CB40" s="54"/>
      <c r="CC40" s="54"/>
      <c r="CD40" s="58"/>
      <c r="CE40" s="58"/>
    </row>
    <row r="41" spans="1:83" ht="16.5" customHeight="1">
      <c r="A41" s="62"/>
      <c r="B41" s="1322">
        <f t="shared" ref="B41" si="14">+B36+1</f>
        <v>7</v>
      </c>
      <c r="C41" s="1580" t="s">
        <v>926</v>
      </c>
      <c r="D41" s="1343">
        <v>651.51</v>
      </c>
      <c r="E41" s="1324" t="s">
        <v>888</v>
      </c>
      <c r="F41" s="63" t="s">
        <v>388</v>
      </c>
      <c r="G41" s="64">
        <f>+$G$2*D41/1000</f>
        <v>716661000</v>
      </c>
      <c r="H41" s="64">
        <f>+G41*10%</f>
        <v>71666100</v>
      </c>
      <c r="I41" s="64">
        <f>SUM(G41:H41)</f>
        <v>788327100</v>
      </c>
      <c r="J41" s="63">
        <f t="shared" si="2"/>
        <v>0</v>
      </c>
      <c r="K41" s="134">
        <f>+IFERROR(R41+Y41+AF41+AM41+AT41+BA41+BH41+BO41,"-")</f>
        <v>0</v>
      </c>
      <c r="L41" s="134">
        <f>+I41-K41</f>
        <v>788327100</v>
      </c>
      <c r="M41" s="1331" t="s">
        <v>407</v>
      </c>
      <c r="N41" s="437"/>
      <c r="O41" s="437"/>
      <c r="P41" s="438"/>
      <c r="Q41" s="439">
        <f>+$I41*지급비율!G20</f>
        <v>0</v>
      </c>
      <c r="R41" s="439"/>
      <c r="S41" s="439">
        <f t="shared" si="0"/>
        <v>0</v>
      </c>
      <c r="T41" s="440"/>
      <c r="U41" s="67"/>
      <c r="V41" s="67"/>
      <c r="W41" s="135"/>
      <c r="X41" s="134">
        <f>+$I41*지급비율!N20</f>
        <v>0</v>
      </c>
      <c r="Y41" s="134"/>
      <c r="Z41" s="134">
        <f t="shared" si="3"/>
        <v>0</v>
      </c>
      <c r="AA41" s="145"/>
      <c r="AB41" s="67">
        <f>+EDATE(AI41,-1)</f>
        <v>45990</v>
      </c>
      <c r="AC41" s="67"/>
      <c r="AD41" s="135">
        <f>+IFERROR(AE41/$I41,"-")</f>
        <v>0.5</v>
      </c>
      <c r="AE41" s="134">
        <f>+$I41*지급비율!U20</f>
        <v>394163550</v>
      </c>
      <c r="AF41" s="134"/>
      <c r="AG41" s="134">
        <f t="shared" si="4"/>
        <v>394163550</v>
      </c>
      <c r="AH41" s="145"/>
      <c r="AI41" s="67">
        <f>+EDATE(AP41,-1)+1</f>
        <v>46020</v>
      </c>
      <c r="AJ41" s="67"/>
      <c r="AK41" s="135">
        <f t="shared" si="5"/>
        <v>0</v>
      </c>
      <c r="AL41" s="134">
        <f>+$I41*지급비율!AB20</f>
        <v>0</v>
      </c>
      <c r="AM41" s="134"/>
      <c r="AN41" s="134">
        <f t="shared" si="6"/>
        <v>0</v>
      </c>
      <c r="AO41" s="145"/>
      <c r="AP41" s="67">
        <f>+EDATE(AW41,-1)</f>
        <v>46050</v>
      </c>
      <c r="AQ41" s="67"/>
      <c r="AR41" s="135">
        <f>+IFERROR(AS41/$I41,"-")</f>
        <v>0</v>
      </c>
      <c r="AS41" s="134">
        <f>+$I41*지급비율!AI20</f>
        <v>0</v>
      </c>
      <c r="AT41" s="134"/>
      <c r="AU41" s="134">
        <f t="shared" si="7"/>
        <v>0</v>
      </c>
      <c r="AV41" s="145"/>
      <c r="AW41" s="67">
        <f>+EDATE(BD41,-1)</f>
        <v>46081</v>
      </c>
      <c r="AX41" s="67"/>
      <c r="AY41" s="135">
        <f>+IFERROR(AZ41/$I41,"-")</f>
        <v>0</v>
      </c>
      <c r="AZ41" s="134">
        <f>+$I41*지급비율!AP20</f>
        <v>0</v>
      </c>
      <c r="BA41" s="134"/>
      <c r="BB41" s="134">
        <f t="shared" si="8"/>
        <v>0</v>
      </c>
      <c r="BC41" s="145"/>
      <c r="BD41" s="67">
        <f>+EDATE(BK41,-1)</f>
        <v>46111</v>
      </c>
      <c r="BE41" s="67"/>
      <c r="BF41" s="135">
        <f>+IFERROR(BG41/$I41,"-")</f>
        <v>0.4</v>
      </c>
      <c r="BG41" s="134">
        <f>+$I41*지급비율!AW20</f>
        <v>315330840</v>
      </c>
      <c r="BH41" s="134"/>
      <c r="BI41" s="134">
        <f t="shared" si="9"/>
        <v>315330840</v>
      </c>
      <c r="BJ41" s="145"/>
      <c r="BK41" s="67">
        <v>46142</v>
      </c>
      <c r="BL41" s="67"/>
      <c r="BM41" s="135">
        <f t="shared" si="10"/>
        <v>0.1</v>
      </c>
      <c r="BN41" s="134">
        <f>+$I41*지급비율!BD20</f>
        <v>78832710</v>
      </c>
      <c r="BO41" s="134"/>
      <c r="BP41" s="134">
        <f t="shared" si="11"/>
        <v>78832710</v>
      </c>
      <c r="BQ41" s="145"/>
      <c r="BR41" s="73"/>
      <c r="BS41" s="74" t="b">
        <f>+Q41+X41+AE41+AS41+AZ41+BG41+BN41=I41</f>
        <v>1</v>
      </c>
      <c r="BT41" s="74" t="b">
        <f>+R41+Y41+AF41+AT41+BA41+BH41+BO41=K41</f>
        <v>1</v>
      </c>
      <c r="BU41" s="74"/>
      <c r="BV41" s="54"/>
      <c r="BW41" s="54"/>
      <c r="BX41" s="54"/>
      <c r="BY41" s="54"/>
      <c r="BZ41" s="54"/>
      <c r="CA41" s="54"/>
      <c r="CB41" s="54"/>
      <c r="CC41" s="54"/>
      <c r="CD41" s="58"/>
      <c r="CE41" s="58"/>
    </row>
    <row r="42" spans="1:83" ht="16.5" customHeight="1">
      <c r="A42" s="62"/>
      <c r="B42" s="1322"/>
      <c r="C42" s="1580"/>
      <c r="D42" s="1344"/>
      <c r="E42" s="1324"/>
      <c r="F42" s="75" t="s">
        <v>389</v>
      </c>
      <c r="G42" s="76">
        <f>+지급비율!F21*D41/1000</f>
        <v>195453000</v>
      </c>
      <c r="H42" s="76">
        <f>+G42*10%</f>
        <v>19545300</v>
      </c>
      <c r="I42" s="76">
        <f>SUM(G42:H42)</f>
        <v>214998300</v>
      </c>
      <c r="J42" s="75">
        <f t="shared" si="2"/>
        <v>0</v>
      </c>
      <c r="K42" s="80">
        <f>+IFERROR(R42+Y42+AF42+AM42+AT42+BA42+BH42+BO42,"-")</f>
        <v>0</v>
      </c>
      <c r="L42" s="80">
        <f>+I42-K42</f>
        <v>214998300</v>
      </c>
      <c r="M42" s="1332"/>
      <c r="N42" s="152">
        <v>45935</v>
      </c>
      <c r="O42" s="152"/>
      <c r="P42" s="117">
        <f>+IFERROR(Q42/$I42,"-")</f>
        <v>0.2</v>
      </c>
      <c r="Q42" s="289">
        <f>+$I42*지급비율!G21</f>
        <v>42999660</v>
      </c>
      <c r="R42" s="289"/>
      <c r="S42" s="289">
        <f t="shared" si="0"/>
        <v>42999660</v>
      </c>
      <c r="T42" s="118"/>
      <c r="U42" s="78">
        <v>45991</v>
      </c>
      <c r="V42" s="78"/>
      <c r="W42" s="79">
        <f>+IFERROR(X42/$I42,"-")</f>
        <v>0.2</v>
      </c>
      <c r="X42" s="70">
        <f>+$I42*지급비율!N21</f>
        <v>42999660</v>
      </c>
      <c r="Y42" s="70"/>
      <c r="Z42" s="70">
        <f t="shared" si="3"/>
        <v>42999660</v>
      </c>
      <c r="AA42" s="81"/>
      <c r="AB42" s="78">
        <v>45991</v>
      </c>
      <c r="AC42" s="78"/>
      <c r="AD42" s="79">
        <f>+IFERROR(AE42/$I42,"-")</f>
        <v>0.5</v>
      </c>
      <c r="AE42" s="70">
        <f>+$I42*지급비율!U21</f>
        <v>107499150</v>
      </c>
      <c r="AF42" s="70"/>
      <c r="AG42" s="70">
        <f t="shared" si="4"/>
        <v>107499150</v>
      </c>
      <c r="AH42" s="81"/>
      <c r="AI42" s="78"/>
      <c r="AJ42" s="72"/>
      <c r="AK42" s="79">
        <f t="shared" si="5"/>
        <v>0</v>
      </c>
      <c r="AL42" s="70">
        <f>+$I42*지급비율!AB21</f>
        <v>0</v>
      </c>
      <c r="AM42" s="70"/>
      <c r="AN42" s="70">
        <f t="shared" si="6"/>
        <v>0</v>
      </c>
      <c r="AO42" s="81"/>
      <c r="AP42" s="78"/>
      <c r="AQ42" s="72"/>
      <c r="AR42" s="79"/>
      <c r="AS42" s="70">
        <f>+$I42*지급비율!AI21</f>
        <v>0</v>
      </c>
      <c r="AT42" s="70"/>
      <c r="AU42" s="70">
        <f t="shared" si="7"/>
        <v>0</v>
      </c>
      <c r="AV42" s="81"/>
      <c r="AW42" s="78"/>
      <c r="AX42" s="72"/>
      <c r="AY42" s="79"/>
      <c r="AZ42" s="70">
        <f>+$I42*지급비율!AP21</f>
        <v>0</v>
      </c>
      <c r="BA42" s="70"/>
      <c r="BB42" s="70">
        <f t="shared" si="8"/>
        <v>0</v>
      </c>
      <c r="BC42" s="81"/>
      <c r="BD42" s="78"/>
      <c r="BE42" s="72"/>
      <c r="BF42" s="79"/>
      <c r="BG42" s="70">
        <f>+$I42*지급비율!AW21</f>
        <v>0</v>
      </c>
      <c r="BH42" s="70"/>
      <c r="BI42" s="70">
        <f t="shared" si="9"/>
        <v>0</v>
      </c>
      <c r="BJ42" s="81"/>
      <c r="BK42" s="138">
        <v>46142</v>
      </c>
      <c r="BL42" s="72"/>
      <c r="BM42" s="79">
        <f t="shared" si="10"/>
        <v>0.1</v>
      </c>
      <c r="BN42" s="70">
        <f>+$I42*지급비율!BD21</f>
        <v>21499830</v>
      </c>
      <c r="BO42" s="70"/>
      <c r="BP42" s="70">
        <f t="shared" si="11"/>
        <v>21499830</v>
      </c>
      <c r="BQ42" s="81"/>
      <c r="BR42" s="73"/>
      <c r="BS42" s="74" t="b">
        <f>+Q42+X42+AE42+AS42+AZ42+BG42+BN42=I42</f>
        <v>1</v>
      </c>
      <c r="BT42" s="74" t="b">
        <f>+R42+Y42+AF42+AT42+BA42+BH42+BO42=K42</f>
        <v>1</v>
      </c>
      <c r="BU42" s="74" t="b">
        <f>+BG42+BG43+AZ42+AZ43+AS42+AS43+AE42+AE43+X42+X43+Q42+Q43+BN42+BN43=([5]지급비율!$F$21+[5]지급비율!$F$22)*1.1*D41/1000</f>
        <v>1</v>
      </c>
      <c r="BV42" s="54"/>
      <c r="BW42" s="54"/>
      <c r="BX42" s="54"/>
      <c r="BY42" s="54"/>
      <c r="BZ42" s="54"/>
      <c r="CA42" s="54"/>
      <c r="CB42" s="54"/>
      <c r="CC42" s="54"/>
      <c r="CD42" s="58"/>
      <c r="CE42" s="58"/>
    </row>
    <row r="43" spans="1:83" ht="16.5" customHeight="1">
      <c r="A43" s="62"/>
      <c r="B43" s="1322"/>
      <c r="C43" s="1580"/>
      <c r="D43" s="1344"/>
      <c r="E43" s="1324"/>
      <c r="F43" s="75" t="s">
        <v>390</v>
      </c>
      <c r="G43" s="76">
        <f>+지급비율!F22*D41/1000</f>
        <v>130302000</v>
      </c>
      <c r="H43" s="76">
        <f>+G43*10%</f>
        <v>13030200</v>
      </c>
      <c r="I43" s="76">
        <f>SUM(G43:H43)</f>
        <v>143332200</v>
      </c>
      <c r="J43" s="75">
        <f t="shared" si="2"/>
        <v>0</v>
      </c>
      <c r="K43" s="80">
        <f>+IFERROR(R43+Y43+AF43+AM43+AT43+BA43+BH43+BO43,"-")</f>
        <v>0</v>
      </c>
      <c r="L43" s="80">
        <f>+I43-K43</f>
        <v>143332200</v>
      </c>
      <c r="M43" s="1332"/>
      <c r="N43" s="152">
        <v>45935</v>
      </c>
      <c r="O43" s="152"/>
      <c r="P43" s="117">
        <f>+IFERROR(Q43/$I43,"-")</f>
        <v>0.2</v>
      </c>
      <c r="Q43" s="289">
        <f>+$I43*지급비율!G22</f>
        <v>28666440</v>
      </c>
      <c r="R43" s="289"/>
      <c r="S43" s="289">
        <f t="shared" si="0"/>
        <v>28666440</v>
      </c>
      <c r="T43" s="118"/>
      <c r="U43" s="78">
        <v>45991</v>
      </c>
      <c r="V43" s="78"/>
      <c r="W43" s="79">
        <f>+IFERROR(X43/$I43,"-")</f>
        <v>0.2</v>
      </c>
      <c r="X43" s="70">
        <f>+$I43*지급비율!N22</f>
        <v>28666440</v>
      </c>
      <c r="Y43" s="70"/>
      <c r="Z43" s="70">
        <f t="shared" si="3"/>
        <v>28666440</v>
      </c>
      <c r="AA43" s="81"/>
      <c r="AB43" s="78">
        <v>45991</v>
      </c>
      <c r="AC43" s="78"/>
      <c r="AD43" s="79">
        <f>+IFERROR(AE43/$I43,"-")</f>
        <v>0.5</v>
      </c>
      <c r="AE43" s="70">
        <f>+$I43*지급비율!U22</f>
        <v>71666100</v>
      </c>
      <c r="AF43" s="70"/>
      <c r="AG43" s="70">
        <f t="shared" si="4"/>
        <v>71666100</v>
      </c>
      <c r="AH43" s="81"/>
      <c r="AI43" s="72"/>
      <c r="AJ43" s="72"/>
      <c r="AK43" s="79">
        <f t="shared" si="5"/>
        <v>0</v>
      </c>
      <c r="AL43" s="70">
        <f>+$I43*지급비율!AB22</f>
        <v>0</v>
      </c>
      <c r="AM43" s="70"/>
      <c r="AN43" s="70">
        <f t="shared" si="6"/>
        <v>0</v>
      </c>
      <c r="AO43" s="81"/>
      <c r="AP43" s="72"/>
      <c r="AQ43" s="72"/>
      <c r="AR43" s="79"/>
      <c r="AS43" s="70">
        <f>+$I43*지급비율!AI22</f>
        <v>0</v>
      </c>
      <c r="AT43" s="70"/>
      <c r="AU43" s="70">
        <f t="shared" si="7"/>
        <v>0</v>
      </c>
      <c r="AV43" s="81"/>
      <c r="AW43" s="72"/>
      <c r="AX43" s="72"/>
      <c r="AY43" s="79"/>
      <c r="AZ43" s="70">
        <f>+$I43*지급비율!AP22</f>
        <v>0</v>
      </c>
      <c r="BA43" s="70"/>
      <c r="BB43" s="70">
        <f t="shared" si="8"/>
        <v>0</v>
      </c>
      <c r="BC43" s="81"/>
      <c r="BD43" s="72"/>
      <c r="BE43" s="72"/>
      <c r="BF43" s="79"/>
      <c r="BG43" s="70">
        <f>+$I43*지급비율!AW22</f>
        <v>0</v>
      </c>
      <c r="BH43" s="70"/>
      <c r="BI43" s="70">
        <f t="shared" si="9"/>
        <v>0</v>
      </c>
      <c r="BJ43" s="81"/>
      <c r="BK43" s="72">
        <v>46142</v>
      </c>
      <c r="BL43" s="72"/>
      <c r="BM43" s="79">
        <f t="shared" si="10"/>
        <v>0.1</v>
      </c>
      <c r="BN43" s="70">
        <f>+$I43*지급비율!BD22</f>
        <v>14333220</v>
      </c>
      <c r="BO43" s="70"/>
      <c r="BP43" s="70">
        <f t="shared" si="11"/>
        <v>14333220</v>
      </c>
      <c r="BQ43" s="81"/>
      <c r="BR43" s="73"/>
      <c r="BS43" s="74" t="b">
        <f>+Q43+X43+AE43+AS43+AZ43+BG43+BN43=I43</f>
        <v>1</v>
      </c>
      <c r="BT43" s="74" t="b">
        <f>+R43+Y43+AF43+AT43+BA43+BH43+BO43=K43</f>
        <v>1</v>
      </c>
      <c r="BU43" s="74"/>
      <c r="BV43" s="54"/>
      <c r="BW43" s="54"/>
      <c r="BX43" s="54"/>
      <c r="BY43" s="54"/>
      <c r="BZ43" s="54"/>
      <c r="CA43" s="54"/>
      <c r="CB43" s="54"/>
      <c r="CC43" s="54"/>
      <c r="CD43" s="58"/>
      <c r="CE43" s="58"/>
    </row>
    <row r="44" spans="1:83" ht="16.5" customHeight="1">
      <c r="A44" s="62"/>
      <c r="B44" s="1322"/>
      <c r="C44" s="1580"/>
      <c r="D44" s="1344"/>
      <c r="E44" s="1324"/>
      <c r="F44" s="101" t="s">
        <v>391</v>
      </c>
      <c r="G44" s="102">
        <f>+지급비율!F23*D41/1000</f>
        <v>130302000</v>
      </c>
      <c r="H44" s="102">
        <f>+G44*0.1</f>
        <v>13030200</v>
      </c>
      <c r="I44" s="102">
        <f>SUM(G44:H44)</f>
        <v>143332200</v>
      </c>
      <c r="J44" s="101">
        <f t="shared" si="2"/>
        <v>0</v>
      </c>
      <c r="K44" s="106">
        <f>+IFERROR(R44+Y44+AF44+AM44+AT44+BA44+BH44+BO44,"-")</f>
        <v>0</v>
      </c>
      <c r="L44" s="106">
        <f>+I44-K44</f>
        <v>143332200</v>
      </c>
      <c r="M44" s="1333"/>
      <c r="N44" s="430"/>
      <c r="O44" s="431"/>
      <c r="P44" s="432"/>
      <c r="Q44" s="420">
        <f>+$I44*지급비율!G23</f>
        <v>0</v>
      </c>
      <c r="R44" s="433"/>
      <c r="S44" s="433">
        <f t="shared" si="0"/>
        <v>0</v>
      </c>
      <c r="T44" s="431"/>
      <c r="U44" s="85"/>
      <c r="V44" s="101"/>
      <c r="W44" s="105"/>
      <c r="X44" s="106">
        <f>+$I44*지급비율!N23</f>
        <v>0</v>
      </c>
      <c r="Y44" s="106"/>
      <c r="Z44" s="106">
        <f t="shared" si="3"/>
        <v>0</v>
      </c>
      <c r="AA44" s="101"/>
      <c r="AB44" s="85"/>
      <c r="AC44" s="101"/>
      <c r="AD44" s="105"/>
      <c r="AE44" s="106">
        <f>+$I44*지급비율!U23</f>
        <v>0</v>
      </c>
      <c r="AF44" s="106"/>
      <c r="AG44" s="106">
        <f t="shared" si="4"/>
        <v>0</v>
      </c>
      <c r="AH44" s="101"/>
      <c r="AI44" s="85"/>
      <c r="AJ44" s="101"/>
      <c r="AK44" s="105">
        <f t="shared" si="5"/>
        <v>0</v>
      </c>
      <c r="AL44" s="106">
        <f>+$I44*지급비율!AB23</f>
        <v>0</v>
      </c>
      <c r="AM44" s="106"/>
      <c r="AN44" s="106">
        <f t="shared" si="6"/>
        <v>0</v>
      </c>
      <c r="AO44" s="101"/>
      <c r="AP44" s="85"/>
      <c r="AQ44" s="101"/>
      <c r="AR44" s="105"/>
      <c r="AS44" s="106">
        <f>+$I44*지급비율!AI23</f>
        <v>0</v>
      </c>
      <c r="AT44" s="106"/>
      <c r="AU44" s="106">
        <f t="shared" si="7"/>
        <v>0</v>
      </c>
      <c r="AV44" s="101"/>
      <c r="AW44" s="85"/>
      <c r="AX44" s="101"/>
      <c r="AY44" s="105"/>
      <c r="AZ44" s="106">
        <f>+$I44*지급비율!AP23</f>
        <v>0</v>
      </c>
      <c r="BA44" s="106"/>
      <c r="BB44" s="106">
        <f t="shared" si="8"/>
        <v>0</v>
      </c>
      <c r="BC44" s="101"/>
      <c r="BD44" s="85"/>
      <c r="BE44" s="101"/>
      <c r="BF44" s="105"/>
      <c r="BG44" s="106">
        <f>+$I44*지급비율!AW23</f>
        <v>0</v>
      </c>
      <c r="BH44" s="106"/>
      <c r="BI44" s="106">
        <f t="shared" si="9"/>
        <v>0</v>
      </c>
      <c r="BJ44" s="101"/>
      <c r="BK44" s="104">
        <v>46142</v>
      </c>
      <c r="BL44" s="101"/>
      <c r="BM44" s="105">
        <f t="shared" si="10"/>
        <v>1</v>
      </c>
      <c r="BN44" s="106">
        <f>+$I44*지급비율!BD23</f>
        <v>143332200</v>
      </c>
      <c r="BO44" s="106"/>
      <c r="BP44" s="106">
        <f t="shared" si="11"/>
        <v>143332200</v>
      </c>
      <c r="BQ44" s="101"/>
      <c r="BR44" s="88"/>
      <c r="BS44" s="89" t="b">
        <f>+Q44+X44+AE44+AS44+AZ44+BG44+BN44=I44</f>
        <v>1</v>
      </c>
      <c r="BT44" s="90" t="b">
        <f>+R44+Y44+AF44+AT44+BA44+BH44+BO44=K44</f>
        <v>1</v>
      </c>
      <c r="BU44" s="90"/>
      <c r="BV44" s="54"/>
      <c r="BW44" s="54"/>
      <c r="BX44" s="54"/>
      <c r="BY44" s="54"/>
      <c r="BZ44" s="54"/>
      <c r="CA44" s="54"/>
      <c r="CB44" s="54"/>
      <c r="CC44" s="54"/>
      <c r="CD44" s="58"/>
      <c r="CE44" s="58"/>
    </row>
    <row r="45" spans="1:83" ht="16.5" customHeight="1">
      <c r="A45" s="62"/>
      <c r="B45" s="1322"/>
      <c r="C45" s="1580"/>
      <c r="D45" s="1345"/>
      <c r="E45" s="1324"/>
      <c r="F45" s="91" t="s">
        <v>392</v>
      </c>
      <c r="G45" s="92">
        <f>SUM(G41:G44)</f>
        <v>1172718000</v>
      </c>
      <c r="H45" s="92">
        <f>SUM(H41:H44)</f>
        <v>117271800</v>
      </c>
      <c r="I45" s="92">
        <f>SUM(I41:I44)</f>
        <v>1289989800</v>
      </c>
      <c r="J45" s="91">
        <f t="shared" si="2"/>
        <v>0</v>
      </c>
      <c r="K45" s="92">
        <f>SUM(K41:K44)</f>
        <v>0</v>
      </c>
      <c r="L45" s="92">
        <f>SUM(L41:L44)</f>
        <v>1289989800</v>
      </c>
      <c r="M45" s="419">
        <f>+Q42+Q43</f>
        <v>71666100</v>
      </c>
      <c r="N45" s="434"/>
      <c r="O45" s="435"/>
      <c r="P45" s="436">
        <f>+IFERROR(Q45/$I45,"-")</f>
        <v>5.5555555555555552E-2</v>
      </c>
      <c r="Q45" s="419">
        <f>SUM(Q41:Q44)</f>
        <v>71666100</v>
      </c>
      <c r="R45" s="419">
        <f>SUM(R41:R44)</f>
        <v>0</v>
      </c>
      <c r="S45" s="419">
        <f t="shared" si="0"/>
        <v>71666100</v>
      </c>
      <c r="T45" s="435"/>
      <c r="U45" s="93"/>
      <c r="V45" s="91"/>
      <c r="W45" s="94">
        <f>+IFERROR(X45/$I45,"-")</f>
        <v>5.5555555555555552E-2</v>
      </c>
      <c r="X45" s="92">
        <f>SUM(X41:X44)</f>
        <v>71666100</v>
      </c>
      <c r="Y45" s="92">
        <f>SUM(Y41:Y44)</f>
        <v>0</v>
      </c>
      <c r="Z45" s="92">
        <f t="shared" si="3"/>
        <v>71666100</v>
      </c>
      <c r="AA45" s="91"/>
      <c r="AB45" s="93"/>
      <c r="AC45" s="91"/>
      <c r="AD45" s="94">
        <f>+IFERROR(AE45/$I45,"-")</f>
        <v>0.44444444444444442</v>
      </c>
      <c r="AE45" s="92">
        <f>SUM(AE41:AE44)</f>
        <v>573328800</v>
      </c>
      <c r="AF45" s="92">
        <f>SUM(AF41:AF44)</f>
        <v>0</v>
      </c>
      <c r="AG45" s="92">
        <f t="shared" si="4"/>
        <v>573328800</v>
      </c>
      <c r="AH45" s="91"/>
      <c r="AI45" s="93"/>
      <c r="AJ45" s="91"/>
      <c r="AK45" s="94">
        <f t="shared" si="5"/>
        <v>0</v>
      </c>
      <c r="AL45" s="92">
        <f>SUM(AL41:AL44)</f>
        <v>0</v>
      </c>
      <c r="AM45" s="92">
        <f>SUM(AM41:AM44)</f>
        <v>0</v>
      </c>
      <c r="AN45" s="92">
        <f t="shared" si="6"/>
        <v>0</v>
      </c>
      <c r="AO45" s="91"/>
      <c r="AP45" s="93"/>
      <c r="AQ45" s="91"/>
      <c r="AR45" s="94">
        <f>+IFERROR(AS45/$I45,"-")</f>
        <v>0</v>
      </c>
      <c r="AS45" s="92">
        <f>SUM(AS41:AS44)</f>
        <v>0</v>
      </c>
      <c r="AT45" s="92">
        <f>SUM(AT41:AT44)</f>
        <v>0</v>
      </c>
      <c r="AU45" s="92">
        <f t="shared" si="7"/>
        <v>0</v>
      </c>
      <c r="AV45" s="91"/>
      <c r="AW45" s="93"/>
      <c r="AX45" s="91"/>
      <c r="AY45" s="94">
        <f>+IFERROR(AZ45/$I45,"-")</f>
        <v>0</v>
      </c>
      <c r="AZ45" s="92">
        <f>SUM(AZ41:AZ44)</f>
        <v>0</v>
      </c>
      <c r="BA45" s="92">
        <f>SUM(BA41:BA44)</f>
        <v>0</v>
      </c>
      <c r="BB45" s="92">
        <f t="shared" si="8"/>
        <v>0</v>
      </c>
      <c r="BC45" s="91"/>
      <c r="BD45" s="93"/>
      <c r="BE45" s="91"/>
      <c r="BF45" s="94">
        <f>+IFERROR(BG45/$I45,"-")</f>
        <v>0.24444444444444444</v>
      </c>
      <c r="BG45" s="92">
        <f>SUM(BG41:BG44)</f>
        <v>315330840</v>
      </c>
      <c r="BH45" s="92">
        <f>SUM(BH41:BH44)</f>
        <v>0</v>
      </c>
      <c r="BI45" s="92">
        <f t="shared" si="9"/>
        <v>315330840</v>
      </c>
      <c r="BJ45" s="91"/>
      <c r="BK45" s="93"/>
      <c r="BL45" s="91"/>
      <c r="BM45" s="94">
        <f t="shared" si="10"/>
        <v>0.2</v>
      </c>
      <c r="BN45" s="92">
        <f>SUM(BN41:BN44)</f>
        <v>257997960</v>
      </c>
      <c r="BO45" s="92">
        <f>SUM(BO41:BO44)</f>
        <v>0</v>
      </c>
      <c r="BP45" s="92">
        <f t="shared" si="11"/>
        <v>257997960</v>
      </c>
      <c r="BQ45" s="91"/>
      <c r="BR45" s="88"/>
      <c r="BS45" s="96"/>
      <c r="BT45" s="96"/>
      <c r="BU45" s="139"/>
      <c r="BV45" s="54"/>
      <c r="BW45" s="54"/>
      <c r="BX45" s="54"/>
      <c r="BY45" s="54"/>
      <c r="BZ45" s="54"/>
      <c r="CA45" s="54"/>
      <c r="CB45" s="54"/>
      <c r="CC45" s="54"/>
      <c r="CD45" s="58"/>
      <c r="CE45" s="58"/>
    </row>
    <row r="46" spans="1:83" ht="16.5" customHeight="1">
      <c r="A46" s="62"/>
      <c r="B46" s="1322">
        <f>+B41+1</f>
        <v>8</v>
      </c>
      <c r="C46" s="1580" t="s">
        <v>927</v>
      </c>
      <c r="D46" s="1343">
        <v>999.68</v>
      </c>
      <c r="E46" s="1324" t="s">
        <v>888</v>
      </c>
      <c r="F46" s="63" t="s">
        <v>388</v>
      </c>
      <c r="G46" s="64">
        <f>+$G$2*D46/1000</f>
        <v>1099648000</v>
      </c>
      <c r="H46" s="64">
        <f>+G46*10%</f>
        <v>109964800</v>
      </c>
      <c r="I46" s="64">
        <f>SUM(G46:H46)</f>
        <v>1209612800</v>
      </c>
      <c r="J46" s="63">
        <f t="shared" si="2"/>
        <v>0</v>
      </c>
      <c r="K46" s="134">
        <f>+IFERROR(R46+Y46+AF46+AM46+AT46+BA46+BH46+BO46,"-")</f>
        <v>0</v>
      </c>
      <c r="L46" s="134">
        <f>+I46-K46</f>
        <v>1209612800</v>
      </c>
      <c r="M46" s="1331" t="s">
        <v>407</v>
      </c>
      <c r="N46" s="437"/>
      <c r="O46" s="437"/>
      <c r="P46" s="438"/>
      <c r="Q46" s="416">
        <f>+$I46*지급비율!G20</f>
        <v>0</v>
      </c>
      <c r="R46" s="439"/>
      <c r="S46" s="439">
        <f t="shared" si="0"/>
        <v>0</v>
      </c>
      <c r="T46" s="440"/>
      <c r="U46" s="67"/>
      <c r="V46" s="67"/>
      <c r="W46" s="135"/>
      <c r="X46" s="134">
        <f>+$I46*지급비율!N20</f>
        <v>0</v>
      </c>
      <c r="Y46" s="134"/>
      <c r="Z46" s="134">
        <f t="shared" si="3"/>
        <v>0</v>
      </c>
      <c r="AA46" s="145"/>
      <c r="AB46" s="67">
        <f>+EDATE(AI46,-1)</f>
        <v>46020</v>
      </c>
      <c r="AC46" s="67"/>
      <c r="AD46" s="135">
        <f>+IFERROR(AE46/$I46,"-")</f>
        <v>0.5</v>
      </c>
      <c r="AE46" s="134">
        <f>+$I46*지급비율!U20</f>
        <v>604806400</v>
      </c>
      <c r="AF46" s="134"/>
      <c r="AG46" s="134">
        <f t="shared" si="4"/>
        <v>604806400</v>
      </c>
      <c r="AH46" s="145"/>
      <c r="AI46" s="67">
        <f>+EDATE(AP46,-1)+1</f>
        <v>46051</v>
      </c>
      <c r="AJ46" s="67"/>
      <c r="AK46" s="135">
        <f t="shared" si="5"/>
        <v>0</v>
      </c>
      <c r="AL46" s="134">
        <f>+$I46*지급비율!AB20</f>
        <v>0</v>
      </c>
      <c r="AM46" s="134"/>
      <c r="AN46" s="134">
        <f t="shared" si="6"/>
        <v>0</v>
      </c>
      <c r="AO46" s="145"/>
      <c r="AP46" s="67">
        <f>+EDATE(AW46,-1)</f>
        <v>46081</v>
      </c>
      <c r="AQ46" s="67"/>
      <c r="AR46" s="135">
        <f>+IFERROR(AS46/$I46,"-")</f>
        <v>0</v>
      </c>
      <c r="AS46" s="134">
        <f>+$I46*지급비율!AI20</f>
        <v>0</v>
      </c>
      <c r="AT46" s="134"/>
      <c r="AU46" s="134">
        <f t="shared" si="7"/>
        <v>0</v>
      </c>
      <c r="AV46" s="145"/>
      <c r="AW46" s="67">
        <f>+EDATE(BD46,-1)</f>
        <v>46111</v>
      </c>
      <c r="AX46" s="67"/>
      <c r="AY46" s="135">
        <f>+IFERROR(AZ46/$I46,"-")</f>
        <v>0</v>
      </c>
      <c r="AZ46" s="134">
        <f>+$I46*지급비율!AP20</f>
        <v>0</v>
      </c>
      <c r="BA46" s="134"/>
      <c r="BB46" s="134">
        <f t="shared" si="8"/>
        <v>0</v>
      </c>
      <c r="BC46" s="145"/>
      <c r="BD46" s="67">
        <f>+EDATE(BK46,-1)</f>
        <v>46142</v>
      </c>
      <c r="BE46" s="67"/>
      <c r="BF46" s="135">
        <f>+IFERROR(BG46/$I46,"-")</f>
        <v>0.4</v>
      </c>
      <c r="BG46" s="134">
        <f>+$I46*지급비율!AW20</f>
        <v>483845120</v>
      </c>
      <c r="BH46" s="134"/>
      <c r="BI46" s="134">
        <f t="shared" si="9"/>
        <v>483845120</v>
      </c>
      <c r="BJ46" s="145"/>
      <c r="BK46" s="67">
        <v>46173</v>
      </c>
      <c r="BL46" s="67"/>
      <c r="BM46" s="135">
        <f t="shared" si="10"/>
        <v>0.1</v>
      </c>
      <c r="BN46" s="134">
        <f>+$I46*지급비율!BD20</f>
        <v>120961280</v>
      </c>
      <c r="BO46" s="134"/>
      <c r="BP46" s="134">
        <f t="shared" si="11"/>
        <v>120961280</v>
      </c>
      <c r="BQ46" s="145"/>
      <c r="BR46" s="73"/>
      <c r="BS46" s="74" t="b">
        <f>+Q46+X46+AE46+AS46+AZ46+BG46+BN46=I46</f>
        <v>1</v>
      </c>
      <c r="BT46" s="74" t="b">
        <f>+R46+Y46+AF46+AT46+BA46+BH46+BO46=K46</f>
        <v>1</v>
      </c>
      <c r="BU46" s="74"/>
      <c r="BV46" s="54"/>
      <c r="BW46" s="54"/>
      <c r="BX46" s="54"/>
      <c r="BY46" s="54"/>
      <c r="BZ46" s="54"/>
      <c r="CA46" s="54"/>
      <c r="CB46" s="54"/>
      <c r="CC46" s="54"/>
      <c r="CD46" s="58"/>
      <c r="CE46" s="58"/>
    </row>
    <row r="47" spans="1:83" ht="16.5" customHeight="1">
      <c r="A47" s="62"/>
      <c r="B47" s="1322"/>
      <c r="C47" s="1580"/>
      <c r="D47" s="1344"/>
      <c r="E47" s="1324"/>
      <c r="F47" s="75" t="s">
        <v>389</v>
      </c>
      <c r="G47" s="76">
        <f>+지급비율!F21*D46/1000</f>
        <v>299904000</v>
      </c>
      <c r="H47" s="76">
        <f>+G47*10%</f>
        <v>29990400</v>
      </c>
      <c r="I47" s="76">
        <f>SUM(G47:H47)</f>
        <v>329894400</v>
      </c>
      <c r="J47" s="75">
        <f t="shared" si="2"/>
        <v>0</v>
      </c>
      <c r="K47" s="80">
        <f>+IFERROR(R47+Y47+AF47+AM47+AT47+BA47+BH47+BO47,"-")</f>
        <v>0</v>
      </c>
      <c r="L47" s="80">
        <f>+I47-K47</f>
        <v>329894400</v>
      </c>
      <c r="M47" s="1332"/>
      <c r="N47" s="152">
        <v>45935</v>
      </c>
      <c r="O47" s="152"/>
      <c r="P47" s="117">
        <f>+IFERROR(Q47/$I47,"-")</f>
        <v>0.2</v>
      </c>
      <c r="Q47" s="289">
        <f>+$I47*지급비율!G21</f>
        <v>65978880</v>
      </c>
      <c r="R47" s="289"/>
      <c r="S47" s="289">
        <f t="shared" si="0"/>
        <v>65978880</v>
      </c>
      <c r="T47" s="118"/>
      <c r="U47" s="78">
        <v>45991</v>
      </c>
      <c r="V47" s="78"/>
      <c r="W47" s="79">
        <f>+IFERROR(X47/$I47,"-")</f>
        <v>0.2</v>
      </c>
      <c r="X47" s="70">
        <f>+$I47*지급비율!N21</f>
        <v>65978880</v>
      </c>
      <c r="Y47" s="70"/>
      <c r="Z47" s="70">
        <f t="shared" si="3"/>
        <v>65978880</v>
      </c>
      <c r="AA47" s="81"/>
      <c r="AB47" s="78">
        <v>46022</v>
      </c>
      <c r="AC47" s="78"/>
      <c r="AD47" s="79">
        <f>+IFERROR(AE47/$I47,"-")</f>
        <v>0.5</v>
      </c>
      <c r="AE47" s="70">
        <f>+$I47*지급비율!U21</f>
        <v>164947200</v>
      </c>
      <c r="AF47" s="70"/>
      <c r="AG47" s="70">
        <f t="shared" si="4"/>
        <v>164947200</v>
      </c>
      <c r="AH47" s="81"/>
      <c r="AI47" s="78"/>
      <c r="AJ47" s="72"/>
      <c r="AK47" s="79">
        <f t="shared" si="5"/>
        <v>0</v>
      </c>
      <c r="AL47" s="70">
        <f>+$I47*지급비율!AB21</f>
        <v>0</v>
      </c>
      <c r="AM47" s="70"/>
      <c r="AN47" s="70">
        <f t="shared" si="6"/>
        <v>0</v>
      </c>
      <c r="AO47" s="81"/>
      <c r="AP47" s="78"/>
      <c r="AQ47" s="72"/>
      <c r="AR47" s="79"/>
      <c r="AS47" s="70">
        <f>+$I47*지급비율!AI21</f>
        <v>0</v>
      </c>
      <c r="AT47" s="70"/>
      <c r="AU47" s="70">
        <f t="shared" si="7"/>
        <v>0</v>
      </c>
      <c r="AV47" s="81"/>
      <c r="AW47" s="78"/>
      <c r="AX47" s="72"/>
      <c r="AY47" s="79"/>
      <c r="AZ47" s="70">
        <f>+$I47*지급비율!AP21</f>
        <v>0</v>
      </c>
      <c r="BA47" s="70"/>
      <c r="BB47" s="70">
        <f t="shared" si="8"/>
        <v>0</v>
      </c>
      <c r="BC47" s="81"/>
      <c r="BD47" s="78"/>
      <c r="BE47" s="72"/>
      <c r="BF47" s="79"/>
      <c r="BG47" s="70">
        <f>+$I47*지급비율!AW21</f>
        <v>0</v>
      </c>
      <c r="BH47" s="70"/>
      <c r="BI47" s="70">
        <f t="shared" si="9"/>
        <v>0</v>
      </c>
      <c r="BJ47" s="81"/>
      <c r="BK47" s="138">
        <v>46173</v>
      </c>
      <c r="BL47" s="72"/>
      <c r="BM47" s="79">
        <f t="shared" si="10"/>
        <v>0.1</v>
      </c>
      <c r="BN47" s="70">
        <f>+$I47*지급비율!BD21</f>
        <v>32989440</v>
      </c>
      <c r="BO47" s="70"/>
      <c r="BP47" s="70">
        <f t="shared" si="11"/>
        <v>32989440</v>
      </c>
      <c r="BQ47" s="81"/>
      <c r="BR47" s="73"/>
      <c r="BS47" s="74" t="b">
        <f>+Q47+X47+AE47+AS47+AZ47+BG47+BN47=I47</f>
        <v>1</v>
      </c>
      <c r="BT47" s="74" t="b">
        <f>+R47+Y47+AF47+AT47+BA47+BH47+BO47=K47</f>
        <v>1</v>
      </c>
      <c r="BU47" s="74" t="b">
        <f>+BG47+BG48+AZ47+AZ48+AS47+AS48+AE47+AE48+X47+X48+Q47+Q48+BN47+BN48=([5]지급비율!$F$21+[5]지급비율!$F$22)*1.1*D46/1000</f>
        <v>1</v>
      </c>
      <c r="BV47" s="54"/>
      <c r="BW47" s="54"/>
      <c r="BX47" s="54"/>
      <c r="BY47" s="54"/>
      <c r="BZ47" s="54"/>
      <c r="CA47" s="54"/>
      <c r="CB47" s="54"/>
      <c r="CC47" s="54"/>
      <c r="CD47" s="58"/>
      <c r="CE47" s="58"/>
    </row>
    <row r="48" spans="1:83" ht="16.5" customHeight="1">
      <c r="A48" s="62"/>
      <c r="B48" s="1322"/>
      <c r="C48" s="1580"/>
      <c r="D48" s="1344"/>
      <c r="E48" s="1324"/>
      <c r="F48" s="75" t="s">
        <v>390</v>
      </c>
      <c r="G48" s="76">
        <f>+지급비율!F22*D46/1000</f>
        <v>199936000</v>
      </c>
      <c r="H48" s="76">
        <f>+G48*10%</f>
        <v>19993600</v>
      </c>
      <c r="I48" s="76">
        <f>SUM(G48:H48)</f>
        <v>219929600</v>
      </c>
      <c r="J48" s="75">
        <f t="shared" si="2"/>
        <v>0</v>
      </c>
      <c r="K48" s="80">
        <f>+IFERROR(R48+Y48+AF48+AM48+AT48+BA48+BH48+BO48,"-")</f>
        <v>0</v>
      </c>
      <c r="L48" s="80">
        <f>+I48-K48</f>
        <v>219929600</v>
      </c>
      <c r="M48" s="1332"/>
      <c r="N48" s="152">
        <v>45935</v>
      </c>
      <c r="O48" s="152"/>
      <c r="P48" s="117">
        <f>+IFERROR(Q48/$I48,"-")</f>
        <v>0.2</v>
      </c>
      <c r="Q48" s="289">
        <f>+$I48*지급비율!G22</f>
        <v>43985920</v>
      </c>
      <c r="R48" s="289"/>
      <c r="S48" s="289">
        <f t="shared" si="0"/>
        <v>43985920</v>
      </c>
      <c r="T48" s="118"/>
      <c r="U48" s="78">
        <v>45991</v>
      </c>
      <c r="V48" s="78"/>
      <c r="W48" s="79">
        <f>+IFERROR(X48/$I48,"-")</f>
        <v>0.2</v>
      </c>
      <c r="X48" s="70">
        <f>+$I48*지급비율!N22</f>
        <v>43985920</v>
      </c>
      <c r="Y48" s="70"/>
      <c r="Z48" s="70">
        <f t="shared" si="3"/>
        <v>43985920</v>
      </c>
      <c r="AA48" s="81"/>
      <c r="AB48" s="78">
        <v>46022</v>
      </c>
      <c r="AC48" s="78"/>
      <c r="AD48" s="79">
        <f>+IFERROR(AE48/$I48,"-")</f>
        <v>0.5</v>
      </c>
      <c r="AE48" s="70">
        <f>+$I48*지급비율!U22</f>
        <v>109964800</v>
      </c>
      <c r="AF48" s="70"/>
      <c r="AG48" s="70">
        <f t="shared" si="4"/>
        <v>109964800</v>
      </c>
      <c r="AH48" s="81"/>
      <c r="AI48" s="72"/>
      <c r="AJ48" s="72"/>
      <c r="AK48" s="79">
        <f t="shared" si="5"/>
        <v>0</v>
      </c>
      <c r="AL48" s="70">
        <f>+$I48*지급비율!AB22</f>
        <v>0</v>
      </c>
      <c r="AM48" s="70"/>
      <c r="AN48" s="70">
        <f t="shared" si="6"/>
        <v>0</v>
      </c>
      <c r="AO48" s="81"/>
      <c r="AP48" s="72"/>
      <c r="AQ48" s="72"/>
      <c r="AR48" s="79"/>
      <c r="AS48" s="70">
        <f>+$I48*지급비율!AI22</f>
        <v>0</v>
      </c>
      <c r="AT48" s="70"/>
      <c r="AU48" s="70">
        <f t="shared" si="7"/>
        <v>0</v>
      </c>
      <c r="AV48" s="81"/>
      <c r="AW48" s="72"/>
      <c r="AX48" s="72"/>
      <c r="AY48" s="79"/>
      <c r="AZ48" s="70">
        <f>+$I48*지급비율!AP22</f>
        <v>0</v>
      </c>
      <c r="BA48" s="70"/>
      <c r="BB48" s="70">
        <f t="shared" si="8"/>
        <v>0</v>
      </c>
      <c r="BC48" s="81"/>
      <c r="BD48" s="72"/>
      <c r="BE48" s="72"/>
      <c r="BF48" s="79"/>
      <c r="BG48" s="70">
        <f>+$I48*지급비율!AW22</f>
        <v>0</v>
      </c>
      <c r="BH48" s="70"/>
      <c r="BI48" s="70">
        <f t="shared" si="9"/>
        <v>0</v>
      </c>
      <c r="BJ48" s="81"/>
      <c r="BK48" s="72">
        <v>46173</v>
      </c>
      <c r="BL48" s="72"/>
      <c r="BM48" s="79">
        <f t="shared" si="10"/>
        <v>0.1</v>
      </c>
      <c r="BN48" s="70">
        <f>+$I48*지급비율!BD22</f>
        <v>21992960</v>
      </c>
      <c r="BO48" s="70"/>
      <c r="BP48" s="70">
        <f t="shared" si="11"/>
        <v>21992960</v>
      </c>
      <c r="BQ48" s="81"/>
      <c r="BR48" s="73"/>
      <c r="BS48" s="74" t="b">
        <f>+Q48+X48+AE48+AS48+AZ48+BG48+BN48=I48</f>
        <v>1</v>
      </c>
      <c r="BT48" s="74" t="b">
        <f>+R48+Y48+AF48+AT48+BA48+BH48+BO48=K48</f>
        <v>1</v>
      </c>
      <c r="BU48" s="74"/>
      <c r="BV48" s="54"/>
      <c r="BW48" s="54"/>
      <c r="BX48" s="54"/>
      <c r="BY48" s="54"/>
      <c r="BZ48" s="54"/>
      <c r="CA48" s="54"/>
      <c r="CB48" s="54"/>
      <c r="CC48" s="54"/>
      <c r="CD48" s="58"/>
      <c r="CE48" s="58"/>
    </row>
    <row r="49" spans="1:83" ht="16.5" customHeight="1">
      <c r="A49" s="62"/>
      <c r="B49" s="1322"/>
      <c r="C49" s="1580"/>
      <c r="D49" s="1344"/>
      <c r="E49" s="1324"/>
      <c r="F49" s="101" t="s">
        <v>391</v>
      </c>
      <c r="G49" s="102">
        <f>+지급비율!F23*D46/1000</f>
        <v>199936000</v>
      </c>
      <c r="H49" s="102">
        <f>+G49*0.1</f>
        <v>19993600</v>
      </c>
      <c r="I49" s="102">
        <f>SUM(G49:H49)</f>
        <v>219929600</v>
      </c>
      <c r="J49" s="101">
        <f t="shared" si="2"/>
        <v>0</v>
      </c>
      <c r="K49" s="106">
        <f>+IFERROR(R49+Y49+AF49+AM49+AT49+BA49+BH49+BO49,"-")</f>
        <v>0</v>
      </c>
      <c r="L49" s="106">
        <f>+I49-K49</f>
        <v>219929600</v>
      </c>
      <c r="M49" s="1333"/>
      <c r="N49" s="430"/>
      <c r="O49" s="431"/>
      <c r="P49" s="432"/>
      <c r="Q49" s="420">
        <f>+$I49*지급비율!G23</f>
        <v>0</v>
      </c>
      <c r="R49" s="433"/>
      <c r="S49" s="433">
        <f t="shared" si="0"/>
        <v>0</v>
      </c>
      <c r="T49" s="431"/>
      <c r="U49" s="85"/>
      <c r="V49" s="101"/>
      <c r="W49" s="105"/>
      <c r="X49" s="106">
        <f>+$I49*지급비율!N23</f>
        <v>0</v>
      </c>
      <c r="Y49" s="106"/>
      <c r="Z49" s="106">
        <f t="shared" si="3"/>
        <v>0</v>
      </c>
      <c r="AA49" s="101"/>
      <c r="AB49" s="85"/>
      <c r="AC49" s="101"/>
      <c r="AD49" s="105"/>
      <c r="AE49" s="106">
        <f>+$I49*지급비율!U23</f>
        <v>0</v>
      </c>
      <c r="AF49" s="106"/>
      <c r="AG49" s="106">
        <f t="shared" si="4"/>
        <v>0</v>
      </c>
      <c r="AH49" s="101"/>
      <c r="AI49" s="85"/>
      <c r="AJ49" s="101"/>
      <c r="AK49" s="105">
        <f t="shared" si="5"/>
        <v>0</v>
      </c>
      <c r="AL49" s="106">
        <f>+$I49*지급비율!AB23</f>
        <v>0</v>
      </c>
      <c r="AM49" s="106"/>
      <c r="AN49" s="106">
        <f t="shared" si="6"/>
        <v>0</v>
      </c>
      <c r="AO49" s="101"/>
      <c r="AP49" s="85"/>
      <c r="AQ49" s="101"/>
      <c r="AR49" s="105"/>
      <c r="AS49" s="106">
        <f>+$I49*지급비율!AI23</f>
        <v>0</v>
      </c>
      <c r="AT49" s="106"/>
      <c r="AU49" s="106">
        <f t="shared" si="7"/>
        <v>0</v>
      </c>
      <c r="AV49" s="101"/>
      <c r="AW49" s="85"/>
      <c r="AX49" s="101"/>
      <c r="AY49" s="105"/>
      <c r="AZ49" s="106">
        <f>+$I49*지급비율!AP23</f>
        <v>0</v>
      </c>
      <c r="BA49" s="106"/>
      <c r="BB49" s="106">
        <f t="shared" si="8"/>
        <v>0</v>
      </c>
      <c r="BC49" s="101"/>
      <c r="BD49" s="85"/>
      <c r="BE49" s="101"/>
      <c r="BF49" s="105"/>
      <c r="BG49" s="106">
        <f>+$I49*지급비율!AW23</f>
        <v>0</v>
      </c>
      <c r="BH49" s="106"/>
      <c r="BI49" s="106">
        <f t="shared" si="9"/>
        <v>0</v>
      </c>
      <c r="BJ49" s="101"/>
      <c r="BK49" s="104">
        <v>46173</v>
      </c>
      <c r="BL49" s="101"/>
      <c r="BM49" s="105">
        <f t="shared" si="10"/>
        <v>1</v>
      </c>
      <c r="BN49" s="106">
        <f>+$I49*지급비율!BD23</f>
        <v>219929600</v>
      </c>
      <c r="BO49" s="106"/>
      <c r="BP49" s="106">
        <f t="shared" si="11"/>
        <v>219929600</v>
      </c>
      <c r="BQ49" s="101"/>
      <c r="BR49" s="88"/>
      <c r="BS49" s="89" t="b">
        <f>+Q49+X49+AE49+AS49+AZ49+BG49+BN49=I49</f>
        <v>1</v>
      </c>
      <c r="BT49" s="90" t="b">
        <f>+R49+Y49+AF49+AT49+BA49+BH49+BO49=K49</f>
        <v>1</v>
      </c>
      <c r="BU49" s="90"/>
      <c r="BV49" s="54"/>
      <c r="BW49" s="54"/>
      <c r="BX49" s="54"/>
      <c r="BY49" s="54"/>
      <c r="BZ49" s="54"/>
      <c r="CA49" s="54"/>
      <c r="CB49" s="54"/>
      <c r="CC49" s="54"/>
      <c r="CD49" s="58"/>
      <c r="CE49" s="58"/>
    </row>
    <row r="50" spans="1:83" ht="16.5" customHeight="1">
      <c r="A50" s="62"/>
      <c r="B50" s="1322"/>
      <c r="C50" s="1580"/>
      <c r="D50" s="1345"/>
      <c r="E50" s="1324"/>
      <c r="F50" s="91" t="s">
        <v>392</v>
      </c>
      <c r="G50" s="92">
        <f>SUM(G46:G49)</f>
        <v>1799424000</v>
      </c>
      <c r="H50" s="92">
        <f>SUM(H46:H49)</f>
        <v>179942400</v>
      </c>
      <c r="I50" s="92">
        <f>SUM(I46:I49)</f>
        <v>1979366400</v>
      </c>
      <c r="J50" s="91">
        <f t="shared" si="2"/>
        <v>0</v>
      </c>
      <c r="K50" s="92">
        <f>SUM(K46:K49)</f>
        <v>0</v>
      </c>
      <c r="L50" s="92">
        <f>SUM(L46:L49)</f>
        <v>1979366400</v>
      </c>
      <c r="M50" s="419">
        <f>+Q47+Q48</f>
        <v>109964800</v>
      </c>
      <c r="N50" s="434"/>
      <c r="O50" s="435"/>
      <c r="P50" s="436">
        <f>+IFERROR(Q50/$I50,"-")</f>
        <v>5.5555555555555552E-2</v>
      </c>
      <c r="Q50" s="419">
        <f>SUM(Q46:Q49)</f>
        <v>109964800</v>
      </c>
      <c r="R50" s="419">
        <f>SUM(R46:R49)</f>
        <v>0</v>
      </c>
      <c r="S50" s="419">
        <f t="shared" si="0"/>
        <v>109964800</v>
      </c>
      <c r="T50" s="435"/>
      <c r="U50" s="93"/>
      <c r="V50" s="91"/>
      <c r="W50" s="94">
        <f>+IFERROR(X50/$I50,"-")</f>
        <v>5.5555555555555552E-2</v>
      </c>
      <c r="X50" s="92">
        <f>SUM(X46:X49)</f>
        <v>109964800</v>
      </c>
      <c r="Y50" s="92">
        <f>SUM(Y46:Y49)</f>
        <v>0</v>
      </c>
      <c r="Z50" s="92">
        <f t="shared" si="3"/>
        <v>109964800</v>
      </c>
      <c r="AA50" s="91"/>
      <c r="AB50" s="93"/>
      <c r="AC50" s="91"/>
      <c r="AD50" s="94">
        <f>+IFERROR(AE50/$I50,"-")</f>
        <v>0.44444444444444442</v>
      </c>
      <c r="AE50" s="92">
        <f>SUM(AE46:AE49)</f>
        <v>879718400</v>
      </c>
      <c r="AF50" s="92">
        <f>SUM(AF46:AF49)</f>
        <v>0</v>
      </c>
      <c r="AG50" s="92">
        <f t="shared" si="4"/>
        <v>879718400</v>
      </c>
      <c r="AH50" s="91"/>
      <c r="AI50" s="93"/>
      <c r="AJ50" s="91"/>
      <c r="AK50" s="94">
        <f t="shared" si="5"/>
        <v>0</v>
      </c>
      <c r="AL50" s="92">
        <f>SUM(AL46:AL49)</f>
        <v>0</v>
      </c>
      <c r="AM50" s="92">
        <f>SUM(AM46:AM49)</f>
        <v>0</v>
      </c>
      <c r="AN50" s="92">
        <f t="shared" si="6"/>
        <v>0</v>
      </c>
      <c r="AO50" s="91"/>
      <c r="AP50" s="93"/>
      <c r="AQ50" s="91"/>
      <c r="AR50" s="94">
        <f>+IFERROR(AS50/$I50,"-")</f>
        <v>0</v>
      </c>
      <c r="AS50" s="92">
        <f>SUM(AS46:AS49)</f>
        <v>0</v>
      </c>
      <c r="AT50" s="92">
        <f>SUM(AT46:AT49)</f>
        <v>0</v>
      </c>
      <c r="AU50" s="92">
        <f t="shared" si="7"/>
        <v>0</v>
      </c>
      <c r="AV50" s="91"/>
      <c r="AW50" s="93"/>
      <c r="AX50" s="91"/>
      <c r="AY50" s="94">
        <f>+IFERROR(AZ50/$I50,"-")</f>
        <v>0</v>
      </c>
      <c r="AZ50" s="92">
        <f>SUM(AZ46:AZ49)</f>
        <v>0</v>
      </c>
      <c r="BA50" s="92">
        <f>SUM(BA46:BA49)</f>
        <v>0</v>
      </c>
      <c r="BB50" s="92">
        <f t="shared" si="8"/>
        <v>0</v>
      </c>
      <c r="BC50" s="91"/>
      <c r="BD50" s="93"/>
      <c r="BE50" s="91"/>
      <c r="BF50" s="94">
        <f>+IFERROR(BG50/$I50,"-")</f>
        <v>0.24444444444444444</v>
      </c>
      <c r="BG50" s="92">
        <f>SUM(BG46:BG49)</f>
        <v>483845120</v>
      </c>
      <c r="BH50" s="92">
        <f>SUM(BH46:BH49)</f>
        <v>0</v>
      </c>
      <c r="BI50" s="92">
        <f t="shared" si="9"/>
        <v>483845120</v>
      </c>
      <c r="BJ50" s="91"/>
      <c r="BK50" s="93"/>
      <c r="BL50" s="91"/>
      <c r="BM50" s="94">
        <f t="shared" si="10"/>
        <v>0.2</v>
      </c>
      <c r="BN50" s="92">
        <f>SUM(BN46:BN49)</f>
        <v>395873280</v>
      </c>
      <c r="BO50" s="92">
        <f>SUM(BO46:BO49)</f>
        <v>0</v>
      </c>
      <c r="BP50" s="92">
        <f t="shared" si="11"/>
        <v>395873280</v>
      </c>
      <c r="BQ50" s="91"/>
      <c r="BR50" s="88"/>
      <c r="BS50" s="96"/>
      <c r="BT50" s="96"/>
      <c r="BU50" s="139"/>
      <c r="BV50" s="54"/>
      <c r="BW50" s="54"/>
      <c r="BX50" s="54"/>
      <c r="BY50" s="54"/>
      <c r="BZ50" s="54"/>
      <c r="CA50" s="54"/>
      <c r="CB50" s="54"/>
      <c r="CC50" s="54"/>
      <c r="CD50" s="58"/>
      <c r="CE50" s="58"/>
    </row>
    <row r="51" spans="1:83" ht="16.5" customHeight="1">
      <c r="A51" s="62"/>
      <c r="B51" s="1322">
        <f t="shared" ref="B51" si="15">+B46+1</f>
        <v>9</v>
      </c>
      <c r="C51" s="1580" t="s">
        <v>928</v>
      </c>
      <c r="D51" s="1343">
        <v>2508.8000000000002</v>
      </c>
      <c r="E51" s="1324" t="s">
        <v>888</v>
      </c>
      <c r="F51" s="63" t="s">
        <v>388</v>
      </c>
      <c r="G51" s="64">
        <f>+$G$2*D51/1000</f>
        <v>2759680000</v>
      </c>
      <c r="H51" s="64">
        <f>+G51*10%</f>
        <v>275968000</v>
      </c>
      <c r="I51" s="64">
        <f>SUM(G51:H51)</f>
        <v>3035648000</v>
      </c>
      <c r="J51" s="63">
        <f t="shared" si="2"/>
        <v>0</v>
      </c>
      <c r="K51" s="134">
        <f>+IFERROR(R51+Y51+AF51+AM51+AT51+BA51+BH51+BO51,"-")</f>
        <v>0</v>
      </c>
      <c r="L51" s="134">
        <f>+I51-K51</f>
        <v>3035648000</v>
      </c>
      <c r="M51" s="1331" t="s">
        <v>407</v>
      </c>
      <c r="N51" s="437"/>
      <c r="O51" s="437"/>
      <c r="P51" s="438"/>
      <c r="Q51" s="416">
        <f>+$I51*지급비율!G20</f>
        <v>0</v>
      </c>
      <c r="R51" s="439"/>
      <c r="S51" s="439">
        <f t="shared" si="0"/>
        <v>0</v>
      </c>
      <c r="T51" s="440"/>
      <c r="U51" s="67"/>
      <c r="V51" s="67"/>
      <c r="W51" s="135"/>
      <c r="X51" s="134">
        <f>+$I51*지급비율!N20</f>
        <v>0</v>
      </c>
      <c r="Y51" s="134"/>
      <c r="Z51" s="134">
        <f t="shared" si="3"/>
        <v>0</v>
      </c>
      <c r="AA51" s="145"/>
      <c r="AB51" s="67">
        <f>+EDATE(AI51,-1)</f>
        <v>46020</v>
      </c>
      <c r="AC51" s="67"/>
      <c r="AD51" s="135">
        <f>+IFERROR(AE51/$I51,"-")</f>
        <v>0.5</v>
      </c>
      <c r="AE51" s="134">
        <f>+$I51*지급비율!U20</f>
        <v>1517824000</v>
      </c>
      <c r="AF51" s="134"/>
      <c r="AG51" s="134">
        <f t="shared" si="4"/>
        <v>1517824000</v>
      </c>
      <c r="AH51" s="145"/>
      <c r="AI51" s="67">
        <f>+EDATE(AP51,-1)+1</f>
        <v>46051</v>
      </c>
      <c r="AJ51" s="67"/>
      <c r="AK51" s="135">
        <f t="shared" si="5"/>
        <v>0</v>
      </c>
      <c r="AL51" s="134">
        <f>+$I51*지급비율!AB20</f>
        <v>0</v>
      </c>
      <c r="AM51" s="134"/>
      <c r="AN51" s="134">
        <f t="shared" si="6"/>
        <v>0</v>
      </c>
      <c r="AO51" s="145"/>
      <c r="AP51" s="67">
        <f>+EDATE(AW51,-1)</f>
        <v>46081</v>
      </c>
      <c r="AQ51" s="67"/>
      <c r="AR51" s="135">
        <f>+IFERROR(AS51/$I51,"-")</f>
        <v>0</v>
      </c>
      <c r="AS51" s="134">
        <f>+$I51*지급비율!AI20</f>
        <v>0</v>
      </c>
      <c r="AT51" s="134"/>
      <c r="AU51" s="134">
        <f t="shared" si="7"/>
        <v>0</v>
      </c>
      <c r="AV51" s="145"/>
      <c r="AW51" s="67">
        <f>+EDATE(BD51,-1)</f>
        <v>46111</v>
      </c>
      <c r="AX51" s="67"/>
      <c r="AY51" s="135">
        <f>+IFERROR(AZ51/$I51,"-")</f>
        <v>0</v>
      </c>
      <c r="AZ51" s="134">
        <f>+$I51*지급비율!AP20</f>
        <v>0</v>
      </c>
      <c r="BA51" s="134"/>
      <c r="BB51" s="134">
        <f t="shared" si="8"/>
        <v>0</v>
      </c>
      <c r="BC51" s="145"/>
      <c r="BD51" s="67">
        <f>+EDATE(BK51,-1)</f>
        <v>46142</v>
      </c>
      <c r="BE51" s="67"/>
      <c r="BF51" s="135">
        <f>+IFERROR(BG51/$I51,"-")</f>
        <v>0.4</v>
      </c>
      <c r="BG51" s="134">
        <f>+$I51*지급비율!AW20</f>
        <v>1214259200</v>
      </c>
      <c r="BH51" s="134"/>
      <c r="BI51" s="134">
        <f t="shared" si="9"/>
        <v>1214259200</v>
      </c>
      <c r="BJ51" s="145"/>
      <c r="BK51" s="67">
        <v>46173</v>
      </c>
      <c r="BL51" s="67"/>
      <c r="BM51" s="135">
        <f t="shared" si="10"/>
        <v>0.1</v>
      </c>
      <c r="BN51" s="134">
        <f>+$I51*지급비율!BD20</f>
        <v>303564800</v>
      </c>
      <c r="BO51" s="134"/>
      <c r="BP51" s="134">
        <f t="shared" si="11"/>
        <v>303564800</v>
      </c>
      <c r="BQ51" s="145"/>
      <c r="BR51" s="73"/>
      <c r="BS51" s="74" t="b">
        <f>+Q51+X51+AE51+AS51+AZ51+BG51+BN51=I51</f>
        <v>1</v>
      </c>
      <c r="BT51" s="74" t="b">
        <f>+R51+Y51+AF51+AT51+BA51+BH51+BO51=K51</f>
        <v>1</v>
      </c>
      <c r="BU51" s="74"/>
      <c r="BV51" s="54"/>
      <c r="BW51" s="54"/>
      <c r="BX51" s="54"/>
      <c r="BY51" s="54"/>
      <c r="BZ51" s="54"/>
      <c r="CA51" s="54"/>
      <c r="CB51" s="54"/>
      <c r="CC51" s="54"/>
      <c r="CD51" s="58"/>
      <c r="CE51" s="58"/>
    </row>
    <row r="52" spans="1:83" ht="16.5" customHeight="1">
      <c r="A52" s="62"/>
      <c r="B52" s="1322"/>
      <c r="C52" s="1580"/>
      <c r="D52" s="1344"/>
      <c r="E52" s="1324"/>
      <c r="F52" s="75" t="s">
        <v>389</v>
      </c>
      <c r="G52" s="76">
        <f>+지급비율!F21*D51/1000</f>
        <v>752640000</v>
      </c>
      <c r="H52" s="76">
        <f>+G52*10%</f>
        <v>75264000</v>
      </c>
      <c r="I52" s="76">
        <f>SUM(G52:H52)</f>
        <v>827904000</v>
      </c>
      <c r="J52" s="75">
        <f t="shared" si="2"/>
        <v>0</v>
      </c>
      <c r="K52" s="80">
        <f>+IFERROR(R52+Y52+AF52+AM52+AT52+BA52+BH52+BO52,"-")</f>
        <v>0</v>
      </c>
      <c r="L52" s="80">
        <f>+I52-K52</f>
        <v>827904000</v>
      </c>
      <c r="M52" s="1332"/>
      <c r="N52" s="152">
        <v>45935</v>
      </c>
      <c r="O52" s="152"/>
      <c r="P52" s="117">
        <f>+IFERROR(Q52/$I52,"-")</f>
        <v>0.2</v>
      </c>
      <c r="Q52" s="289">
        <f>+$I52*지급비율!G21</f>
        <v>165580800</v>
      </c>
      <c r="R52" s="289"/>
      <c r="S52" s="289">
        <f t="shared" si="0"/>
        <v>165580800</v>
      </c>
      <c r="T52" s="118"/>
      <c r="U52" s="78">
        <v>45991</v>
      </c>
      <c r="V52" s="78"/>
      <c r="W52" s="79">
        <f>+IFERROR(X52/$I52,"-")</f>
        <v>0.2</v>
      </c>
      <c r="X52" s="70">
        <f>+$I52*지급비율!N21</f>
        <v>165580800</v>
      </c>
      <c r="Y52" s="70"/>
      <c r="Z52" s="70">
        <f t="shared" si="3"/>
        <v>165580800</v>
      </c>
      <c r="AA52" s="81"/>
      <c r="AB52" s="78">
        <v>46022</v>
      </c>
      <c r="AC52" s="78"/>
      <c r="AD52" s="79">
        <f>+IFERROR(AE52/$I52,"-")</f>
        <v>0.5</v>
      </c>
      <c r="AE52" s="70">
        <f>+$I52*지급비율!U21</f>
        <v>413952000</v>
      </c>
      <c r="AF52" s="70"/>
      <c r="AG52" s="70">
        <f t="shared" si="4"/>
        <v>413952000</v>
      </c>
      <c r="AH52" s="81"/>
      <c r="AI52" s="78"/>
      <c r="AJ52" s="72"/>
      <c r="AK52" s="79">
        <f t="shared" si="5"/>
        <v>0</v>
      </c>
      <c r="AL52" s="70">
        <f>+$I52*지급비율!AB21</f>
        <v>0</v>
      </c>
      <c r="AM52" s="70"/>
      <c r="AN52" s="70">
        <f t="shared" si="6"/>
        <v>0</v>
      </c>
      <c r="AO52" s="81"/>
      <c r="AP52" s="78"/>
      <c r="AQ52" s="72"/>
      <c r="AR52" s="79"/>
      <c r="AS52" s="70">
        <f>+$I52*지급비율!AI21</f>
        <v>0</v>
      </c>
      <c r="AT52" s="70"/>
      <c r="AU52" s="70">
        <f t="shared" si="7"/>
        <v>0</v>
      </c>
      <c r="AV52" s="81"/>
      <c r="AW52" s="78"/>
      <c r="AX52" s="72"/>
      <c r="AY52" s="79"/>
      <c r="AZ52" s="70">
        <f>+$I52*지급비율!AP21</f>
        <v>0</v>
      </c>
      <c r="BA52" s="70"/>
      <c r="BB52" s="70">
        <f t="shared" si="8"/>
        <v>0</v>
      </c>
      <c r="BC52" s="81"/>
      <c r="BD52" s="78"/>
      <c r="BE52" s="72"/>
      <c r="BF52" s="79"/>
      <c r="BG52" s="70">
        <f>+$I52*지급비율!AW21</f>
        <v>0</v>
      </c>
      <c r="BH52" s="70"/>
      <c r="BI52" s="70">
        <f t="shared" si="9"/>
        <v>0</v>
      </c>
      <c r="BJ52" s="81"/>
      <c r="BK52" s="138">
        <v>46173</v>
      </c>
      <c r="BL52" s="72"/>
      <c r="BM52" s="79">
        <f t="shared" si="10"/>
        <v>0.1</v>
      </c>
      <c r="BN52" s="70">
        <f>+$I52*지급비율!BD21</f>
        <v>82790400</v>
      </c>
      <c r="BO52" s="70"/>
      <c r="BP52" s="70">
        <f t="shared" si="11"/>
        <v>82790400</v>
      </c>
      <c r="BQ52" s="81"/>
      <c r="BR52" s="73"/>
      <c r="BS52" s="74" t="b">
        <f>+Q52+X52+AE52+AS52+AZ52+BG52+BN52=I52</f>
        <v>1</v>
      </c>
      <c r="BT52" s="74" t="b">
        <f>+R52+Y52+AF52+AT52+BA52+BH52+BO52=K52</f>
        <v>1</v>
      </c>
      <c r="BU52" s="74" t="b">
        <f>+BG52+BG53+AZ52+AZ53+AS52+AS53+AE52+AE53+X52+X53+Q52+Q53+BN52+BN53=([5]지급비율!$F$21+[5]지급비율!$F$22)*1.1*D51/1000</f>
        <v>1</v>
      </c>
      <c r="BV52" s="54"/>
      <c r="BW52" s="54"/>
      <c r="BX52" s="54"/>
      <c r="BY52" s="54"/>
      <c r="BZ52" s="54"/>
      <c r="CA52" s="54"/>
      <c r="CB52" s="54"/>
      <c r="CC52" s="54"/>
      <c r="CD52" s="58"/>
      <c r="CE52" s="58"/>
    </row>
    <row r="53" spans="1:83" ht="16.5" customHeight="1">
      <c r="A53" s="62"/>
      <c r="B53" s="1322"/>
      <c r="C53" s="1580"/>
      <c r="D53" s="1344"/>
      <c r="E53" s="1324"/>
      <c r="F53" s="75" t="s">
        <v>390</v>
      </c>
      <c r="G53" s="76">
        <f>+지급비율!F22*D51/1000</f>
        <v>501760000.00000006</v>
      </c>
      <c r="H53" s="76">
        <f>+G53*10%</f>
        <v>50176000.000000007</v>
      </c>
      <c r="I53" s="76">
        <f>SUM(G53:H53)</f>
        <v>551936000.00000012</v>
      </c>
      <c r="J53" s="75">
        <f t="shared" si="2"/>
        <v>0</v>
      </c>
      <c r="K53" s="80">
        <f>+IFERROR(R53+Y53+AF53+AM53+AT53+BA53+BH53+BO53,"-")</f>
        <v>0</v>
      </c>
      <c r="L53" s="80">
        <f>+I53-K53</f>
        <v>551936000.00000012</v>
      </c>
      <c r="M53" s="1332"/>
      <c r="N53" s="152">
        <v>45935</v>
      </c>
      <c r="O53" s="152"/>
      <c r="P53" s="117">
        <f>+IFERROR(Q53/$I53,"-")</f>
        <v>0.2</v>
      </c>
      <c r="Q53" s="289">
        <f>+$I53*지급비율!G22</f>
        <v>110387200.00000003</v>
      </c>
      <c r="R53" s="289"/>
      <c r="S53" s="289">
        <f t="shared" si="0"/>
        <v>110387200.00000003</v>
      </c>
      <c r="T53" s="118"/>
      <c r="U53" s="78">
        <v>45991</v>
      </c>
      <c r="V53" s="78"/>
      <c r="W53" s="79">
        <f>+IFERROR(X53/$I53,"-")</f>
        <v>0.2</v>
      </c>
      <c r="X53" s="70">
        <f>+$I53*지급비율!N22</f>
        <v>110387200.00000003</v>
      </c>
      <c r="Y53" s="70"/>
      <c r="Z53" s="70">
        <f t="shared" si="3"/>
        <v>110387200.00000003</v>
      </c>
      <c r="AA53" s="81"/>
      <c r="AB53" s="78">
        <v>46022</v>
      </c>
      <c r="AC53" s="78"/>
      <c r="AD53" s="79">
        <f>+IFERROR(AE53/$I53,"-")</f>
        <v>0.5</v>
      </c>
      <c r="AE53" s="70">
        <f>+$I53*지급비율!U22</f>
        <v>275968000.00000006</v>
      </c>
      <c r="AF53" s="70"/>
      <c r="AG53" s="70">
        <f t="shared" si="4"/>
        <v>275968000.00000006</v>
      </c>
      <c r="AH53" s="81"/>
      <c r="AI53" s="72"/>
      <c r="AJ53" s="72"/>
      <c r="AK53" s="79">
        <f t="shared" si="5"/>
        <v>0</v>
      </c>
      <c r="AL53" s="70">
        <f>+$I53*지급비율!AB22</f>
        <v>0</v>
      </c>
      <c r="AM53" s="70"/>
      <c r="AN53" s="70">
        <f t="shared" si="6"/>
        <v>0</v>
      </c>
      <c r="AO53" s="81"/>
      <c r="AP53" s="72"/>
      <c r="AQ53" s="72"/>
      <c r="AR53" s="79"/>
      <c r="AS53" s="70">
        <f>+$I53*지급비율!AI22</f>
        <v>0</v>
      </c>
      <c r="AT53" s="70"/>
      <c r="AU53" s="70">
        <f t="shared" si="7"/>
        <v>0</v>
      </c>
      <c r="AV53" s="81"/>
      <c r="AW53" s="72"/>
      <c r="AX53" s="72"/>
      <c r="AY53" s="79"/>
      <c r="AZ53" s="70">
        <f>+$I53*지급비율!AP22</f>
        <v>0</v>
      </c>
      <c r="BA53" s="70"/>
      <c r="BB53" s="70">
        <f t="shared" si="8"/>
        <v>0</v>
      </c>
      <c r="BC53" s="81"/>
      <c r="BD53" s="72"/>
      <c r="BE53" s="72"/>
      <c r="BF53" s="79"/>
      <c r="BG53" s="70">
        <f>+$I53*지급비율!AW22</f>
        <v>0</v>
      </c>
      <c r="BH53" s="70"/>
      <c r="BI53" s="70">
        <f t="shared" si="9"/>
        <v>0</v>
      </c>
      <c r="BJ53" s="81"/>
      <c r="BK53" s="72">
        <v>46173</v>
      </c>
      <c r="BL53" s="72"/>
      <c r="BM53" s="79">
        <f t="shared" si="10"/>
        <v>0.1</v>
      </c>
      <c r="BN53" s="70">
        <f>+$I53*지급비율!BD22</f>
        <v>55193600.000000015</v>
      </c>
      <c r="BO53" s="70"/>
      <c r="BP53" s="70">
        <f t="shared" si="11"/>
        <v>55193600.000000015</v>
      </c>
      <c r="BQ53" s="81"/>
      <c r="BR53" s="73"/>
      <c r="BS53" s="74" t="b">
        <f>+Q53+X53+AE53+AS53+AZ53+BG53+BN53=I53</f>
        <v>1</v>
      </c>
      <c r="BT53" s="74" t="b">
        <f>+R53+Y53+AF53+AT53+BA53+BH53+BO53=K53</f>
        <v>1</v>
      </c>
      <c r="BU53" s="74"/>
      <c r="BV53" s="54"/>
      <c r="BW53" s="54"/>
      <c r="BX53" s="54"/>
      <c r="BY53" s="54"/>
      <c r="BZ53" s="54"/>
      <c r="CA53" s="54"/>
      <c r="CB53" s="54"/>
      <c r="CC53" s="54"/>
      <c r="CD53" s="58"/>
      <c r="CE53" s="58"/>
    </row>
    <row r="54" spans="1:83" ht="16.5" customHeight="1">
      <c r="A54" s="62"/>
      <c r="B54" s="1322"/>
      <c r="C54" s="1580"/>
      <c r="D54" s="1344"/>
      <c r="E54" s="1324"/>
      <c r="F54" s="101" t="s">
        <v>391</v>
      </c>
      <c r="G54" s="102">
        <f>+지급비율!F23*D51/1000</f>
        <v>501760000.00000006</v>
      </c>
      <c r="H54" s="102">
        <f>+G54*0.1</f>
        <v>50176000.000000007</v>
      </c>
      <c r="I54" s="102">
        <f>SUM(G54:H54)</f>
        <v>551936000.00000012</v>
      </c>
      <c r="J54" s="101">
        <f t="shared" si="2"/>
        <v>0</v>
      </c>
      <c r="K54" s="106">
        <f>+IFERROR(R54+Y54+AF54+AM54+AT54+BA54+BH54+BO54,"-")</f>
        <v>0</v>
      </c>
      <c r="L54" s="106">
        <f>+I54-K54</f>
        <v>551936000.00000012</v>
      </c>
      <c r="M54" s="1333"/>
      <c r="N54" s="430"/>
      <c r="O54" s="431"/>
      <c r="P54" s="432"/>
      <c r="Q54" s="433">
        <f>+$I54*지급비율!G23</f>
        <v>0</v>
      </c>
      <c r="R54" s="433"/>
      <c r="S54" s="433">
        <f t="shared" si="0"/>
        <v>0</v>
      </c>
      <c r="T54" s="431"/>
      <c r="U54" s="85"/>
      <c r="V54" s="101"/>
      <c r="W54" s="105"/>
      <c r="X54" s="106">
        <f>+$I54*지급비율!N23</f>
        <v>0</v>
      </c>
      <c r="Y54" s="106"/>
      <c r="Z54" s="106">
        <f t="shared" si="3"/>
        <v>0</v>
      </c>
      <c r="AA54" s="101"/>
      <c r="AB54" s="85"/>
      <c r="AC54" s="101"/>
      <c r="AD54" s="105"/>
      <c r="AE54" s="106">
        <f>+$I54*지급비율!U23</f>
        <v>0</v>
      </c>
      <c r="AF54" s="106"/>
      <c r="AG54" s="106">
        <f t="shared" si="4"/>
        <v>0</v>
      </c>
      <c r="AH54" s="101"/>
      <c r="AI54" s="85"/>
      <c r="AJ54" s="101"/>
      <c r="AK54" s="105">
        <f t="shared" si="5"/>
        <v>0</v>
      </c>
      <c r="AL54" s="106">
        <f>+$I54*지급비율!AB23</f>
        <v>0</v>
      </c>
      <c r="AM54" s="106"/>
      <c r="AN54" s="106">
        <f t="shared" si="6"/>
        <v>0</v>
      </c>
      <c r="AO54" s="101"/>
      <c r="AP54" s="85"/>
      <c r="AQ54" s="101"/>
      <c r="AR54" s="105"/>
      <c r="AS54" s="106">
        <f>+$I54*지급비율!AI23</f>
        <v>0</v>
      </c>
      <c r="AT54" s="106"/>
      <c r="AU54" s="106">
        <f t="shared" si="7"/>
        <v>0</v>
      </c>
      <c r="AV54" s="101"/>
      <c r="AW54" s="85"/>
      <c r="AX54" s="101"/>
      <c r="AY54" s="105"/>
      <c r="AZ54" s="106">
        <f>+$I54*지급비율!AP23</f>
        <v>0</v>
      </c>
      <c r="BA54" s="106"/>
      <c r="BB54" s="106">
        <f t="shared" si="8"/>
        <v>0</v>
      </c>
      <c r="BC54" s="101"/>
      <c r="BD54" s="85"/>
      <c r="BE54" s="101"/>
      <c r="BF54" s="105"/>
      <c r="BG54" s="106">
        <f>+$I54*지급비율!AW23</f>
        <v>0</v>
      </c>
      <c r="BH54" s="106"/>
      <c r="BI54" s="106">
        <f t="shared" si="9"/>
        <v>0</v>
      </c>
      <c r="BJ54" s="101"/>
      <c r="BK54" s="104">
        <v>46173</v>
      </c>
      <c r="BL54" s="101"/>
      <c r="BM54" s="105">
        <f t="shared" si="10"/>
        <v>1</v>
      </c>
      <c r="BN54" s="106">
        <f>+$I54*지급비율!BD23</f>
        <v>551936000.00000012</v>
      </c>
      <c r="BO54" s="106"/>
      <c r="BP54" s="106">
        <f t="shared" si="11"/>
        <v>551936000.00000012</v>
      </c>
      <c r="BQ54" s="101"/>
      <c r="BR54" s="88"/>
      <c r="BS54" s="89" t="b">
        <f>+Q54+X54+AE54+AS54+AZ54+BG54+BN54=I54</f>
        <v>1</v>
      </c>
      <c r="BT54" s="90" t="b">
        <f>+R54+Y54+AF54+AT54+BA54+BH54+BO54=K54</f>
        <v>1</v>
      </c>
      <c r="BU54" s="90"/>
      <c r="BV54" s="54"/>
      <c r="BW54" s="54"/>
      <c r="BX54" s="54"/>
      <c r="BY54" s="54"/>
      <c r="BZ54" s="54"/>
      <c r="CA54" s="54"/>
      <c r="CB54" s="54"/>
      <c r="CC54" s="54"/>
      <c r="CD54" s="58"/>
      <c r="CE54" s="58"/>
    </row>
    <row r="55" spans="1:83" ht="16.5" customHeight="1">
      <c r="A55" s="62"/>
      <c r="B55" s="1322"/>
      <c r="C55" s="1580"/>
      <c r="D55" s="1345"/>
      <c r="E55" s="1324"/>
      <c r="F55" s="91" t="s">
        <v>392</v>
      </c>
      <c r="G55" s="92">
        <f>SUM(G51:G54)</f>
        <v>4515840000</v>
      </c>
      <c r="H55" s="92">
        <f>SUM(H51:H54)</f>
        <v>451584000</v>
      </c>
      <c r="I55" s="92">
        <f>SUM(I51:I54)</f>
        <v>4967424000</v>
      </c>
      <c r="J55" s="91">
        <f t="shared" si="2"/>
        <v>0</v>
      </c>
      <c r="K55" s="92">
        <f>SUM(K51:K54)</f>
        <v>0</v>
      </c>
      <c r="L55" s="92">
        <f>SUM(L51:L54)</f>
        <v>4967424000</v>
      </c>
      <c r="M55" s="419">
        <f>+Q52+Q53</f>
        <v>275968000</v>
      </c>
      <c r="N55" s="93"/>
      <c r="O55" s="91"/>
      <c r="P55" s="94">
        <f t="shared" ref="P55:P60" si="16">+IFERROR(Q55/$I55,"-")</f>
        <v>5.5555555555555552E-2</v>
      </c>
      <c r="Q55" s="92">
        <f>SUM(Q51:Q54)</f>
        <v>275968000</v>
      </c>
      <c r="R55" s="92">
        <f>SUM(R51:R54)</f>
        <v>0</v>
      </c>
      <c r="S55" s="92">
        <f t="shared" si="0"/>
        <v>275968000</v>
      </c>
      <c r="T55" s="91"/>
      <c r="U55" s="93"/>
      <c r="V55" s="91"/>
      <c r="W55" s="94">
        <f t="shared" ref="W55:W60" si="17">+IFERROR(X55/$I55,"-")</f>
        <v>5.5555555555555552E-2</v>
      </c>
      <c r="X55" s="92">
        <f>SUM(X51:X54)</f>
        <v>275968000</v>
      </c>
      <c r="Y55" s="92">
        <f>SUM(Y51:Y54)</f>
        <v>0</v>
      </c>
      <c r="Z55" s="92">
        <f t="shared" si="3"/>
        <v>275968000</v>
      </c>
      <c r="AA55" s="91"/>
      <c r="AB55" s="93"/>
      <c r="AC55" s="91"/>
      <c r="AD55" s="94">
        <f t="shared" ref="AD55:AD60" si="18">+IFERROR(AE55/$I55,"-")</f>
        <v>0.44444444444444442</v>
      </c>
      <c r="AE55" s="92">
        <f>SUM(AE51:AE54)</f>
        <v>2207744000</v>
      </c>
      <c r="AF55" s="92">
        <f>SUM(AF51:AF54)</f>
        <v>0</v>
      </c>
      <c r="AG55" s="92">
        <f t="shared" si="4"/>
        <v>2207744000</v>
      </c>
      <c r="AH55" s="91"/>
      <c r="AI55" s="93"/>
      <c r="AJ55" s="91"/>
      <c r="AK55" s="94">
        <f t="shared" si="5"/>
        <v>0</v>
      </c>
      <c r="AL55" s="92">
        <f>SUM(AL51:AL54)</f>
        <v>0</v>
      </c>
      <c r="AM55" s="92">
        <f>SUM(AM51:AM54)</f>
        <v>0</v>
      </c>
      <c r="AN55" s="92">
        <f t="shared" si="6"/>
        <v>0</v>
      </c>
      <c r="AO55" s="91"/>
      <c r="AP55" s="93"/>
      <c r="AQ55" s="91"/>
      <c r="AR55" s="94">
        <f t="shared" ref="AR55:AR60" si="19">+IFERROR(AS55/$I55,"-")</f>
        <v>0</v>
      </c>
      <c r="AS55" s="92">
        <f>SUM(AS51:AS54)</f>
        <v>0</v>
      </c>
      <c r="AT55" s="92">
        <f>SUM(AT51:AT54)</f>
        <v>0</v>
      </c>
      <c r="AU55" s="92">
        <f t="shared" si="7"/>
        <v>0</v>
      </c>
      <c r="AV55" s="91"/>
      <c r="AW55" s="93"/>
      <c r="AX55" s="91"/>
      <c r="AY55" s="94">
        <f t="shared" ref="AY55:AY60" si="20">+IFERROR(AZ55/$I55,"-")</f>
        <v>0</v>
      </c>
      <c r="AZ55" s="92">
        <f>SUM(AZ51:AZ54)</f>
        <v>0</v>
      </c>
      <c r="BA55" s="92">
        <f>SUM(BA51:BA54)</f>
        <v>0</v>
      </c>
      <c r="BB55" s="92">
        <f t="shared" si="8"/>
        <v>0</v>
      </c>
      <c r="BC55" s="91"/>
      <c r="BD55" s="93"/>
      <c r="BE55" s="91"/>
      <c r="BF55" s="94">
        <f t="shared" ref="BF55:BF60" si="21">+IFERROR(BG55/$I55,"-")</f>
        <v>0.24444444444444444</v>
      </c>
      <c r="BG55" s="92">
        <f>SUM(BG51:BG54)</f>
        <v>1214259200</v>
      </c>
      <c r="BH55" s="92">
        <f>SUM(BH51:BH54)</f>
        <v>0</v>
      </c>
      <c r="BI55" s="92">
        <f t="shared" si="9"/>
        <v>1214259200</v>
      </c>
      <c r="BJ55" s="91"/>
      <c r="BK55" s="93"/>
      <c r="BL55" s="91"/>
      <c r="BM55" s="94">
        <f t="shared" si="10"/>
        <v>0.2</v>
      </c>
      <c r="BN55" s="92">
        <f>SUM(BN51:BN54)</f>
        <v>993484800.00000012</v>
      </c>
      <c r="BO55" s="92">
        <f>SUM(BO51:BO54)</f>
        <v>0</v>
      </c>
      <c r="BP55" s="92">
        <f t="shared" si="11"/>
        <v>993484800.00000012</v>
      </c>
      <c r="BQ55" s="91"/>
      <c r="BR55" s="88"/>
      <c r="BS55" s="96"/>
      <c r="BT55" s="96"/>
      <c r="BU55" s="139"/>
      <c r="BV55" s="54"/>
      <c r="BW55" s="54"/>
      <c r="BX55" s="54"/>
      <c r="BY55" s="54"/>
      <c r="BZ55" s="54"/>
      <c r="CA55" s="54"/>
      <c r="CB55" s="54"/>
      <c r="CC55" s="54"/>
      <c r="CD55" s="58"/>
      <c r="CE55" s="58"/>
    </row>
    <row r="56" spans="1:83" ht="16.5" customHeight="1">
      <c r="A56" s="146"/>
      <c r="B56" s="1529" t="s">
        <v>392</v>
      </c>
      <c r="C56" s="1529"/>
      <c r="D56" s="1536">
        <f>+SUM(D11:D55)</f>
        <v>7946.6900000000005</v>
      </c>
      <c r="E56" s="1529"/>
      <c r="F56" s="147" t="s">
        <v>388</v>
      </c>
      <c r="G56" s="148">
        <f>+G11+G16+G21+G26+G31+G36+G41+G46+G51</f>
        <v>8741359000</v>
      </c>
      <c r="H56" s="148">
        <f>+G56*10%</f>
        <v>874135900</v>
      </c>
      <c r="I56" s="148">
        <f t="shared" ref="I56:I58" si="22">SUM(G56:H56)</f>
        <v>9615494900</v>
      </c>
      <c r="J56" s="147">
        <f t="shared" si="2"/>
        <v>0</v>
      </c>
      <c r="K56" s="148">
        <f>+K11+K16+K21+K26+K31+K36+K41+K46+K51</f>
        <v>0</v>
      </c>
      <c r="L56" s="148">
        <f>+I56-K56</f>
        <v>9615494900</v>
      </c>
      <c r="M56" s="421"/>
      <c r="N56" s="149"/>
      <c r="O56" s="149"/>
      <c r="P56" s="141">
        <f t="shared" si="16"/>
        <v>0</v>
      </c>
      <c r="Q56" s="148">
        <f t="shared" ref="Q56:R59" si="23">+Q11+Q16+Q21+Q26+Q31+Q36+Q41+Q46+Q51</f>
        <v>0</v>
      </c>
      <c r="R56" s="148">
        <f t="shared" si="23"/>
        <v>0</v>
      </c>
      <c r="S56" s="150">
        <f t="shared" si="0"/>
        <v>0</v>
      </c>
      <c r="T56" s="151"/>
      <c r="U56" s="149"/>
      <c r="V56" s="149"/>
      <c r="W56" s="141">
        <f t="shared" si="17"/>
        <v>0</v>
      </c>
      <c r="X56" s="148">
        <f t="shared" ref="X56:Y59" si="24">+X11+X16+X21+X26+X31+X36+X41+X46+X51</f>
        <v>0</v>
      </c>
      <c r="Y56" s="148">
        <f t="shared" si="24"/>
        <v>0</v>
      </c>
      <c r="Z56" s="150">
        <f t="shared" si="3"/>
        <v>0</v>
      </c>
      <c r="AA56" s="151"/>
      <c r="AB56" s="149"/>
      <c r="AC56" s="149"/>
      <c r="AD56" s="141">
        <f t="shared" si="18"/>
        <v>0.48222027032638748</v>
      </c>
      <c r="AE56" s="148">
        <f t="shared" ref="AE56:AF59" si="25">+AE11+AE16+AE21+AE26+AE31+AE36+AE41+AE46+AE51</f>
        <v>4636786550</v>
      </c>
      <c r="AF56" s="148">
        <f t="shared" si="25"/>
        <v>0</v>
      </c>
      <c r="AG56" s="150">
        <f t="shared" si="4"/>
        <v>4636786550</v>
      </c>
      <c r="AH56" s="151"/>
      <c r="AI56" s="149"/>
      <c r="AJ56" s="149"/>
      <c r="AK56" s="141">
        <f t="shared" si="5"/>
        <v>0</v>
      </c>
      <c r="AL56" s="148">
        <f t="shared" ref="AL56:AM59" si="26">+AL11+AL16+AL21+AL26+AL31+AL36+AL41+AL46+AL51</f>
        <v>0</v>
      </c>
      <c r="AM56" s="148">
        <f t="shared" si="26"/>
        <v>0</v>
      </c>
      <c r="AN56" s="150">
        <f t="shared" si="6"/>
        <v>0</v>
      </c>
      <c r="AO56" s="151"/>
      <c r="AP56" s="149"/>
      <c r="AQ56" s="149"/>
      <c r="AR56" s="141">
        <f t="shared" si="19"/>
        <v>0</v>
      </c>
      <c r="AS56" s="148">
        <f t="shared" ref="AS56:AT59" si="27">+AS11+AS16+AS21+AS26+AS31+AS36+AS41+AS46+AS51</f>
        <v>0</v>
      </c>
      <c r="AT56" s="148">
        <f t="shared" si="27"/>
        <v>0</v>
      </c>
      <c r="AU56" s="150">
        <f t="shared" si="7"/>
        <v>0</v>
      </c>
      <c r="AV56" s="151"/>
      <c r="AW56" s="149"/>
      <c r="AX56" s="149"/>
      <c r="AY56" s="141">
        <f t="shared" si="20"/>
        <v>0</v>
      </c>
      <c r="AZ56" s="148">
        <f t="shared" ref="AZ56:BA59" si="28">+AZ11+AZ16+AZ21+AZ26+AZ31+AZ36+AZ41+AZ46+AZ51</f>
        <v>0</v>
      </c>
      <c r="BA56" s="148">
        <f t="shared" si="28"/>
        <v>0</v>
      </c>
      <c r="BB56" s="150">
        <f t="shared" si="8"/>
        <v>0</v>
      </c>
      <c r="BC56" s="151"/>
      <c r="BD56" s="149"/>
      <c r="BE56" s="149"/>
      <c r="BF56" s="141">
        <f t="shared" si="21"/>
        <v>0.38577621626110997</v>
      </c>
      <c r="BG56" s="148">
        <f t="shared" ref="BG56:BH59" si="29">+BG11+BG16+BG21+BG26+BG31+BG36+BG41+BG46+BG51</f>
        <v>3709429240</v>
      </c>
      <c r="BH56" s="148">
        <f t="shared" si="29"/>
        <v>0</v>
      </c>
      <c r="BI56" s="150">
        <f t="shared" si="9"/>
        <v>3709429240</v>
      </c>
      <c r="BJ56" s="151"/>
      <c r="BK56" s="149"/>
      <c r="BL56" s="149"/>
      <c r="BM56" s="141">
        <f t="shared" si="10"/>
        <v>9.6444054065277493E-2</v>
      </c>
      <c r="BN56" s="148">
        <f t="shared" ref="BN56:BO59" si="30">+BN11+BN16+BN21+BN26+BN31+BN36+BN41+BN46+BN51</f>
        <v>927357310</v>
      </c>
      <c r="BO56" s="148">
        <f t="shared" si="30"/>
        <v>0</v>
      </c>
      <c r="BP56" s="150">
        <f t="shared" si="11"/>
        <v>927357310</v>
      </c>
      <c r="BQ56" s="151"/>
      <c r="BR56" s="73"/>
      <c r="BS56" s="113"/>
      <c r="BT56" s="113" t="b">
        <f>+R56+Y56+AF56+AT56+BA56+BH56+BO56=K56</f>
        <v>1</v>
      </c>
      <c r="BU56" s="113"/>
      <c r="BV56" s="54"/>
      <c r="BW56" s="54"/>
      <c r="BX56" s="54"/>
      <c r="BY56" s="54"/>
      <c r="BZ56" s="54"/>
      <c r="CA56" s="54"/>
      <c r="CB56" s="54"/>
      <c r="CC56" s="54"/>
      <c r="CD56" s="58"/>
      <c r="CE56" s="58"/>
    </row>
    <row r="57" spans="1:83" ht="16.5" customHeight="1">
      <c r="A57" s="146"/>
      <c r="B57" s="1529"/>
      <c r="C57" s="1529"/>
      <c r="D57" s="1536"/>
      <c r="E57" s="1529"/>
      <c r="F57" s="114" t="s">
        <v>389</v>
      </c>
      <c r="G57" s="115">
        <f t="shared" ref="G57:G59" si="31">+G12+G17+G22+G27+G32+G37+G42+G47+G52</f>
        <v>2384007000</v>
      </c>
      <c r="H57" s="115">
        <f>+G57*10%</f>
        <v>238400700</v>
      </c>
      <c r="I57" s="115">
        <f t="shared" si="22"/>
        <v>2622407700</v>
      </c>
      <c r="J57" s="114">
        <f t="shared" si="2"/>
        <v>1.0887048569907723E-2</v>
      </c>
      <c r="K57" s="115">
        <f t="shared" ref="K57:K59" si="32">+K12+K17+K22+K27+K32+K37+K42+K47+K52</f>
        <v>28550280</v>
      </c>
      <c r="L57" s="115">
        <f t="shared" ref="L57:L59" si="33">+I57-K57</f>
        <v>2593857420</v>
      </c>
      <c r="M57" s="422"/>
      <c r="N57" s="152"/>
      <c r="O57" s="152"/>
      <c r="P57" s="117">
        <f t="shared" si="16"/>
        <v>0.23076501033763744</v>
      </c>
      <c r="Q57" s="115">
        <f t="shared" si="23"/>
        <v>605159940</v>
      </c>
      <c r="R57" s="115">
        <f t="shared" si="23"/>
        <v>28550280</v>
      </c>
      <c r="S57" s="153">
        <f t="shared" si="0"/>
        <v>576609660</v>
      </c>
      <c r="T57" s="118"/>
      <c r="U57" s="152"/>
      <c r="V57" s="152"/>
      <c r="W57" s="117">
        <f t="shared" si="17"/>
        <v>0.16212309779291756</v>
      </c>
      <c r="X57" s="115">
        <f t="shared" si="24"/>
        <v>425152860</v>
      </c>
      <c r="Y57" s="115">
        <f t="shared" si="24"/>
        <v>0</v>
      </c>
      <c r="Z57" s="153">
        <f t="shared" si="3"/>
        <v>425152860</v>
      </c>
      <c r="AA57" s="118"/>
      <c r="AB57" s="152"/>
      <c r="AC57" s="152"/>
      <c r="AD57" s="117">
        <f t="shared" si="18"/>
        <v>0.48222027032638748</v>
      </c>
      <c r="AE57" s="115">
        <f t="shared" si="25"/>
        <v>1264578150</v>
      </c>
      <c r="AF57" s="115">
        <f t="shared" si="25"/>
        <v>0</v>
      </c>
      <c r="AG57" s="153">
        <f t="shared" si="4"/>
        <v>1264578150</v>
      </c>
      <c r="AH57" s="118"/>
      <c r="AI57" s="152"/>
      <c r="AJ57" s="152"/>
      <c r="AK57" s="117">
        <f t="shared" si="5"/>
        <v>0</v>
      </c>
      <c r="AL57" s="115">
        <f t="shared" si="26"/>
        <v>0</v>
      </c>
      <c r="AM57" s="115">
        <f t="shared" si="26"/>
        <v>0</v>
      </c>
      <c r="AN57" s="153">
        <f t="shared" si="6"/>
        <v>0</v>
      </c>
      <c r="AO57" s="118"/>
      <c r="AP57" s="152"/>
      <c r="AQ57" s="152"/>
      <c r="AR57" s="117">
        <f t="shared" si="19"/>
        <v>0</v>
      </c>
      <c r="AS57" s="115">
        <f t="shared" si="27"/>
        <v>0</v>
      </c>
      <c r="AT57" s="115">
        <f t="shared" si="27"/>
        <v>0</v>
      </c>
      <c r="AU57" s="153">
        <f t="shared" si="7"/>
        <v>0</v>
      </c>
      <c r="AV57" s="118"/>
      <c r="AW57" s="152"/>
      <c r="AX57" s="152"/>
      <c r="AY57" s="117">
        <f t="shared" si="20"/>
        <v>0</v>
      </c>
      <c r="AZ57" s="115">
        <f t="shared" si="28"/>
        <v>0</v>
      </c>
      <c r="BA57" s="115">
        <f t="shared" si="28"/>
        <v>0</v>
      </c>
      <c r="BB57" s="153">
        <f t="shared" si="8"/>
        <v>0</v>
      </c>
      <c r="BC57" s="118"/>
      <c r="BD57" s="152"/>
      <c r="BE57" s="152"/>
      <c r="BF57" s="117">
        <f t="shared" si="21"/>
        <v>0</v>
      </c>
      <c r="BG57" s="115">
        <f t="shared" si="29"/>
        <v>0</v>
      </c>
      <c r="BH57" s="115">
        <f t="shared" si="29"/>
        <v>0</v>
      </c>
      <c r="BI57" s="153">
        <f t="shared" si="9"/>
        <v>0</v>
      </c>
      <c r="BJ57" s="118"/>
      <c r="BK57" s="152"/>
      <c r="BL57" s="152"/>
      <c r="BM57" s="117">
        <f t="shared" si="10"/>
        <v>9.6444054065277493E-2</v>
      </c>
      <c r="BN57" s="115">
        <f t="shared" si="30"/>
        <v>252915630</v>
      </c>
      <c r="BO57" s="115">
        <f t="shared" si="30"/>
        <v>0</v>
      </c>
      <c r="BP57" s="153">
        <f t="shared" si="11"/>
        <v>252915630</v>
      </c>
      <c r="BQ57" s="118"/>
      <c r="BR57" s="73"/>
      <c r="BS57" s="113"/>
      <c r="BT57" s="113" t="b">
        <f>+R57+Y57+AF57+AT57+BA57+BH57+BO57=K57</f>
        <v>1</v>
      </c>
      <c r="BU57" s="113" t="b">
        <f>+BG57+BG58+AZ57+AZ58+AS57+AS58+AE57+AE58+X57+X58+Q57+Q58+BN57+BN58=([5]지급비율!$F$21+[5]지급비율!$F$22)*1.1*D56/1000</f>
        <v>0</v>
      </c>
      <c r="BV57" s="54"/>
      <c r="BW57" s="54"/>
      <c r="BX57" s="54"/>
      <c r="BY57" s="54"/>
      <c r="BZ57" s="54"/>
      <c r="CA57" s="54"/>
      <c r="CB57" s="54"/>
      <c r="CC57" s="54"/>
      <c r="CD57" s="58"/>
      <c r="CE57" s="58"/>
    </row>
    <row r="58" spans="1:83" ht="16.5" customHeight="1">
      <c r="A58" s="146"/>
      <c r="B58" s="1529"/>
      <c r="C58" s="1529"/>
      <c r="D58" s="1536"/>
      <c r="E58" s="1529"/>
      <c r="F58" s="114" t="s">
        <v>390</v>
      </c>
      <c r="G58" s="115">
        <f t="shared" si="31"/>
        <v>1589338000</v>
      </c>
      <c r="H58" s="115">
        <f t="shared" ref="H58" si="34">+G58*10%</f>
        <v>158933800</v>
      </c>
      <c r="I58" s="115">
        <f t="shared" si="22"/>
        <v>1748271800</v>
      </c>
      <c r="J58" s="114">
        <f t="shared" si="2"/>
        <v>1.0887048569907723E-2</v>
      </c>
      <c r="K58" s="115">
        <f t="shared" si="32"/>
        <v>19033520</v>
      </c>
      <c r="L58" s="115">
        <f t="shared" si="33"/>
        <v>1729238280</v>
      </c>
      <c r="M58" s="422"/>
      <c r="N58" s="152"/>
      <c r="O58" s="152"/>
      <c r="P58" s="117">
        <f t="shared" si="16"/>
        <v>0.23076501033763744</v>
      </c>
      <c r="Q58" s="115">
        <f t="shared" si="23"/>
        <v>403439960</v>
      </c>
      <c r="R58" s="115">
        <f t="shared" si="23"/>
        <v>19033520</v>
      </c>
      <c r="S58" s="153">
        <f t="shared" si="0"/>
        <v>384406440</v>
      </c>
      <c r="T58" s="118"/>
      <c r="U58" s="152"/>
      <c r="V58" s="152"/>
      <c r="W58" s="117">
        <f t="shared" si="17"/>
        <v>0.16212309779291756</v>
      </c>
      <c r="X58" s="115">
        <f t="shared" si="24"/>
        <v>283435240</v>
      </c>
      <c r="Y58" s="115">
        <f t="shared" si="24"/>
        <v>0</v>
      </c>
      <c r="Z58" s="153">
        <f t="shared" si="3"/>
        <v>283435240</v>
      </c>
      <c r="AA58" s="118"/>
      <c r="AB58" s="152"/>
      <c r="AC58" s="152"/>
      <c r="AD58" s="117">
        <f t="shared" si="18"/>
        <v>0.48222027032638748</v>
      </c>
      <c r="AE58" s="115">
        <f t="shared" si="25"/>
        <v>843052100</v>
      </c>
      <c r="AF58" s="115">
        <f t="shared" si="25"/>
        <v>0</v>
      </c>
      <c r="AG58" s="153">
        <f t="shared" si="4"/>
        <v>843052100</v>
      </c>
      <c r="AH58" s="118"/>
      <c r="AI58" s="152"/>
      <c r="AJ58" s="152"/>
      <c r="AK58" s="117">
        <f t="shared" si="5"/>
        <v>0</v>
      </c>
      <c r="AL58" s="115">
        <f t="shared" si="26"/>
        <v>0</v>
      </c>
      <c r="AM58" s="115">
        <f t="shared" si="26"/>
        <v>0</v>
      </c>
      <c r="AN58" s="153">
        <f t="shared" si="6"/>
        <v>0</v>
      </c>
      <c r="AO58" s="118"/>
      <c r="AP58" s="152"/>
      <c r="AQ58" s="152"/>
      <c r="AR58" s="117">
        <f t="shared" si="19"/>
        <v>0</v>
      </c>
      <c r="AS58" s="115">
        <f t="shared" si="27"/>
        <v>0</v>
      </c>
      <c r="AT58" s="115">
        <f t="shared" si="27"/>
        <v>0</v>
      </c>
      <c r="AU58" s="153">
        <f t="shared" si="7"/>
        <v>0</v>
      </c>
      <c r="AV58" s="118"/>
      <c r="AW58" s="152"/>
      <c r="AX58" s="152"/>
      <c r="AY58" s="117">
        <f t="shared" si="20"/>
        <v>0</v>
      </c>
      <c r="AZ58" s="115">
        <f t="shared" si="28"/>
        <v>0</v>
      </c>
      <c r="BA58" s="115">
        <f t="shared" si="28"/>
        <v>0</v>
      </c>
      <c r="BB58" s="153">
        <f t="shared" si="8"/>
        <v>0</v>
      </c>
      <c r="BC58" s="118"/>
      <c r="BD58" s="152"/>
      <c r="BE58" s="152"/>
      <c r="BF58" s="117">
        <f t="shared" si="21"/>
        <v>0</v>
      </c>
      <c r="BG58" s="115">
        <f t="shared" si="29"/>
        <v>0</v>
      </c>
      <c r="BH58" s="115">
        <f t="shared" si="29"/>
        <v>0</v>
      </c>
      <c r="BI58" s="153">
        <f t="shared" si="9"/>
        <v>0</v>
      </c>
      <c r="BJ58" s="118"/>
      <c r="BK58" s="152"/>
      <c r="BL58" s="152"/>
      <c r="BM58" s="117">
        <f t="shared" si="10"/>
        <v>9.6444054065277507E-2</v>
      </c>
      <c r="BN58" s="115">
        <f t="shared" si="30"/>
        <v>168610420.00000003</v>
      </c>
      <c r="BO58" s="115">
        <f t="shared" si="30"/>
        <v>0</v>
      </c>
      <c r="BP58" s="153">
        <f t="shared" si="11"/>
        <v>168610420.00000003</v>
      </c>
      <c r="BQ58" s="118"/>
      <c r="BR58" s="73"/>
      <c r="BS58" s="113"/>
      <c r="BT58" s="113" t="b">
        <f>+R58+Y58+AF58+AT58+BA58+BH58+BO58=K58</f>
        <v>1</v>
      </c>
      <c r="BU58" s="113"/>
      <c r="BV58" s="54"/>
      <c r="BW58" s="54"/>
      <c r="BX58" s="54"/>
      <c r="BY58" s="54"/>
      <c r="BZ58" s="54"/>
      <c r="CA58" s="54"/>
      <c r="CB58" s="54"/>
      <c r="CC58" s="54"/>
      <c r="CD58" s="58"/>
      <c r="CE58" s="58"/>
    </row>
    <row r="59" spans="1:83" ht="16.5" customHeight="1">
      <c r="A59" s="146"/>
      <c r="B59" s="1529"/>
      <c r="C59" s="1529"/>
      <c r="D59" s="1536"/>
      <c r="E59" s="1529"/>
      <c r="F59" s="119" t="s">
        <v>391</v>
      </c>
      <c r="G59" s="120">
        <f t="shared" si="31"/>
        <v>1589338000</v>
      </c>
      <c r="H59" s="120">
        <f>+G59*0.1</f>
        <v>158933800</v>
      </c>
      <c r="I59" s="120">
        <f>SUM(G59:H59)</f>
        <v>1748271800</v>
      </c>
      <c r="J59" s="154"/>
      <c r="K59" s="120">
        <f t="shared" si="32"/>
        <v>0</v>
      </c>
      <c r="L59" s="120">
        <f t="shared" si="33"/>
        <v>1748271800</v>
      </c>
      <c r="M59" s="423"/>
      <c r="N59" s="155"/>
      <c r="O59" s="155"/>
      <c r="P59" s="121">
        <f t="shared" si="16"/>
        <v>0</v>
      </c>
      <c r="Q59" s="120">
        <f t="shared" si="23"/>
        <v>0</v>
      </c>
      <c r="R59" s="120">
        <f t="shared" si="23"/>
        <v>0</v>
      </c>
      <c r="S59" s="156">
        <f>+Q59-R59</f>
        <v>0</v>
      </c>
      <c r="T59" s="157"/>
      <c r="U59" s="155"/>
      <c r="V59" s="155"/>
      <c r="W59" s="121">
        <f t="shared" si="17"/>
        <v>0</v>
      </c>
      <c r="X59" s="120">
        <f t="shared" si="24"/>
        <v>0</v>
      </c>
      <c r="Y59" s="120">
        <f t="shared" si="24"/>
        <v>0</v>
      </c>
      <c r="Z59" s="156">
        <f>+X59-Y59</f>
        <v>0</v>
      </c>
      <c r="AA59" s="157"/>
      <c r="AB59" s="155"/>
      <c r="AC59" s="155"/>
      <c r="AD59" s="121">
        <f t="shared" si="18"/>
        <v>0</v>
      </c>
      <c r="AE59" s="120">
        <f t="shared" si="25"/>
        <v>0</v>
      </c>
      <c r="AF59" s="120">
        <f t="shared" si="25"/>
        <v>0</v>
      </c>
      <c r="AG59" s="156">
        <f>+AE59-AF59</f>
        <v>0</v>
      </c>
      <c r="AH59" s="157"/>
      <c r="AI59" s="155"/>
      <c r="AJ59" s="155"/>
      <c r="AK59" s="121">
        <f t="shared" si="5"/>
        <v>0</v>
      </c>
      <c r="AL59" s="120">
        <f t="shared" si="26"/>
        <v>0</v>
      </c>
      <c r="AM59" s="120">
        <f t="shared" si="26"/>
        <v>0</v>
      </c>
      <c r="AN59" s="156">
        <f>+AL59-AM59</f>
        <v>0</v>
      </c>
      <c r="AO59" s="157"/>
      <c r="AP59" s="155"/>
      <c r="AQ59" s="155"/>
      <c r="AR59" s="121">
        <f t="shared" si="19"/>
        <v>0</v>
      </c>
      <c r="AS59" s="120">
        <f t="shared" si="27"/>
        <v>0</v>
      </c>
      <c r="AT59" s="120">
        <f t="shared" si="27"/>
        <v>0</v>
      </c>
      <c r="AU59" s="156">
        <f>+AS59-AT59</f>
        <v>0</v>
      </c>
      <c r="AV59" s="157"/>
      <c r="AW59" s="155"/>
      <c r="AX59" s="155"/>
      <c r="AY59" s="121">
        <f t="shared" si="20"/>
        <v>0</v>
      </c>
      <c r="AZ59" s="120">
        <f t="shared" si="28"/>
        <v>0</v>
      </c>
      <c r="BA59" s="120">
        <f t="shared" si="28"/>
        <v>0</v>
      </c>
      <c r="BB59" s="156">
        <f>+AZ59-BA59</f>
        <v>0</v>
      </c>
      <c r="BC59" s="157"/>
      <c r="BD59" s="155"/>
      <c r="BE59" s="155"/>
      <c r="BF59" s="121">
        <f t="shared" si="21"/>
        <v>0</v>
      </c>
      <c r="BG59" s="120">
        <f t="shared" si="29"/>
        <v>0</v>
      </c>
      <c r="BH59" s="120">
        <f t="shared" si="29"/>
        <v>0</v>
      </c>
      <c r="BI59" s="156">
        <f>+BG59-BH59</f>
        <v>0</v>
      </c>
      <c r="BJ59" s="157"/>
      <c r="BK59" s="155"/>
      <c r="BL59" s="155"/>
      <c r="BM59" s="121">
        <f t="shared" si="10"/>
        <v>0.96444054065277496</v>
      </c>
      <c r="BN59" s="120">
        <f t="shared" si="30"/>
        <v>1686104200</v>
      </c>
      <c r="BO59" s="120">
        <f t="shared" si="30"/>
        <v>0</v>
      </c>
      <c r="BP59" s="156">
        <f>+BN59-BO59</f>
        <v>1686104200</v>
      </c>
      <c r="BQ59" s="157"/>
      <c r="BR59" s="158"/>
      <c r="BS59" s="122"/>
      <c r="BT59" s="123" t="b">
        <f>+R59+Y59+AF59+AT59+BA59+BH59+BO59=K59</f>
        <v>1</v>
      </c>
      <c r="BU59" s="122"/>
      <c r="BV59" s="54"/>
      <c r="BW59" s="54"/>
      <c r="BX59" s="54"/>
      <c r="BY59" s="54"/>
      <c r="BZ59" s="54"/>
      <c r="CA59" s="54"/>
      <c r="CB59" s="54"/>
      <c r="CC59" s="54"/>
      <c r="CD59" s="54"/>
      <c r="CE59" s="54"/>
    </row>
    <row r="60" spans="1:83" ht="16.5" customHeight="1">
      <c r="A60" s="62"/>
      <c r="B60" s="1529"/>
      <c r="C60" s="1529"/>
      <c r="D60" s="1536"/>
      <c r="E60" s="1529"/>
      <c r="F60" s="124" t="s">
        <v>392</v>
      </c>
      <c r="G60" s="125">
        <f>SUM(G56:G59)</f>
        <v>14304042000</v>
      </c>
      <c r="H60" s="125">
        <f>SUM(H56:H59)</f>
        <v>1430404200</v>
      </c>
      <c r="I60" s="125">
        <f>SUM(I56:I59)</f>
        <v>15734446200</v>
      </c>
      <c r="J60" s="124">
        <f t="shared" ref="J60" si="35">+IFERROR(K60/I60,"-")</f>
        <v>3.0241801583077007E-3</v>
      </c>
      <c r="K60" s="125">
        <f>SUM(K56:K59)</f>
        <v>47583800</v>
      </c>
      <c r="L60" s="125">
        <f>SUM(L56:L59)</f>
        <v>15686862400</v>
      </c>
      <c r="M60" s="424"/>
      <c r="N60" s="126"/>
      <c r="O60" s="124"/>
      <c r="P60" s="127">
        <f t="shared" si="16"/>
        <v>6.4101391760454846E-2</v>
      </c>
      <c r="Q60" s="125">
        <f>SUM(Q56:Q59)</f>
        <v>1008599900</v>
      </c>
      <c r="R60" s="125">
        <f>SUM(R56:R59)</f>
        <v>47583800</v>
      </c>
      <c r="S60" s="128">
        <f t="shared" ref="S60" si="36">+Q60-R60</f>
        <v>961016100</v>
      </c>
      <c r="T60" s="124"/>
      <c r="U60" s="126"/>
      <c r="V60" s="124"/>
      <c r="W60" s="127">
        <f t="shared" si="17"/>
        <v>4.503419383136599E-2</v>
      </c>
      <c r="X60" s="125">
        <f>SUM(X56:X59)</f>
        <v>708588100</v>
      </c>
      <c r="Y60" s="125">
        <f>SUM(Y56:Y59)</f>
        <v>0</v>
      </c>
      <c r="Z60" s="128">
        <f t="shared" ref="Z60" si="37">+X60-Y60</f>
        <v>708588100</v>
      </c>
      <c r="AA60" s="124"/>
      <c r="AB60" s="126"/>
      <c r="AC60" s="124"/>
      <c r="AD60" s="127">
        <f t="shared" si="18"/>
        <v>0.42864024029012221</v>
      </c>
      <c r="AE60" s="125">
        <f>SUM(AE56:AE59)</f>
        <v>6744416800</v>
      </c>
      <c r="AF60" s="125">
        <f>SUM(AF56:AF59)</f>
        <v>0</v>
      </c>
      <c r="AG60" s="128">
        <f t="shared" ref="AG60" si="38">+AE60-AF60</f>
        <v>6744416800</v>
      </c>
      <c r="AH60" s="124"/>
      <c r="AI60" s="126"/>
      <c r="AJ60" s="124"/>
      <c r="AK60" s="127">
        <f t="shared" si="5"/>
        <v>0</v>
      </c>
      <c r="AL60" s="125">
        <f>SUM(AL56:AL59)</f>
        <v>0</v>
      </c>
      <c r="AM60" s="125">
        <f>SUM(AM56:AM59)</f>
        <v>0</v>
      </c>
      <c r="AN60" s="128">
        <f t="shared" ref="AN60" si="39">+AL60-AM60</f>
        <v>0</v>
      </c>
      <c r="AO60" s="124"/>
      <c r="AP60" s="126"/>
      <c r="AQ60" s="124"/>
      <c r="AR60" s="127">
        <f t="shared" si="19"/>
        <v>0</v>
      </c>
      <c r="AS60" s="125">
        <f>SUM(AS56:AS59)</f>
        <v>0</v>
      </c>
      <c r="AT60" s="125">
        <f>SUM(AT56:AT59)</f>
        <v>0</v>
      </c>
      <c r="AU60" s="128">
        <f t="shared" ref="AU60" si="40">+AS60-AT60</f>
        <v>0</v>
      </c>
      <c r="AV60" s="124"/>
      <c r="AW60" s="126"/>
      <c r="AX60" s="124"/>
      <c r="AY60" s="127">
        <f t="shared" si="20"/>
        <v>0</v>
      </c>
      <c r="AZ60" s="125">
        <f>SUM(AZ56:AZ59)</f>
        <v>0</v>
      </c>
      <c r="BA60" s="125">
        <f>SUM(BA56:BA59)</f>
        <v>0</v>
      </c>
      <c r="BB60" s="128">
        <f t="shared" ref="BB60" si="41">+AZ60-BA60</f>
        <v>0</v>
      </c>
      <c r="BC60" s="124"/>
      <c r="BD60" s="126"/>
      <c r="BE60" s="124"/>
      <c r="BF60" s="127">
        <f t="shared" si="21"/>
        <v>0.2357521321595672</v>
      </c>
      <c r="BG60" s="125">
        <f>SUM(BG56:BG59)</f>
        <v>3709429240</v>
      </c>
      <c r="BH60" s="125">
        <f>SUM(BH56:BH59)</f>
        <v>0</v>
      </c>
      <c r="BI60" s="128">
        <f t="shared" ref="BI60" si="42">+BG60-BH60</f>
        <v>3709429240</v>
      </c>
      <c r="BJ60" s="124"/>
      <c r="BK60" s="126"/>
      <c r="BL60" s="124"/>
      <c r="BM60" s="127">
        <f t="shared" si="10"/>
        <v>0.19288810813055499</v>
      </c>
      <c r="BN60" s="125">
        <f>SUM(BN56:BN59)</f>
        <v>3034987560</v>
      </c>
      <c r="BO60" s="125">
        <f>SUM(BO56:BO59)</f>
        <v>0</v>
      </c>
      <c r="BP60" s="128">
        <f t="shared" ref="BP60" si="43">+BN60-BO60</f>
        <v>3034987560</v>
      </c>
      <c r="BQ60" s="124"/>
      <c r="BR60" s="88"/>
      <c r="BS60" s="129"/>
      <c r="BT60" s="129"/>
      <c r="BU60" s="129"/>
      <c r="BV60" s="54"/>
      <c r="BW60" s="54"/>
      <c r="BX60" s="54"/>
      <c r="BY60" s="54"/>
      <c r="BZ60" s="54"/>
      <c r="CA60" s="54"/>
      <c r="CB60" s="54"/>
      <c r="CC60" s="54"/>
      <c r="CD60" s="58"/>
      <c r="CE60" s="58"/>
    </row>
    <row r="61" spans="1:83">
      <c r="R61" s="132"/>
      <c r="T61" s="132"/>
      <c r="Y61" s="132"/>
      <c r="AA61" s="132"/>
      <c r="AF61" s="132"/>
      <c r="AH61" s="132"/>
      <c r="AM61" s="132"/>
      <c r="AO61" s="132"/>
      <c r="AT61" s="132"/>
      <c r="AV61" s="132"/>
      <c r="BA61" s="132"/>
      <c r="BC61" s="132"/>
      <c r="BH61" s="132"/>
      <c r="BJ61" s="132"/>
      <c r="BO61" s="132"/>
      <c r="BQ61" s="132"/>
      <c r="BR61" s="133"/>
    </row>
    <row r="62" spans="1:83">
      <c r="N62" s="143"/>
      <c r="O62" s="143"/>
      <c r="R62" s="132"/>
      <c r="T62" s="132"/>
      <c r="U62" s="143"/>
      <c r="V62" s="143"/>
      <c r="Y62" s="132"/>
      <c r="AA62" s="132"/>
      <c r="AB62" s="143"/>
      <c r="AC62" s="143"/>
      <c r="AF62" s="132"/>
      <c r="AH62" s="132"/>
      <c r="AI62" s="143"/>
      <c r="AJ62" s="143"/>
      <c r="AM62" s="132"/>
      <c r="AO62" s="132"/>
      <c r="AP62" s="143"/>
      <c r="AQ62" s="143"/>
      <c r="AT62" s="132"/>
      <c r="AV62" s="132"/>
      <c r="AW62" s="143"/>
      <c r="AX62" s="143"/>
      <c r="BA62" s="132"/>
      <c r="BC62" s="132"/>
      <c r="BD62" s="143"/>
      <c r="BE62" s="143"/>
      <c r="BH62" s="132"/>
      <c r="BJ62" s="132"/>
      <c r="BK62" s="143"/>
      <c r="BL62" s="143"/>
      <c r="BO62" s="132"/>
      <c r="BQ62" s="132"/>
      <c r="BR62" s="133"/>
    </row>
    <row r="63" spans="1:83">
      <c r="Q63" s="449"/>
      <c r="R63" s="449"/>
      <c r="S63" s="449"/>
    </row>
    <row r="64" spans="1:83">
      <c r="Q64" s="131"/>
      <c r="R64" s="132"/>
      <c r="S64" s="449"/>
      <c r="T64" s="132"/>
      <c r="Y64" s="132"/>
      <c r="AA64" s="132"/>
      <c r="AF64" s="132"/>
      <c r="AH64" s="132"/>
      <c r="AM64" s="132"/>
      <c r="AO64" s="132"/>
      <c r="AT64" s="132"/>
      <c r="AV64" s="132"/>
      <c r="BA64" s="132"/>
      <c r="BC64" s="132"/>
      <c r="BH64" s="132"/>
      <c r="BJ64" s="132"/>
      <c r="BO64" s="132"/>
      <c r="BQ64" s="132"/>
      <c r="BR64" s="133"/>
    </row>
    <row r="65" spans="17:70">
      <c r="Q65" s="449"/>
      <c r="R65" s="144"/>
      <c r="S65" s="449"/>
      <c r="T65" s="144"/>
      <c r="Y65" s="144"/>
      <c r="AA65" s="144"/>
      <c r="AF65" s="144"/>
      <c r="AH65" s="144"/>
      <c r="AM65" s="144"/>
      <c r="AO65" s="144"/>
      <c r="AT65" s="144"/>
      <c r="AV65" s="144"/>
      <c r="BA65" s="144"/>
      <c r="BC65" s="144"/>
      <c r="BH65" s="144"/>
      <c r="BJ65" s="144"/>
      <c r="BO65" s="144"/>
      <c r="BQ65" s="144"/>
      <c r="BR65" s="144"/>
    </row>
    <row r="66" spans="17:70">
      <c r="R66" s="132"/>
      <c r="T66" s="132"/>
      <c r="Y66" s="132"/>
      <c r="AA66" s="132"/>
      <c r="AF66" s="132"/>
      <c r="AH66" s="132"/>
      <c r="AM66" s="132"/>
      <c r="AO66" s="132"/>
      <c r="AT66" s="132"/>
      <c r="AV66" s="132"/>
      <c r="BA66" s="132"/>
      <c r="BC66" s="132"/>
      <c r="BH66" s="132"/>
      <c r="BJ66" s="132"/>
      <c r="BO66" s="132"/>
      <c r="BQ66" s="132"/>
      <c r="BR66" s="133"/>
    </row>
    <row r="67" spans="17:70">
      <c r="R67" s="132"/>
      <c r="T67" s="132"/>
      <c r="Y67" s="132"/>
      <c r="AA67" s="132"/>
      <c r="AF67" s="132"/>
      <c r="AH67" s="132"/>
      <c r="AM67" s="132"/>
      <c r="AO67" s="132"/>
      <c r="AT67" s="132"/>
      <c r="AV67" s="132"/>
      <c r="BA67" s="132"/>
      <c r="BC67" s="132"/>
      <c r="BH67" s="132"/>
      <c r="BJ67" s="132"/>
      <c r="BO67" s="132"/>
      <c r="BQ67" s="132"/>
      <c r="BR67" s="133"/>
    </row>
    <row r="76" spans="17:70">
      <c r="R76" s="132"/>
      <c r="T76" s="132"/>
      <c r="Y76" s="132"/>
      <c r="AA76" s="132"/>
      <c r="AF76" s="132"/>
      <c r="AH76" s="132"/>
      <c r="AM76" s="132"/>
      <c r="AO76" s="132"/>
      <c r="AT76" s="132"/>
      <c r="AV76" s="132"/>
      <c r="BA76" s="132"/>
      <c r="BC76" s="132"/>
      <c r="BH76" s="132"/>
      <c r="BJ76" s="132"/>
      <c r="BO76" s="132"/>
      <c r="BQ76" s="132"/>
      <c r="BR76" s="133"/>
    </row>
  </sheetData>
  <mergeCells count="64">
    <mergeCell ref="B56:C60"/>
    <mergeCell ref="D56:D60"/>
    <mergeCell ref="E56:E60"/>
    <mergeCell ref="B46:B50"/>
    <mergeCell ref="C46:C50"/>
    <mergeCell ref="D46:D50"/>
    <mergeCell ref="E46:E50"/>
    <mergeCell ref="M46:M49"/>
    <mergeCell ref="B51:B55"/>
    <mergeCell ref="C51:C55"/>
    <mergeCell ref="D51:D55"/>
    <mergeCell ref="E51:E55"/>
    <mergeCell ref="M51:M54"/>
    <mergeCell ref="B36:B40"/>
    <mergeCell ref="C36:C40"/>
    <mergeCell ref="D36:D40"/>
    <mergeCell ref="E36:E40"/>
    <mergeCell ref="M36:M39"/>
    <mergeCell ref="B41:B45"/>
    <mergeCell ref="C41:C45"/>
    <mergeCell ref="D41:D45"/>
    <mergeCell ref="E41:E45"/>
    <mergeCell ref="M41:M44"/>
    <mergeCell ref="M26:M29"/>
    <mergeCell ref="B31:B35"/>
    <mergeCell ref="C31:C35"/>
    <mergeCell ref="D31:D35"/>
    <mergeCell ref="E31:E35"/>
    <mergeCell ref="M31:M34"/>
    <mergeCell ref="B21:B25"/>
    <mergeCell ref="C21:C25"/>
    <mergeCell ref="D21:D25"/>
    <mergeCell ref="E21:E25"/>
    <mergeCell ref="B26:B30"/>
    <mergeCell ref="C26:C30"/>
    <mergeCell ref="D26:D30"/>
    <mergeCell ref="E26:E30"/>
    <mergeCell ref="BS9:BU10"/>
    <mergeCell ref="B11:B15"/>
    <mergeCell ref="C11:C15"/>
    <mergeCell ref="D11:D15"/>
    <mergeCell ref="E11:E15"/>
    <mergeCell ref="AI9:AO9"/>
    <mergeCell ref="AP9:AV9"/>
    <mergeCell ref="AW9:BC9"/>
    <mergeCell ref="BD9:BJ9"/>
    <mergeCell ref="BK9:BQ9"/>
    <mergeCell ref="G9:G10"/>
    <mergeCell ref="B16:B20"/>
    <mergeCell ref="C16:C20"/>
    <mergeCell ref="D16:D20"/>
    <mergeCell ref="E16:E20"/>
    <mergeCell ref="AB9:AH9"/>
    <mergeCell ref="H9:H10"/>
    <mergeCell ref="I9:I10"/>
    <mergeCell ref="J9:L9"/>
    <mergeCell ref="M9:M10"/>
    <mergeCell ref="N9:T9"/>
    <mergeCell ref="U9:AA9"/>
    <mergeCell ref="B9:B10"/>
    <mergeCell ref="C9:C10"/>
    <mergeCell ref="D9:D10"/>
    <mergeCell ref="E9:E10"/>
    <mergeCell ref="F9:F10"/>
  </mergeCells>
  <phoneticPr fontId="9" type="noConversion"/>
  <printOptions horizontalCentered="1"/>
  <pageMargins left="0" right="0" top="0.39370078740157483" bottom="0" header="0" footer="0"/>
  <pageSetup paperSize="8" scale="24"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6909-5A94-43E7-92E1-A4FB4A18609D}">
  <sheetPr>
    <pageSetUpPr fitToPage="1"/>
  </sheetPr>
  <dimension ref="A1:CF63"/>
  <sheetViews>
    <sheetView showGridLines="0" zoomScale="85" zoomScaleNormal="85" zoomScaleSheetLayoutView="55" workbookViewId="0">
      <pane xSplit="14" ySplit="10" topLeftCell="BL22" activePane="bottomRight" state="frozen"/>
      <selection pane="topRight" activeCell="I35" sqref="I35"/>
      <selection pane="bottomLeft" activeCell="I35" sqref="I35"/>
      <selection pane="bottomRight" activeCell="M39" sqref="M39"/>
    </sheetView>
  </sheetViews>
  <sheetFormatPr defaultColWidth="10.28515625" defaultRowHeight="12.75" outlineLevelCol="1"/>
  <cols>
    <col min="1" max="1" width="1.85546875" style="53" customWidth="1"/>
    <col min="2" max="2" width="5.5703125" style="53" customWidth="1"/>
    <col min="3" max="3" width="22.28515625" style="53" bestFit="1" customWidth="1"/>
    <col min="4" max="4" width="19.85546875" style="53" customWidth="1"/>
    <col min="5" max="5" width="27.28515625" style="53" customWidth="1"/>
    <col min="6" max="6" width="10.140625" style="53" customWidth="1"/>
    <col min="7" max="7" width="14.140625" style="53" customWidth="1"/>
    <col min="8" max="8" width="18.85546875" style="53" customWidth="1"/>
    <col min="9" max="11" width="13.28515625" style="53" customWidth="1"/>
    <col min="12" max="12" width="7.5703125" style="53" customWidth="1"/>
    <col min="13" max="14" width="13.28515625" style="53" customWidth="1"/>
    <col min="15" max="16" width="11.5703125" style="53" customWidth="1"/>
    <col min="17" max="17" width="7.5703125" style="53" customWidth="1"/>
    <col min="18" max="20" width="13.28515625" style="53" customWidth="1"/>
    <col min="21" max="21" width="13.85546875" style="53" customWidth="1"/>
    <col min="22" max="23" width="11.5703125" style="53" customWidth="1"/>
    <col min="24" max="24" width="7.5703125" style="53" customWidth="1"/>
    <col min="25" max="27" width="13.28515625" style="53" customWidth="1"/>
    <col min="28" max="28" width="13.85546875" style="53" customWidth="1"/>
    <col min="29" max="30" width="11.5703125" style="53" customWidth="1"/>
    <col min="31" max="31" width="7.5703125" style="53" customWidth="1"/>
    <col min="32" max="34" width="13.28515625" style="53" customWidth="1"/>
    <col min="35" max="35" width="13.85546875" style="53" customWidth="1"/>
    <col min="36" max="37" width="11.5703125" style="53" customWidth="1" outlineLevel="1"/>
    <col min="38" max="38" width="7.5703125" style="53" customWidth="1" outlineLevel="1"/>
    <col min="39" max="41" width="13.28515625" style="53" customWidth="1" outlineLevel="1"/>
    <col min="42" max="42" width="13.85546875" style="53" customWidth="1" outlineLevel="1"/>
    <col min="43" max="44" width="11.5703125" style="53" customWidth="1"/>
    <col min="45" max="45" width="7.5703125" style="53" customWidth="1"/>
    <col min="46" max="48" width="13.28515625" style="53" customWidth="1"/>
    <col min="49" max="49" width="13.85546875" style="53" customWidth="1"/>
    <col min="50" max="51" width="11.5703125" style="53" customWidth="1"/>
    <col min="52" max="52" width="7.5703125" style="53" customWidth="1"/>
    <col min="53" max="55" width="13.28515625" style="53" customWidth="1"/>
    <col min="56" max="56" width="13.85546875" style="53" customWidth="1"/>
    <col min="57" max="58" width="11.5703125" style="53" customWidth="1"/>
    <col min="59" max="59" width="7.5703125" style="53" customWidth="1"/>
    <col min="60" max="62" width="13.28515625" style="53" customWidth="1"/>
    <col min="63" max="63" width="13.85546875" style="53" customWidth="1"/>
    <col min="64" max="65" width="11.5703125" style="53" customWidth="1"/>
    <col min="66" max="66" width="7.5703125" style="53" customWidth="1"/>
    <col min="67" max="69" width="13.28515625" style="53" customWidth="1"/>
    <col min="70" max="70" width="13.85546875" style="53" customWidth="1"/>
    <col min="71" max="71" width="1.85546875" style="53" customWidth="1"/>
    <col min="72" max="74" width="7" style="53" customWidth="1"/>
    <col min="75" max="16384" width="10.28515625" style="53"/>
  </cols>
  <sheetData>
    <row r="1" spans="1:84" s="52" customFormat="1">
      <c r="BS1" s="53"/>
    </row>
    <row r="2" spans="1:84" s="52" customFormat="1">
      <c r="BS2" s="53"/>
    </row>
    <row r="3" spans="1:84" s="52" customFormat="1">
      <c r="B3" s="1317" t="s">
        <v>358</v>
      </c>
      <c r="C3" s="1317" t="s">
        <v>359</v>
      </c>
      <c r="D3" s="1319" t="s">
        <v>360</v>
      </c>
      <c r="E3" s="1321" t="s">
        <v>361</v>
      </c>
      <c r="F3" s="1319" t="s">
        <v>362</v>
      </c>
      <c r="G3" s="1319" t="s">
        <v>363</v>
      </c>
      <c r="H3" s="1319" t="s">
        <v>364</v>
      </c>
      <c r="I3" s="1319" t="s">
        <v>365</v>
      </c>
      <c r="BS3" s="53"/>
    </row>
    <row r="4" spans="1:84" s="52" customFormat="1">
      <c r="B4" s="1318"/>
      <c r="C4" s="1318"/>
      <c r="D4" s="1320"/>
      <c r="E4" s="1315"/>
      <c r="F4" s="1320"/>
      <c r="G4" s="1320"/>
      <c r="H4" s="1320"/>
      <c r="I4" s="1320"/>
      <c r="BS4" s="53"/>
    </row>
    <row r="5" spans="1:84">
      <c r="B5" s="52"/>
      <c r="C5" s="52"/>
      <c r="D5" s="52"/>
      <c r="E5" s="52"/>
    </row>
    <row r="6" spans="1:84" s="52" customFormat="1" ht="17.25">
      <c r="B6" s="387" t="s">
        <v>1029</v>
      </c>
      <c r="BS6" s="53"/>
    </row>
    <row r="7" spans="1:84" s="52" customFormat="1">
      <c r="BS7" s="53"/>
    </row>
    <row r="8" spans="1:84">
      <c r="A8" s="54"/>
      <c r="B8" s="55"/>
      <c r="C8" s="55"/>
      <c r="D8" s="56"/>
      <c r="E8" s="56"/>
      <c r="F8" s="56"/>
      <c r="G8" s="56"/>
      <c r="H8" s="54"/>
      <c r="I8" s="57"/>
      <c r="J8" s="57"/>
      <c r="K8" s="57"/>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8"/>
      <c r="BT8" s="54"/>
      <c r="BU8" s="54"/>
      <c r="BV8" s="54"/>
      <c r="BW8" s="54"/>
      <c r="BX8" s="54"/>
      <c r="BY8" s="54"/>
      <c r="BZ8" s="54"/>
      <c r="CA8" s="54"/>
      <c r="CB8" s="54"/>
      <c r="CC8" s="54"/>
      <c r="CD8" s="54"/>
      <c r="CE8" s="54"/>
      <c r="CF8" s="54"/>
    </row>
    <row r="9" spans="1:84" ht="28.15" customHeight="1">
      <c r="A9" s="54"/>
      <c r="B9" s="1317" t="s">
        <v>358</v>
      </c>
      <c r="C9" s="1317" t="s">
        <v>359</v>
      </c>
      <c r="D9" s="1319" t="s">
        <v>360</v>
      </c>
      <c r="E9" s="1321" t="s">
        <v>361</v>
      </c>
      <c r="F9" s="1319" t="s">
        <v>362</v>
      </c>
      <c r="G9" s="1319" t="s">
        <v>363</v>
      </c>
      <c r="H9" s="1319" t="s">
        <v>364</v>
      </c>
      <c r="I9" s="1319" t="s">
        <v>365</v>
      </c>
      <c r="J9" s="1313" t="s">
        <v>366</v>
      </c>
      <c r="K9" s="1313"/>
      <c r="L9" s="1313"/>
      <c r="M9" s="1313" t="s">
        <v>368</v>
      </c>
      <c r="N9" s="1313"/>
      <c r="O9" s="1313"/>
      <c r="P9" s="1313"/>
      <c r="Q9" s="1313"/>
      <c r="R9" s="1313"/>
      <c r="S9" s="1313"/>
      <c r="T9" s="1313" t="s">
        <v>369</v>
      </c>
      <c r="U9" s="1313"/>
      <c r="V9" s="1313"/>
      <c r="W9" s="1313"/>
      <c r="X9" s="1313"/>
      <c r="Y9" s="1313"/>
      <c r="Z9" s="1313"/>
      <c r="AA9" s="1313" t="s">
        <v>885</v>
      </c>
      <c r="AB9" s="1313"/>
      <c r="AC9" s="1313"/>
      <c r="AD9" s="1313"/>
      <c r="AE9" s="1313"/>
      <c r="AF9" s="1313"/>
      <c r="AG9" s="1313"/>
      <c r="AH9" s="1313" t="s">
        <v>371</v>
      </c>
      <c r="AI9" s="1313"/>
      <c r="AJ9" s="1313"/>
      <c r="AK9" s="1313"/>
      <c r="AL9" s="1313"/>
      <c r="AM9" s="1313"/>
      <c r="AN9" s="1313"/>
      <c r="AO9" s="1313" t="s">
        <v>372</v>
      </c>
      <c r="AP9" s="1313"/>
      <c r="AQ9" s="1313"/>
      <c r="AR9" s="1313"/>
      <c r="AS9" s="1313"/>
      <c r="AT9" s="1313"/>
      <c r="AU9" s="1313"/>
      <c r="AV9" s="1313" t="s">
        <v>373</v>
      </c>
      <c r="AW9" s="1313"/>
      <c r="AX9" s="1313"/>
      <c r="AY9" s="1313"/>
      <c r="AZ9" s="1313"/>
      <c r="BA9" s="1313"/>
      <c r="BB9" s="1313"/>
      <c r="BC9" s="1313" t="s">
        <v>886</v>
      </c>
      <c r="BD9" s="1313"/>
      <c r="BE9" s="1313"/>
      <c r="BF9" s="1313"/>
      <c r="BG9" s="1313"/>
      <c r="BH9" s="1313"/>
      <c r="BI9" s="1313"/>
      <c r="BJ9" s="1313" t="s">
        <v>375</v>
      </c>
      <c r="BK9" s="1313"/>
      <c r="BL9" s="1313"/>
      <c r="BM9" s="1313"/>
      <c r="BN9" s="1313"/>
      <c r="BO9" s="1313"/>
      <c r="BP9" s="1313"/>
      <c r="BQ9" s="60"/>
      <c r="BR9" s="1313" t="s">
        <v>376</v>
      </c>
      <c r="BS9" s="1313"/>
      <c r="BT9" s="1313"/>
      <c r="BU9" s="54"/>
      <c r="BV9" s="54"/>
      <c r="BW9" s="54"/>
      <c r="BX9" s="54"/>
      <c r="BY9" s="54"/>
      <c r="BZ9" s="54"/>
      <c r="CA9" s="54"/>
      <c r="CB9" s="54"/>
      <c r="CC9" s="58"/>
      <c r="CD9" s="58"/>
    </row>
    <row r="10" spans="1:84" ht="28.15" customHeight="1">
      <c r="A10" s="54"/>
      <c r="B10" s="1318"/>
      <c r="C10" s="1318"/>
      <c r="D10" s="1320"/>
      <c r="E10" s="1315"/>
      <c r="F10" s="1320"/>
      <c r="G10" s="1320"/>
      <c r="H10" s="1320"/>
      <c r="I10" s="1320"/>
      <c r="J10" s="59" t="s">
        <v>377</v>
      </c>
      <c r="K10" s="59" t="s">
        <v>378</v>
      </c>
      <c r="L10" s="59" t="s">
        <v>379</v>
      </c>
      <c r="M10" s="59" t="s">
        <v>380</v>
      </c>
      <c r="N10" s="59" t="s">
        <v>381</v>
      </c>
      <c r="O10" s="59" t="s">
        <v>377</v>
      </c>
      <c r="P10" s="59" t="s">
        <v>382</v>
      </c>
      <c r="Q10" s="59" t="s">
        <v>383</v>
      </c>
      <c r="R10" s="59" t="s">
        <v>384</v>
      </c>
      <c r="S10" s="59" t="s">
        <v>385</v>
      </c>
      <c r="T10" s="59" t="s">
        <v>380</v>
      </c>
      <c r="U10" s="59" t="s">
        <v>381</v>
      </c>
      <c r="V10" s="59" t="s">
        <v>377</v>
      </c>
      <c r="W10" s="59" t="s">
        <v>382</v>
      </c>
      <c r="X10" s="59" t="s">
        <v>383</v>
      </c>
      <c r="Y10" s="59" t="s">
        <v>384</v>
      </c>
      <c r="Z10" s="59" t="s">
        <v>385</v>
      </c>
      <c r="AA10" s="59" t="s">
        <v>380</v>
      </c>
      <c r="AB10" s="59" t="s">
        <v>381</v>
      </c>
      <c r="AC10" s="59" t="s">
        <v>377</v>
      </c>
      <c r="AD10" s="59" t="s">
        <v>382</v>
      </c>
      <c r="AE10" s="59" t="s">
        <v>383</v>
      </c>
      <c r="AF10" s="59" t="s">
        <v>384</v>
      </c>
      <c r="AG10" s="59" t="s">
        <v>385</v>
      </c>
      <c r="AH10" s="59" t="s">
        <v>380</v>
      </c>
      <c r="AI10" s="59" t="s">
        <v>381</v>
      </c>
      <c r="AJ10" s="59" t="s">
        <v>377</v>
      </c>
      <c r="AK10" s="59" t="s">
        <v>382</v>
      </c>
      <c r="AL10" s="59" t="s">
        <v>383</v>
      </c>
      <c r="AM10" s="59" t="s">
        <v>384</v>
      </c>
      <c r="AN10" s="59" t="s">
        <v>385</v>
      </c>
      <c r="AO10" s="59" t="s">
        <v>380</v>
      </c>
      <c r="AP10" s="59" t="s">
        <v>381</v>
      </c>
      <c r="AQ10" s="59" t="s">
        <v>377</v>
      </c>
      <c r="AR10" s="59" t="s">
        <v>382</v>
      </c>
      <c r="AS10" s="59" t="s">
        <v>383</v>
      </c>
      <c r="AT10" s="59" t="s">
        <v>384</v>
      </c>
      <c r="AU10" s="59" t="s">
        <v>385</v>
      </c>
      <c r="AV10" s="59" t="s">
        <v>380</v>
      </c>
      <c r="AW10" s="59" t="s">
        <v>381</v>
      </c>
      <c r="AX10" s="59" t="s">
        <v>377</v>
      </c>
      <c r="AY10" s="59" t="s">
        <v>382</v>
      </c>
      <c r="AZ10" s="59" t="s">
        <v>383</v>
      </c>
      <c r="BA10" s="59" t="s">
        <v>384</v>
      </c>
      <c r="BB10" s="59" t="s">
        <v>385</v>
      </c>
      <c r="BC10" s="59" t="s">
        <v>380</v>
      </c>
      <c r="BD10" s="59" t="s">
        <v>381</v>
      </c>
      <c r="BE10" s="59" t="s">
        <v>377</v>
      </c>
      <c r="BF10" s="59" t="s">
        <v>382</v>
      </c>
      <c r="BG10" s="59" t="s">
        <v>383</v>
      </c>
      <c r="BH10" s="59" t="s">
        <v>384</v>
      </c>
      <c r="BI10" s="59" t="s">
        <v>385</v>
      </c>
      <c r="BJ10" s="59" t="s">
        <v>380</v>
      </c>
      <c r="BK10" s="59" t="s">
        <v>381</v>
      </c>
      <c r="BL10" s="59" t="s">
        <v>377</v>
      </c>
      <c r="BM10" s="59" t="s">
        <v>382</v>
      </c>
      <c r="BN10" s="59" t="s">
        <v>383</v>
      </c>
      <c r="BO10" s="59" t="s">
        <v>384</v>
      </c>
      <c r="BP10" s="59" t="s">
        <v>385</v>
      </c>
      <c r="BQ10" s="61"/>
      <c r="BR10" s="1313"/>
      <c r="BS10" s="1313"/>
      <c r="BT10" s="1313"/>
      <c r="BU10" s="54"/>
      <c r="BV10" s="54"/>
      <c r="BW10" s="54"/>
      <c r="BX10" s="54"/>
      <c r="BY10" s="54"/>
      <c r="BZ10" s="54"/>
      <c r="CA10" s="54"/>
      <c r="CB10" s="54"/>
      <c r="CC10" s="58"/>
      <c r="CD10" s="58"/>
    </row>
    <row r="11" spans="1:84" ht="16.5" customHeight="1">
      <c r="A11" s="107"/>
      <c r="B11" s="1322">
        <v>1</v>
      </c>
      <c r="BQ11" s="73"/>
      <c r="BR11" s="74" t="b">
        <f>+'BT 6HO'!Q16+'BT 6HO'!X16+'BT 6HO'!AE16+'BT 6HO'!AS16+'BT 6HO'!AZ16+'BT 6HO'!BG16+'BT 6HO'!BN16='BT 6HO'!I16</f>
        <v>0</v>
      </c>
      <c r="BS11" s="74" t="b">
        <f>+'BT 6HO'!R16+'BT 6HO'!Y16+'BT 6HO'!AF16+'BT 6HO'!AT16+'BT 6HO'!BA16+'BT 6HO'!BH16+'BT 6HO'!BO16='BT 6HO'!K16</f>
        <v>1</v>
      </c>
      <c r="BT11" s="74"/>
      <c r="BU11" s="58"/>
      <c r="BV11" s="58"/>
      <c r="BW11" s="58"/>
      <c r="BX11" s="58"/>
      <c r="BY11" s="58"/>
      <c r="BZ11" s="58"/>
      <c r="CA11" s="58"/>
      <c r="CB11" s="58"/>
      <c r="CC11" s="58"/>
      <c r="CD11" s="58"/>
    </row>
    <row r="12" spans="1:84" ht="16.5" customHeight="1">
      <c r="A12" s="107"/>
      <c r="B12" s="1322"/>
      <c r="BQ12" s="73"/>
      <c r="BR12" s="74" t="b">
        <f>+'BT 6HO'!Q17+'BT 6HO'!X17+'BT 6HO'!AE17+'BT 6HO'!AS17+'BT 6HO'!AZ17+'BT 6HO'!BG17+'BT 6HO'!BN17='BT 6HO'!I17</f>
        <v>0</v>
      </c>
      <c r="BS12" s="74" t="b">
        <f>+'BT 6HO'!R17+'BT 6HO'!Y17+'BT 6HO'!AF17+'BT 6HO'!AT17+'BT 6HO'!BA17+'BT 6HO'!BH17+'BT 6HO'!BO17='BT 6HO'!K17</f>
        <v>1</v>
      </c>
      <c r="BT12" s="74" t="b">
        <f>+'BT 6HO'!BG17+'BT 6HO'!BG18+'BT 6HO'!AZ17+'BT 6HO'!AZ18+'BT 6HO'!AS17+'BT 6HO'!AS18+'BT 6HO'!AE17+'BT 6HO'!AE18+'BT 6HO'!X17+'BT 6HO'!X18+'BT 6HO'!Q17+'BT 6HO'!Q18+'BT 6HO'!BN17+'BT 6HO'!BN18=([5]지급비율!$F$21+[5]지급비율!$F$22)*1.1*'BT 6HO'!D16/1000</f>
        <v>0</v>
      </c>
      <c r="BU12" s="58"/>
      <c r="BV12" s="58"/>
      <c r="BW12" s="58"/>
      <c r="BX12" s="58"/>
      <c r="BY12" s="58"/>
      <c r="BZ12" s="58"/>
      <c r="CA12" s="58"/>
      <c r="CB12" s="58"/>
      <c r="CC12" s="58"/>
      <c r="CD12" s="58"/>
    </row>
    <row r="13" spans="1:84" ht="16.5" customHeight="1">
      <c r="A13" s="107"/>
      <c r="B13" s="1322"/>
      <c r="BQ13" s="73"/>
      <c r="BR13" s="74" t="b">
        <f>+'BT 6HO'!Q18+'BT 6HO'!X18+'BT 6HO'!AE18+'BT 6HO'!AS18+'BT 6HO'!AZ18+'BT 6HO'!BG18+'BT 6HO'!BN18='BT 6HO'!I18</f>
        <v>0</v>
      </c>
      <c r="BS13" s="74" t="b">
        <f>+'BT 6HO'!R18+'BT 6HO'!Y18+'BT 6HO'!AF18+'BT 6HO'!AT18+'BT 6HO'!BA18+'BT 6HO'!BH18+'BT 6HO'!BO18='BT 6HO'!K18</f>
        <v>1</v>
      </c>
      <c r="BT13" s="74"/>
      <c r="BU13" s="58"/>
      <c r="BV13" s="58"/>
      <c r="BW13" s="58"/>
      <c r="BX13" s="58"/>
      <c r="BY13" s="58"/>
      <c r="BZ13" s="58"/>
      <c r="CA13" s="58"/>
      <c r="CB13" s="58"/>
      <c r="CC13" s="58"/>
      <c r="CD13" s="58"/>
    </row>
    <row r="14" spans="1:84" ht="16.5" customHeight="1">
      <c r="A14" s="107"/>
      <c r="B14" s="1322"/>
      <c r="BQ14" s="88"/>
      <c r="BR14" s="89" t="b">
        <f>+'BT 6HO'!Q19+'BT 6HO'!X19+'BT 6HO'!AE19+'BT 6HO'!AS19+'BT 6HO'!AZ19+'BT 6HO'!BG19+'BT 6HO'!BN19='BT 6HO'!I19</f>
        <v>0</v>
      </c>
      <c r="BS14" s="90" t="b">
        <f>+'BT 6HO'!R19+'BT 6HO'!Y19+'BT 6HO'!AF19+'BT 6HO'!AT19+'BT 6HO'!BA19+'BT 6HO'!BH19+'BT 6HO'!BO19='BT 6HO'!K19</f>
        <v>1</v>
      </c>
      <c r="BT14" s="89"/>
      <c r="BU14" s="58"/>
      <c r="BV14" s="58"/>
      <c r="BW14" s="58"/>
      <c r="BX14" s="58"/>
      <c r="BY14" s="58"/>
      <c r="BZ14" s="58"/>
      <c r="CA14" s="58"/>
      <c r="CB14" s="58"/>
      <c r="CC14" s="58"/>
      <c r="CD14" s="58"/>
    </row>
    <row r="15" spans="1:84" ht="16.5" customHeight="1">
      <c r="A15" s="62"/>
      <c r="B15" s="1322"/>
      <c r="BQ15" s="88"/>
      <c r="BR15" s="96"/>
      <c r="BS15" s="96"/>
      <c r="BT15" s="139"/>
      <c r="BU15" s="54"/>
      <c r="BV15" s="54"/>
      <c r="BW15" s="54"/>
      <c r="BX15" s="54"/>
      <c r="BY15" s="54"/>
      <c r="BZ15" s="54"/>
      <c r="CA15" s="54"/>
      <c r="CB15" s="54"/>
      <c r="CC15" s="58"/>
      <c r="CD15" s="58"/>
    </row>
    <row r="16" spans="1:84" ht="16.5" customHeight="1">
      <c r="A16" s="107"/>
      <c r="B16" s="1322">
        <f>+B11+1</f>
        <v>2</v>
      </c>
      <c r="BQ16" s="73"/>
      <c r="BR16" s="74" t="b">
        <f>+'BT 6HO'!Q21+'BT 6HO'!X21+'BT 6HO'!AE21+'BT 6HO'!AS21+'BT 6HO'!AZ21+'BT 6HO'!BG21+'BT 6HO'!BN21='BT 6HO'!I21</f>
        <v>0</v>
      </c>
      <c r="BS16" s="74" t="b">
        <f>+'BT 6HO'!R21+'BT 6HO'!Y21+'BT 6HO'!AF21+'BT 6HO'!AT21+'BT 6HO'!BA21+'BT 6HO'!BH21+'BT 6HO'!BO21='BT 6HO'!K21</f>
        <v>1</v>
      </c>
      <c r="BT16" s="74"/>
      <c r="BU16" s="58"/>
      <c r="BV16" s="58"/>
      <c r="BW16" s="58"/>
      <c r="BX16" s="58"/>
      <c r="BY16" s="58"/>
      <c r="BZ16" s="58"/>
      <c r="CA16" s="58"/>
      <c r="CB16" s="58"/>
      <c r="CC16" s="58"/>
      <c r="CD16" s="58"/>
    </row>
    <row r="17" spans="1:82" ht="16.5" customHeight="1">
      <c r="A17" s="107"/>
      <c r="B17" s="1322"/>
      <c r="BQ17" s="73"/>
      <c r="BR17" s="74" t="b">
        <f>+'BT 6HO'!Q22+'BT 6HO'!X22+'BT 6HO'!AE22+'BT 6HO'!AS22+'BT 6HO'!AZ22+'BT 6HO'!BG22+'BT 6HO'!BN22='BT 6HO'!I22</f>
        <v>0</v>
      </c>
      <c r="BS17" s="74" t="b">
        <f>+'BT 6HO'!R22+'BT 6HO'!Y22+'BT 6HO'!AF22+'BT 6HO'!AT22+'BT 6HO'!BA22+'BT 6HO'!BH22+'BT 6HO'!BO22='BT 6HO'!K22</f>
        <v>1</v>
      </c>
      <c r="BT17" s="74" t="b">
        <f>+'BT 6HO'!BG22+'BT 6HO'!BG23+'BT 6HO'!AZ22+'BT 6HO'!AZ23+'BT 6HO'!AS22+'BT 6HO'!AS23+'BT 6HO'!AE22+'BT 6HO'!AE23+'BT 6HO'!X22+'BT 6HO'!X23+'BT 6HO'!Q22+'BT 6HO'!Q23+'BT 6HO'!BN22+'BT 6HO'!BN23=([5]지급비율!$F$21+[5]지급비율!$F$22)*1.1*'BT 6HO'!D21/1000</f>
        <v>0</v>
      </c>
      <c r="BU17" s="58"/>
      <c r="BV17" s="58"/>
      <c r="BW17" s="58"/>
      <c r="BX17" s="58"/>
      <c r="BY17" s="58"/>
      <c r="BZ17" s="58"/>
      <c r="CA17" s="58"/>
      <c r="CB17" s="58"/>
      <c r="CC17" s="58"/>
      <c r="CD17" s="58"/>
    </row>
    <row r="18" spans="1:82" ht="16.5" customHeight="1">
      <c r="A18" s="107"/>
      <c r="B18" s="1322"/>
      <c r="BQ18" s="73"/>
      <c r="BR18" s="74" t="b">
        <f>+'BT 6HO'!Q23+'BT 6HO'!X23+'BT 6HO'!AE23+'BT 6HO'!AS23+'BT 6HO'!AZ23+'BT 6HO'!BG23+'BT 6HO'!BN23='BT 6HO'!I23</f>
        <v>0</v>
      </c>
      <c r="BS18" s="74" t="b">
        <f>+'BT 6HO'!R23+'BT 6HO'!Y23+'BT 6HO'!AF23+'BT 6HO'!AT23+'BT 6HO'!BA23+'BT 6HO'!BH23+'BT 6HO'!BO23='BT 6HO'!K23</f>
        <v>1</v>
      </c>
      <c r="BT18" s="74"/>
      <c r="BU18" s="58"/>
      <c r="BV18" s="58"/>
      <c r="BW18" s="58"/>
      <c r="BX18" s="58"/>
      <c r="BY18" s="58"/>
      <c r="BZ18" s="58"/>
      <c r="CA18" s="58"/>
      <c r="CB18" s="58"/>
      <c r="CC18" s="58"/>
      <c r="CD18" s="58"/>
    </row>
    <row r="19" spans="1:82" ht="16.5" customHeight="1">
      <c r="A19" s="107"/>
      <c r="B19" s="1322"/>
      <c r="BQ19" s="88"/>
      <c r="BR19" s="89" t="b">
        <f>+'BT 6HO'!Q24+'BT 6HO'!X24+'BT 6HO'!AE24+'BT 6HO'!AS24+'BT 6HO'!AZ24+'BT 6HO'!BG24+'BT 6HO'!BN24='BT 6HO'!I24</f>
        <v>0</v>
      </c>
      <c r="BS19" s="90" t="b">
        <f>+'BT 6HO'!R24+'BT 6HO'!Y24+'BT 6HO'!AF24+'BT 6HO'!AT24+'BT 6HO'!BA24+'BT 6HO'!BH24+'BT 6HO'!BO24='BT 6HO'!K24</f>
        <v>1</v>
      </c>
      <c r="BT19" s="89"/>
      <c r="BU19" s="58"/>
      <c r="BV19" s="58"/>
      <c r="BW19" s="58"/>
      <c r="BX19" s="58"/>
      <c r="BY19" s="58"/>
      <c r="BZ19" s="58"/>
      <c r="CA19" s="58"/>
      <c r="CB19" s="58"/>
      <c r="CC19" s="58"/>
      <c r="CD19" s="58"/>
    </row>
    <row r="20" spans="1:82" ht="16.5" customHeight="1">
      <c r="A20" s="62"/>
      <c r="B20" s="1322"/>
      <c r="BQ20" s="88"/>
      <c r="BR20" s="96"/>
      <c r="BS20" s="96"/>
      <c r="BT20" s="139"/>
      <c r="BU20" s="54"/>
      <c r="BV20" s="54"/>
      <c r="BW20" s="54"/>
      <c r="BX20" s="54"/>
      <c r="BY20" s="54"/>
      <c r="BZ20" s="54"/>
      <c r="CA20" s="54"/>
      <c r="CB20" s="54"/>
      <c r="CC20" s="58"/>
      <c r="CD20" s="58"/>
    </row>
    <row r="21" spans="1:82" ht="16.5" customHeight="1">
      <c r="A21" s="62"/>
      <c r="B21" s="1322">
        <f>+B16+1</f>
        <v>3</v>
      </c>
      <c r="BU21" s="54"/>
      <c r="BV21" s="54"/>
      <c r="BW21" s="54"/>
      <c r="BX21" s="54"/>
      <c r="BY21" s="54"/>
      <c r="BZ21" s="54"/>
      <c r="CA21" s="54"/>
      <c r="CB21" s="54"/>
      <c r="CC21" s="58"/>
      <c r="CD21" s="58"/>
    </row>
    <row r="22" spans="1:82" ht="16.5" customHeight="1">
      <c r="A22" s="62"/>
      <c r="B22" s="1322"/>
      <c r="BU22" s="54"/>
      <c r="BV22" s="54"/>
      <c r="BW22" s="54"/>
      <c r="BX22" s="54"/>
      <c r="BY22" s="54"/>
      <c r="BZ22" s="54"/>
      <c r="CA22" s="54"/>
      <c r="CB22" s="54"/>
      <c r="CC22" s="58"/>
      <c r="CD22" s="58"/>
    </row>
    <row r="23" spans="1:82" ht="16.5" customHeight="1">
      <c r="A23" s="62"/>
      <c r="B23" s="1322"/>
      <c r="BU23" s="54"/>
      <c r="BV23" s="54"/>
      <c r="BW23" s="54"/>
      <c r="BX23" s="54"/>
      <c r="BY23" s="54"/>
      <c r="BZ23" s="54"/>
      <c r="CA23" s="54"/>
      <c r="CB23" s="54"/>
      <c r="CC23" s="58"/>
      <c r="CD23" s="58"/>
    </row>
    <row r="24" spans="1:82" ht="16.5" customHeight="1">
      <c r="A24" s="62"/>
      <c r="B24" s="1322"/>
      <c r="BU24" s="54"/>
      <c r="BV24" s="54"/>
      <c r="BW24" s="54"/>
      <c r="BX24" s="54"/>
      <c r="BY24" s="54"/>
      <c r="BZ24" s="54"/>
      <c r="CA24" s="54"/>
      <c r="CB24" s="54"/>
      <c r="CC24" s="58"/>
      <c r="CD24" s="58"/>
    </row>
    <row r="25" spans="1:82" ht="16.5" customHeight="1">
      <c r="A25" s="62"/>
      <c r="B25" s="1322"/>
      <c r="BU25" s="54"/>
      <c r="BV25" s="54"/>
      <c r="BW25" s="54"/>
      <c r="BX25" s="54"/>
      <c r="BY25" s="54"/>
      <c r="BZ25" s="54"/>
      <c r="CA25" s="54"/>
      <c r="CB25" s="54"/>
      <c r="CC25" s="58"/>
      <c r="CD25" s="58"/>
    </row>
    <row r="26" spans="1:82" ht="16.5" customHeight="1">
      <c r="A26" s="62"/>
      <c r="B26" s="1322">
        <f>+B21+1</f>
        <v>4</v>
      </c>
      <c r="C26" s="1584" t="s">
        <v>939</v>
      </c>
      <c r="D26" s="1343">
        <v>151.13</v>
      </c>
      <c r="E26" s="1324" t="s">
        <v>888</v>
      </c>
      <c r="BU26" s="54"/>
      <c r="BV26" s="54"/>
      <c r="BW26" s="54"/>
      <c r="BX26" s="54"/>
      <c r="BY26" s="54"/>
      <c r="BZ26" s="54"/>
      <c r="CA26" s="54"/>
      <c r="CB26" s="54"/>
      <c r="CC26" s="58"/>
      <c r="CD26" s="58"/>
    </row>
    <row r="27" spans="1:82" ht="16.5" customHeight="1">
      <c r="A27" s="62"/>
      <c r="B27" s="1322"/>
      <c r="C27" s="1584"/>
      <c r="D27" s="1344"/>
      <c r="E27" s="1324"/>
      <c r="BU27" s="54"/>
      <c r="BV27" s="54"/>
      <c r="BW27" s="54"/>
      <c r="BX27" s="54"/>
      <c r="BY27" s="54"/>
      <c r="BZ27" s="54"/>
      <c r="CA27" s="54"/>
      <c r="CB27" s="54"/>
      <c r="CC27" s="58"/>
      <c r="CD27" s="58"/>
    </row>
    <row r="28" spans="1:82" ht="16.5" customHeight="1">
      <c r="A28" s="62"/>
      <c r="B28" s="1322"/>
      <c r="C28" s="1584"/>
      <c r="D28" s="1344"/>
      <c r="E28" s="1324"/>
      <c r="BU28" s="54"/>
      <c r="BV28" s="54"/>
      <c r="BW28" s="54"/>
      <c r="BX28" s="54"/>
      <c r="BY28" s="54"/>
      <c r="BZ28" s="54"/>
      <c r="CA28" s="54"/>
      <c r="CB28" s="54"/>
      <c r="CC28" s="58"/>
      <c r="CD28" s="58"/>
    </row>
    <row r="29" spans="1:82" ht="16.5" customHeight="1">
      <c r="A29" s="62"/>
      <c r="B29" s="1322"/>
      <c r="C29" s="1584"/>
      <c r="D29" s="1344"/>
      <c r="E29" s="1324"/>
      <c r="BU29" s="54"/>
      <c r="BV29" s="54"/>
      <c r="BW29" s="54"/>
      <c r="BX29" s="54"/>
      <c r="BY29" s="54"/>
      <c r="BZ29" s="54"/>
      <c r="CA29" s="54"/>
      <c r="CB29" s="54"/>
      <c r="CC29" s="58"/>
      <c r="CD29" s="58"/>
    </row>
    <row r="30" spans="1:82" ht="16.5" customHeight="1">
      <c r="A30" s="62"/>
      <c r="B30" s="1322"/>
      <c r="C30" s="1584"/>
      <c r="D30" s="1345"/>
      <c r="E30" s="1324"/>
      <c r="BU30" s="54"/>
      <c r="BV30" s="54"/>
      <c r="BW30" s="54"/>
      <c r="BX30" s="54"/>
      <c r="BY30" s="54"/>
      <c r="BZ30" s="54"/>
      <c r="CA30" s="54"/>
      <c r="CB30" s="54"/>
      <c r="CC30" s="58"/>
      <c r="CD30" s="58"/>
    </row>
    <row r="31" spans="1:82" ht="16.5" customHeight="1">
      <c r="A31" s="62"/>
      <c r="B31" s="1322">
        <f>+B26+1</f>
        <v>5</v>
      </c>
      <c r="C31" s="1584" t="s">
        <v>940</v>
      </c>
      <c r="D31" s="1343">
        <v>71.680000000000007</v>
      </c>
      <c r="E31" s="1324" t="s">
        <v>888</v>
      </c>
      <c r="BU31" s="54"/>
      <c r="BV31" s="54"/>
      <c r="BW31" s="54"/>
      <c r="BX31" s="54"/>
      <c r="BY31" s="54"/>
      <c r="BZ31" s="54"/>
      <c r="CA31" s="54"/>
      <c r="CB31" s="54"/>
      <c r="CC31" s="58"/>
      <c r="CD31" s="58"/>
    </row>
    <row r="32" spans="1:82" ht="16.5" customHeight="1">
      <c r="A32" s="62"/>
      <c r="B32" s="1322"/>
      <c r="C32" s="1584"/>
      <c r="D32" s="1344"/>
      <c r="E32" s="1324"/>
      <c r="BU32" s="54"/>
      <c r="BV32" s="54"/>
      <c r="BW32" s="54"/>
      <c r="BX32" s="54"/>
      <c r="BY32" s="54"/>
      <c r="BZ32" s="54"/>
      <c r="CA32" s="54"/>
      <c r="CB32" s="54"/>
      <c r="CC32" s="58"/>
      <c r="CD32" s="58"/>
    </row>
    <row r="33" spans="1:83" ht="16.5" customHeight="1">
      <c r="A33" s="62"/>
      <c r="B33" s="1322"/>
      <c r="C33" s="1584"/>
      <c r="D33" s="1344"/>
      <c r="E33" s="1324"/>
      <c r="BU33" s="54"/>
      <c r="BV33" s="54"/>
      <c r="BW33" s="54"/>
      <c r="BX33" s="54"/>
      <c r="BY33" s="54"/>
      <c r="BZ33" s="54"/>
      <c r="CA33" s="54"/>
      <c r="CB33" s="54"/>
      <c r="CC33" s="58"/>
      <c r="CD33" s="58"/>
    </row>
    <row r="34" spans="1:83" ht="16.5" customHeight="1">
      <c r="A34" s="62"/>
      <c r="B34" s="1322"/>
      <c r="C34" s="1584"/>
      <c r="D34" s="1344"/>
      <c r="E34" s="1324"/>
      <c r="BU34" s="54"/>
      <c r="BV34" s="54"/>
      <c r="BW34" s="54"/>
      <c r="BX34" s="54"/>
      <c r="BY34" s="54"/>
      <c r="BZ34" s="54"/>
      <c r="CA34" s="54"/>
      <c r="CB34" s="54"/>
      <c r="CC34" s="58"/>
      <c r="CD34" s="58"/>
    </row>
    <row r="35" spans="1:83" ht="16.5" customHeight="1">
      <c r="A35" s="62"/>
      <c r="B35" s="1322"/>
      <c r="C35" s="1584"/>
      <c r="D35" s="1345"/>
      <c r="E35" s="1324"/>
      <c r="BU35" s="54"/>
      <c r="BV35" s="54"/>
      <c r="BW35" s="54"/>
      <c r="BX35" s="54"/>
      <c r="BY35" s="54"/>
      <c r="BZ35" s="54"/>
      <c r="CA35" s="54"/>
      <c r="CB35" s="54"/>
      <c r="CC35" s="58"/>
      <c r="CD35" s="58"/>
    </row>
    <row r="36" spans="1:83" ht="16.5" customHeight="1">
      <c r="A36" s="62"/>
      <c r="B36" s="1322">
        <f>+B31+1</f>
        <v>6</v>
      </c>
      <c r="C36" s="1584" t="s">
        <v>941</v>
      </c>
      <c r="D36" s="1343">
        <v>38.4</v>
      </c>
      <c r="E36" s="1324" t="s">
        <v>888</v>
      </c>
      <c r="BU36" s="54"/>
      <c r="BV36" s="54"/>
      <c r="BW36" s="54"/>
      <c r="BX36" s="54"/>
      <c r="BY36" s="54"/>
      <c r="BZ36" s="54"/>
      <c r="CA36" s="54"/>
      <c r="CB36" s="54"/>
      <c r="CC36" s="58"/>
      <c r="CD36" s="58"/>
    </row>
    <row r="37" spans="1:83" ht="16.5" customHeight="1">
      <c r="A37" s="62"/>
      <c r="B37" s="1322"/>
      <c r="C37" s="1584"/>
      <c r="D37" s="1344"/>
      <c r="E37" s="1324"/>
      <c r="BU37" s="54"/>
      <c r="BV37" s="54"/>
      <c r="BW37" s="54"/>
      <c r="BX37" s="54"/>
      <c r="BY37" s="54"/>
      <c r="BZ37" s="54"/>
      <c r="CA37" s="54"/>
      <c r="CB37" s="54"/>
      <c r="CC37" s="58"/>
      <c r="CD37" s="58"/>
    </row>
    <row r="38" spans="1:83" ht="16.5" customHeight="1">
      <c r="A38" s="62"/>
      <c r="B38" s="1322"/>
      <c r="C38" s="1584"/>
      <c r="D38" s="1344"/>
      <c r="E38" s="1324"/>
      <c r="BU38" s="54"/>
      <c r="BV38" s="54"/>
      <c r="BW38" s="54"/>
      <c r="BX38" s="54"/>
      <c r="BY38" s="54"/>
      <c r="BZ38" s="54"/>
      <c r="CA38" s="54"/>
      <c r="CB38" s="54"/>
      <c r="CC38" s="58"/>
      <c r="CD38" s="58"/>
    </row>
    <row r="39" spans="1:83" ht="16.5" customHeight="1">
      <c r="A39" s="62"/>
      <c r="B39" s="1322"/>
      <c r="C39" s="1584"/>
      <c r="D39" s="1344"/>
      <c r="E39" s="1324"/>
      <c r="BU39" s="54"/>
      <c r="BV39" s="54"/>
      <c r="BW39" s="54"/>
      <c r="BX39" s="54"/>
      <c r="BY39" s="54"/>
      <c r="BZ39" s="54"/>
      <c r="CA39" s="54"/>
      <c r="CB39" s="54"/>
      <c r="CC39" s="58"/>
      <c r="CD39" s="58"/>
    </row>
    <row r="40" spans="1:83" ht="16.5" customHeight="1">
      <c r="A40" s="62"/>
      <c r="B40" s="1322"/>
      <c r="C40" s="1584"/>
      <c r="D40" s="1345"/>
      <c r="E40" s="1324"/>
      <c r="BU40" s="54"/>
      <c r="BV40" s="54"/>
      <c r="BW40" s="54"/>
      <c r="BX40" s="54"/>
      <c r="BY40" s="54"/>
      <c r="BZ40" s="54"/>
      <c r="CA40" s="54"/>
      <c r="CB40" s="54"/>
      <c r="CC40" s="58"/>
      <c r="CD40" s="58"/>
    </row>
    <row r="41" spans="1:83" ht="16.5" customHeight="1">
      <c r="A41" s="62"/>
      <c r="B41" s="1322">
        <f>+B36+1</f>
        <v>7</v>
      </c>
      <c r="C41" s="1584" t="s">
        <v>942</v>
      </c>
      <c r="D41" s="1343">
        <v>158.75</v>
      </c>
      <c r="E41" s="1324" t="s">
        <v>888</v>
      </c>
      <c r="BU41" s="54"/>
      <c r="BV41" s="54"/>
      <c r="BW41" s="54"/>
      <c r="BX41" s="54"/>
      <c r="BY41" s="54"/>
      <c r="BZ41" s="54"/>
      <c r="CA41" s="54"/>
      <c r="CB41" s="54"/>
      <c r="CC41" s="58"/>
      <c r="CD41" s="58"/>
    </row>
    <row r="42" spans="1:83" ht="16.5" customHeight="1">
      <c r="A42" s="62"/>
      <c r="B42" s="1322"/>
      <c r="C42" s="1584"/>
      <c r="D42" s="1344"/>
      <c r="E42" s="1324"/>
      <c r="BU42" s="54"/>
      <c r="BV42" s="54"/>
      <c r="BW42" s="54"/>
      <c r="BX42" s="54"/>
      <c r="BY42" s="54"/>
      <c r="BZ42" s="54"/>
      <c r="CA42" s="54"/>
      <c r="CB42" s="54"/>
      <c r="CC42" s="58"/>
      <c r="CD42" s="58"/>
    </row>
    <row r="43" spans="1:83" ht="16.5" customHeight="1">
      <c r="A43" s="62"/>
      <c r="B43" s="1322"/>
      <c r="C43" s="1584"/>
      <c r="D43" s="1344"/>
      <c r="E43" s="1324"/>
      <c r="BU43" s="54"/>
      <c r="BV43" s="54"/>
      <c r="BW43" s="54"/>
      <c r="BX43" s="54"/>
      <c r="BY43" s="54"/>
      <c r="BZ43" s="54"/>
      <c r="CA43" s="54"/>
      <c r="CB43" s="54"/>
      <c r="CC43" s="58"/>
      <c r="CD43" s="58"/>
    </row>
    <row r="44" spans="1:83" ht="16.5" customHeight="1">
      <c r="A44" s="62"/>
      <c r="B44" s="1322"/>
      <c r="C44" s="1584"/>
      <c r="D44" s="1344"/>
      <c r="E44" s="1324"/>
      <c r="BU44" s="54"/>
      <c r="BV44" s="54"/>
      <c r="BW44" s="54"/>
      <c r="BX44" s="54"/>
      <c r="BY44" s="54"/>
      <c r="BZ44" s="54"/>
      <c r="CA44" s="54"/>
      <c r="CB44" s="54"/>
      <c r="CC44" s="58"/>
      <c r="CD44" s="58"/>
    </row>
    <row r="45" spans="1:83" ht="16.5" customHeight="1">
      <c r="A45" s="62"/>
      <c r="B45" s="1322"/>
      <c r="C45" s="1584"/>
      <c r="D45" s="1345"/>
      <c r="E45" s="1324"/>
      <c r="BU45" s="54"/>
      <c r="BV45" s="54"/>
      <c r="BW45" s="54"/>
      <c r="BX45" s="54"/>
      <c r="BY45" s="54"/>
      <c r="BZ45" s="54"/>
      <c r="CA45" s="54"/>
      <c r="CB45" s="54"/>
      <c r="CC45" s="58"/>
      <c r="CD45" s="58"/>
    </row>
    <row r="46" spans="1:83" ht="16.5" customHeight="1">
      <c r="A46" s="146"/>
      <c r="B46" s="393" t="s">
        <v>392</v>
      </c>
      <c r="C46" s="394"/>
      <c r="D46" s="1529"/>
      <c r="E46" s="1536">
        <f>+SUM('BT 3HO'!D51:D55)</f>
        <v>495.81</v>
      </c>
      <c r="F46" s="1529"/>
      <c r="G46" s="147" t="s">
        <v>388</v>
      </c>
      <c r="H46" s="148">
        <f>+'BT 6HO'!G16+'BT 6HO'!G21+'BT 3HO'!G51+'BT 7HO'!G31+'BT 7HO'!G36+'BT 7HO'!G41+'BT 7HO'!G46</f>
        <v>1318185000</v>
      </c>
      <c r="I46" s="148">
        <f>+H46*10%</f>
        <v>131818500</v>
      </c>
      <c r="J46" s="148">
        <f>SUM(H46:I46)</f>
        <v>1450003500</v>
      </c>
      <c r="K46" s="147">
        <f>+IFERROR(L46/J46,"-")</f>
        <v>0</v>
      </c>
      <c r="L46" s="148">
        <f>+'BT 6HO'!K16+'BT 6HO'!K21+'BT 3HO'!K51</f>
        <v>0</v>
      </c>
      <c r="M46" s="148" t="e">
        <f>+'BT 6HO'!L16+'BT 6HO'!L21+'BT 3HO'!L51+'BT 7HO'!#REF!+'BT 7HO'!#REF!+'BT 7HO'!#REF!+'BT 7HO'!#REF!</f>
        <v>#REF!</v>
      </c>
      <c r="N46" s="149"/>
      <c r="O46" s="149"/>
      <c r="P46" s="141">
        <f>+IFERROR(Q46/$J46,"-")</f>
        <v>0</v>
      </c>
      <c r="Q46" s="148">
        <f>+'BT 6HO'!Q16+'BT 6HO'!Q21+'BT 3HO'!Q51+'BT 7HO'!P31+'BT 7HO'!P36+'BT 7HO'!P41+'BT 7HO'!P46</f>
        <v>0</v>
      </c>
      <c r="R46" s="148">
        <f>+'BT 6HO'!R16+'BT 6HO'!R21+'BT 3HO'!R51+'BT 7HO'!Q31+'BT 7HO'!Q36+'BT 7HO'!Q41+'BT 7HO'!Q46</f>
        <v>0</v>
      </c>
      <c r="S46" s="150">
        <f>+Q46-R46</f>
        <v>0</v>
      </c>
      <c r="T46" s="151"/>
      <c r="U46" s="149"/>
      <c r="V46" s="149"/>
      <c r="W46" s="141">
        <f>+IFERROR(X46/$J46,"-")</f>
        <v>0</v>
      </c>
      <c r="X46" s="148">
        <f>+'BT 6HO'!X16+'BT 6HO'!X21+'BT 3HO'!X51+'BT 7HO'!W31+'BT 7HO'!W36+'BT 7HO'!W41+'BT 7HO'!W46</f>
        <v>0</v>
      </c>
      <c r="Y46" s="148">
        <f>+'BT 6HO'!Y16+'BT 6HO'!Y21+'BT 3HO'!Y51+'BT 7HO'!X31+'BT 7HO'!X36+'BT 7HO'!X41+'BT 7HO'!X46</f>
        <v>0</v>
      </c>
      <c r="Z46" s="150">
        <f>+X46-Y46</f>
        <v>0</v>
      </c>
      <c r="AA46" s="151"/>
      <c r="AB46" s="149"/>
      <c r="AC46" s="149"/>
      <c r="AD46" s="141">
        <f>+IFERROR(AE46/$J46,"-")</f>
        <v>1.3793070154658248E-9</v>
      </c>
      <c r="AE46" s="148">
        <f>+'BT 6HO'!AE16+'BT 6HO'!AE21+'BT 3HO'!AE51+'BT 7HO'!AD31+'BT 7HO'!AD36+'BT 7HO'!AD41+'BT 7HO'!AD46</f>
        <v>2</v>
      </c>
      <c r="AF46" s="148">
        <f>+'BT 6HO'!AF16+'BT 6HO'!AF21+'BT 3HO'!AF51+'BT 7HO'!AE31+'BT 7HO'!AE36+'BT 7HO'!AE41+'BT 7HO'!AE46</f>
        <v>254075800</v>
      </c>
      <c r="AG46" s="150">
        <f>+AE46-AF46</f>
        <v>-254075798</v>
      </c>
      <c r="AH46" s="151"/>
      <c r="AI46" s="149"/>
      <c r="AJ46" s="149"/>
      <c r="AK46" s="141">
        <f>+IFERROR(AL46/$J46,"-")</f>
        <v>0</v>
      </c>
      <c r="AL46" s="148">
        <f>+'BT 6HO'!AL16+'BT 6HO'!AL21+'BT 3HO'!AL51+'BT 7HO'!AK31+'BT 7HO'!AK36+'BT 7HO'!AK41+'BT 7HO'!AK46</f>
        <v>0</v>
      </c>
      <c r="AM46" s="148">
        <f>+'BT 6HO'!AM16+'BT 6HO'!AM21+'BT 3HO'!AM51+'BT 7HO'!AL31+'BT 7HO'!AL36+'BT 7HO'!AL41+'BT 7HO'!AL46</f>
        <v>0</v>
      </c>
      <c r="AN46" s="150">
        <f>+AL46-AM46</f>
        <v>0</v>
      </c>
      <c r="AO46" s="151"/>
      <c r="AP46" s="149"/>
      <c r="AQ46" s="149"/>
      <c r="AR46" s="141">
        <f>+IFERROR(AS46/$J46,"-")</f>
        <v>0</v>
      </c>
      <c r="AS46" s="148">
        <f>+'BT 6HO'!AS16+'BT 6HO'!AS21+'BT 3HO'!AS51+'BT 7HO'!AR31+'BT 7HO'!AR36+'BT 7HO'!AR41+'BT 7HO'!AR46</f>
        <v>0</v>
      </c>
      <c r="AT46" s="148">
        <f>+'BT 6HO'!AT16+'BT 6HO'!AT21+'BT 3HO'!AT51+'BT 7HO'!AS31+'BT 7HO'!AS36+'BT 7HO'!AS41+'BT 7HO'!AS46</f>
        <v>0</v>
      </c>
      <c r="AU46" s="150">
        <f>+AS46-AT46</f>
        <v>0</v>
      </c>
      <c r="AV46" s="151"/>
      <c r="AW46" s="149"/>
      <c r="AX46" s="149"/>
      <c r="AY46" s="141">
        <f>+IFERROR(AZ46/$J46,"-")</f>
        <v>0</v>
      </c>
      <c r="AZ46" s="148">
        <f>+'BT 6HO'!AZ16+'BT 6HO'!AZ21+'BT 3HO'!AZ51+'BT 7HO'!AY31+'BT 7HO'!AY36+'BT 7HO'!AY41+'BT 7HO'!AY46</f>
        <v>0</v>
      </c>
      <c r="BA46" s="148">
        <f>+'BT 6HO'!BA16+'BT 6HO'!BA21+'BT 3HO'!BA51+'BT 7HO'!AZ31+'BT 7HO'!AZ36+'BT 7HO'!AZ41+'BT 7HO'!AZ46</f>
        <v>0</v>
      </c>
      <c r="BB46" s="150">
        <f>+AZ46-BA46</f>
        <v>0</v>
      </c>
      <c r="BC46" s="151"/>
      <c r="BD46" s="149"/>
      <c r="BE46" s="149"/>
      <c r="BF46" s="141">
        <v>0</v>
      </c>
      <c r="BG46" s="148">
        <f>+'BT 6HO'!BG16+'BT 6HO'!BG21+'BT 3HO'!BG51+'BT 7HO'!BF31+'BT 7HO'!BF36+'BT 7HO'!BF41+'BT 7HO'!BF46</f>
        <v>1.6</v>
      </c>
      <c r="BH46" s="148">
        <f>+'BT 6HO'!BH16+'BT 6HO'!BH21+'BT 3HO'!BH51+'BT 7HO'!BG31+'BT 7HO'!BG36+'BT 7HO'!BG41+'BT 7HO'!BG46</f>
        <v>203260640</v>
      </c>
      <c r="BI46" s="150">
        <f>+BG46-BH46</f>
        <v>-203260638.40000001</v>
      </c>
      <c r="BJ46" s="151"/>
      <c r="BK46" s="149"/>
      <c r="BL46" s="149"/>
      <c r="BM46" s="117">
        <f>+IFERROR(BN46/$J46,"-")</f>
        <v>2.7586140309316497E-10</v>
      </c>
      <c r="BN46" s="148">
        <f>+'BT 6HO'!BN16+'BT 6HO'!BN21+'BT 3HO'!BN51+'BT 7HO'!BM31+'BT 7HO'!BM36+'BT 7HO'!BM41+'BT 7HO'!BM46</f>
        <v>0.4</v>
      </c>
      <c r="BO46" s="148">
        <f>+'BT 6HO'!BO16+'BT 6HO'!BO21+'BT 3HO'!BO51+'BT 7HO'!BN31+'BT 7HO'!BN36+'BT 7HO'!BN41+'BT 7HO'!BN46</f>
        <v>50815160</v>
      </c>
      <c r="BP46" s="150">
        <f>+BN46-BO46</f>
        <v>-50815159.600000001</v>
      </c>
      <c r="BQ46" s="151"/>
      <c r="BR46" s="73"/>
      <c r="BS46" s="113">
        <f t="shared" ref="BS46:BU48" si="0">+IFERROR(CC46+CF46+CI46+CL46+CO46+CR46,"-")</f>
        <v>0</v>
      </c>
      <c r="BT46" s="113">
        <f t="shared" si="0"/>
        <v>0</v>
      </c>
      <c r="BU46" s="113">
        <f t="shared" si="0"/>
        <v>0</v>
      </c>
      <c r="BV46" s="54"/>
      <c r="BW46" s="54"/>
      <c r="BX46" s="54"/>
      <c r="BY46" s="54"/>
      <c r="BZ46" s="54"/>
      <c r="CA46" s="54"/>
      <c r="CB46" s="54"/>
      <c r="CC46" s="54"/>
      <c r="CD46" s="58"/>
      <c r="CE46" s="58"/>
    </row>
    <row r="47" spans="1:83" ht="16.5" customHeight="1">
      <c r="A47" s="146"/>
      <c r="B47" s="395"/>
      <c r="C47" s="396"/>
      <c r="D47" s="1529"/>
      <c r="E47" s="1536"/>
      <c r="F47" s="1529"/>
      <c r="G47" s="114" t="s">
        <v>389</v>
      </c>
      <c r="H47" s="115">
        <f>+'BT 6HO'!G17+'BT 6HO'!G22+'BT 3HO'!G52+'BT 7HO'!G32+'BT 7HO'!G37+'BT 7HO'!G42+'BT 7HO'!G47</f>
        <v>359505000</v>
      </c>
      <c r="I47" s="115">
        <f>+H47*10%</f>
        <v>35950500</v>
      </c>
      <c r="J47" s="115">
        <f>SUM(H47:I47)</f>
        <v>395455500</v>
      </c>
      <c r="K47" s="114">
        <f>+IFERROR(L47/J47,"-")</f>
        <v>4.7161513748070261E-2</v>
      </c>
      <c r="L47" s="115">
        <f>+'BT 6HO'!K17+'BT 6HO'!K22+'BT 3HO'!K52</f>
        <v>18650280</v>
      </c>
      <c r="M47" s="115" t="e">
        <f>+'BT 6HO'!L17+'BT 6HO'!L22+'BT 3HO'!L52+'BT 7HO'!#REF!+'BT 7HO'!#REF!+'BT 7HO'!#REF!+'BT 7HO'!#REF!</f>
        <v>#REF!</v>
      </c>
      <c r="N47" s="152"/>
      <c r="O47" s="152"/>
      <c r="P47" s="117">
        <f>+IFERROR(Q47/$J47,"-")</f>
        <v>0.1299102953429653</v>
      </c>
      <c r="Q47" s="115">
        <f>+'BT 6HO'!Q17+'BT 6HO'!Q22+'BT 3HO'!Q52+'BT 7HO'!P32+'BT 7HO'!P37+'BT 7HO'!P42+'BT 7HO'!P47</f>
        <v>51373740.800000012</v>
      </c>
      <c r="R47" s="115">
        <f>+'BT 6HO'!R17+'BT 6HO'!R22+'BT 3HO'!R52+'BT 7HO'!Q32+'BT 7HO'!Q37+'BT 7HO'!Q42+'BT 7HO'!Q47</f>
        <v>46367640</v>
      </c>
      <c r="S47" s="153">
        <f>+Q47-R47</f>
        <v>5006100.8000000119</v>
      </c>
      <c r="T47" s="118"/>
      <c r="U47" s="152"/>
      <c r="V47" s="152"/>
      <c r="W47" s="117">
        <f>+IFERROR(X47/$J47,"-")</f>
        <v>8.2748781594894988E-2</v>
      </c>
      <c r="X47" s="115">
        <f>+'BT 6HO'!X17+'BT 6HO'!X22+'BT 3HO'!X52+'BT 7HO'!W32+'BT 7HO'!W37+'BT 7HO'!W42+'BT 7HO'!W47</f>
        <v>32723460.799999997</v>
      </c>
      <c r="Y47" s="115">
        <f>+'BT 6HO'!Y17+'BT 6HO'!Y22+'BT 3HO'!Y52+'BT 7HO'!X32+'BT 7HO'!X37+'BT 7HO'!X42+'BT 7HO'!X47</f>
        <v>27717360</v>
      </c>
      <c r="Z47" s="153">
        <f>+X47-Y47</f>
        <v>5006100.799999997</v>
      </c>
      <c r="AA47" s="118"/>
      <c r="AB47" s="152"/>
      <c r="AC47" s="152"/>
      <c r="AD47" s="117">
        <f>+IFERROR(AE47/$J47,"-")</f>
        <v>5.0574590567080238E-9</v>
      </c>
      <c r="AE47" s="115">
        <f>+'BT 6HO'!AE17+'BT 6HO'!AE22+'BT 3HO'!AE52+'BT 7HO'!AD32+'BT 7HO'!AD37+'BT 7HO'!AD42+'BT 7HO'!AD47</f>
        <v>2</v>
      </c>
      <c r="AF47" s="115">
        <f>+'BT 6HO'!AF17+'BT 6HO'!AF22+'BT 3HO'!AF52+'BT 7HO'!AE32+'BT 7HO'!AE37+'BT 7HO'!AE42+'BT 7HO'!AE47</f>
        <v>69293400</v>
      </c>
      <c r="AG47" s="153">
        <f>+AE47-AF47</f>
        <v>-69293398</v>
      </c>
      <c r="AH47" s="118"/>
      <c r="AI47" s="152"/>
      <c r="AJ47" s="152"/>
      <c r="AK47" s="117">
        <f>+IFERROR(AL47/$J47,"-")</f>
        <v>0</v>
      </c>
      <c r="AL47" s="115">
        <f>+'BT 6HO'!AL17+'BT 6HO'!AL22+'BT 3HO'!AL52+'BT 7HO'!AK32+'BT 7HO'!AK37+'BT 7HO'!AK42+'BT 7HO'!AK47</f>
        <v>0</v>
      </c>
      <c r="AM47" s="115">
        <f>+'BT 6HO'!AM17+'BT 6HO'!AM22+'BT 3HO'!AM52+'BT 7HO'!AL32+'BT 7HO'!AL37+'BT 7HO'!AL42+'BT 7HO'!AL47</f>
        <v>0</v>
      </c>
      <c r="AN47" s="153">
        <f>+AL47-AM47</f>
        <v>0</v>
      </c>
      <c r="AO47" s="118"/>
      <c r="AP47" s="152"/>
      <c r="AQ47" s="152"/>
      <c r="AR47" s="117">
        <f>+IFERROR(AS47/$J47,"-")</f>
        <v>0</v>
      </c>
      <c r="AS47" s="115">
        <f>+'BT 6HO'!AS17+'BT 6HO'!AS22+'BT 3HO'!AS52+'BT 7HO'!AR32+'BT 7HO'!AR37+'BT 7HO'!AR42+'BT 7HO'!AR47</f>
        <v>0</v>
      </c>
      <c r="AT47" s="115">
        <f>+'BT 6HO'!AT17+'BT 6HO'!AT22+'BT 3HO'!AT52+'BT 7HO'!AS32+'BT 7HO'!AS37+'BT 7HO'!AS42+'BT 7HO'!AS47</f>
        <v>0</v>
      </c>
      <c r="AU47" s="153">
        <f>+AS47-AT47</f>
        <v>0</v>
      </c>
      <c r="AV47" s="118"/>
      <c r="AW47" s="152"/>
      <c r="AX47" s="152"/>
      <c r="AY47" s="117">
        <f>+IFERROR(AZ47/$J47,"-")</f>
        <v>0</v>
      </c>
      <c r="AZ47" s="115">
        <f>+'BT 6HO'!AZ17+'BT 6HO'!AZ22+'BT 3HO'!AZ52+'BT 7HO'!AY32+'BT 7HO'!AY37+'BT 7HO'!AY42+'BT 7HO'!AY47</f>
        <v>0</v>
      </c>
      <c r="BA47" s="115">
        <f>+'BT 6HO'!BA17+'BT 6HO'!BA22+'BT 3HO'!BA52+'BT 7HO'!AZ32+'BT 7HO'!AZ37+'BT 7HO'!AZ42+'BT 7HO'!AZ47</f>
        <v>0</v>
      </c>
      <c r="BB47" s="153">
        <f>+AZ47-BA47</f>
        <v>0</v>
      </c>
      <c r="BC47" s="118"/>
      <c r="BD47" s="152"/>
      <c r="BE47" s="152"/>
      <c r="BF47" s="117">
        <v>0</v>
      </c>
      <c r="BG47" s="115">
        <f>+'BT 6HO'!BG17+'BT 6HO'!BG22+'BT 3HO'!BG52+'BT 7HO'!BF32+'BT 7HO'!BF37+'BT 7HO'!BF42+'BT 7HO'!BF47</f>
        <v>0</v>
      </c>
      <c r="BH47" s="115">
        <f>+'BT 6HO'!BH17+'BT 6HO'!BH22+'BT 3HO'!BH52+'BT 7HO'!BG32+'BT 7HO'!BG37+'BT 7HO'!BG42+'BT 7HO'!BG47</f>
        <v>0</v>
      </c>
      <c r="BI47" s="153">
        <f>+BG47-BH47</f>
        <v>0</v>
      </c>
      <c r="BJ47" s="118"/>
      <c r="BK47" s="152"/>
      <c r="BL47" s="152"/>
      <c r="BM47" s="117">
        <f>+IFERROR(BN47/$J47,"-")</f>
        <v>1.0114918113416048E-9</v>
      </c>
      <c r="BN47" s="115">
        <f>+'BT 6HO'!BN17+'BT 6HO'!BN22+'BT 3HO'!BN52+'BT 7HO'!BM32+'BT 7HO'!BM37+'BT 7HO'!BM42+'BT 7HO'!BM47</f>
        <v>0.4</v>
      </c>
      <c r="BO47" s="115">
        <f>+'BT 6HO'!BO17+'BT 6HO'!BO22+'BT 3HO'!BO52+'BT 7HO'!BN32+'BT 7HO'!BN37+'BT 7HO'!BN42+'BT 7HO'!BN47</f>
        <v>13858680</v>
      </c>
      <c r="BP47" s="153">
        <f>+BN47-BO47</f>
        <v>-13858679.6</v>
      </c>
      <c r="BQ47" s="118"/>
      <c r="BR47" s="73"/>
      <c r="BS47" s="113">
        <f t="shared" si="0"/>
        <v>0</v>
      </c>
      <c r="BT47" s="113">
        <f t="shared" si="0"/>
        <v>0</v>
      </c>
      <c r="BU47" s="113">
        <f t="shared" si="0"/>
        <v>0</v>
      </c>
      <c r="BV47" s="54"/>
      <c r="BW47" s="54"/>
      <c r="BX47" s="54"/>
      <c r="BY47" s="54"/>
      <c r="BZ47" s="54"/>
      <c r="CA47" s="54"/>
      <c r="CB47" s="54"/>
      <c r="CC47" s="54"/>
      <c r="CD47" s="58"/>
      <c r="CE47" s="58"/>
    </row>
    <row r="48" spans="1:83" ht="16.5" customHeight="1">
      <c r="A48" s="146"/>
      <c r="B48" s="395"/>
      <c r="C48" s="396"/>
      <c r="D48" s="1529"/>
      <c r="E48" s="1536"/>
      <c r="F48" s="1529"/>
      <c r="G48" s="114" t="s">
        <v>390</v>
      </c>
      <c r="H48" s="115">
        <f>+'BT 6HO'!G18+'BT 6HO'!G23+'BT 3HO'!G53+'BT 7HO'!G33+'BT 7HO'!G38+'BT 7HO'!G43+'BT 7HO'!G48</f>
        <v>239670000</v>
      </c>
      <c r="I48" s="115">
        <f>+H48*10%</f>
        <v>23967000</v>
      </c>
      <c r="J48" s="115">
        <f>SUM(H48:I48)</f>
        <v>263637000</v>
      </c>
      <c r="K48" s="114">
        <f>+IFERROR(L48/J48,"-")</f>
        <v>4.7161513748070261E-2</v>
      </c>
      <c r="L48" s="115">
        <f>+'BT 6HO'!K18+'BT 6HO'!K23+'BT 3HO'!K53</f>
        <v>12433520</v>
      </c>
      <c r="M48" s="115" t="e">
        <f>+'BT 6HO'!L18+'BT 6HO'!L23+'BT 3HO'!L53+'BT 7HO'!#REF!+'BT 7HO'!#REF!+'BT 7HO'!#REF!+'BT 7HO'!#REF!</f>
        <v>#REF!</v>
      </c>
      <c r="N48" s="152"/>
      <c r="O48" s="152"/>
      <c r="P48" s="117">
        <f>+IFERROR(Q48/$J48,"-")</f>
        <v>0.12991029635445711</v>
      </c>
      <c r="Q48" s="115">
        <f>+'BT 6HO'!Q18+'BT 6HO'!Q23+'BT 3HO'!Q53+'BT 7HO'!P33+'BT 7HO'!P38+'BT 7HO'!P43+'BT 7HO'!P48</f>
        <v>34249160.800000012</v>
      </c>
      <c r="R48" s="115">
        <f>+'BT 6HO'!R18+'BT 6HO'!R23+'BT 3HO'!R53+'BT 7HO'!Q33+'BT 7HO'!Q38+'BT 7HO'!Q43+'BT 7HO'!Q48</f>
        <v>30911760</v>
      </c>
      <c r="S48" s="153">
        <f>+Q48-R48</f>
        <v>3337400.8000000119</v>
      </c>
      <c r="T48" s="118"/>
      <c r="U48" s="152"/>
      <c r="V48" s="152"/>
      <c r="W48" s="117">
        <f>+IFERROR(X48/$J48,"-")</f>
        <v>8.2748782606386795E-2</v>
      </c>
      <c r="X48" s="115">
        <f>+'BT 6HO'!X18+'BT 6HO'!X23+'BT 3HO'!X53+'BT 7HO'!W33+'BT 7HO'!W38+'BT 7HO'!W43+'BT 7HO'!W48</f>
        <v>21815640.799999997</v>
      </c>
      <c r="Y48" s="115">
        <f>+'BT 6HO'!Y18+'BT 6HO'!Y23+'BT 3HO'!Y53+'BT 7HO'!X33+'BT 7HO'!X38+'BT 7HO'!X43+'BT 7HO'!X48</f>
        <v>18478240</v>
      </c>
      <c r="Z48" s="153">
        <f>+X48-Y48</f>
        <v>3337400.799999997</v>
      </c>
      <c r="AA48" s="118"/>
      <c r="AB48" s="152"/>
      <c r="AC48" s="152"/>
      <c r="AD48" s="117">
        <f>+IFERROR(AE48/$J48,"-")</f>
        <v>7.5861885850620361E-9</v>
      </c>
      <c r="AE48" s="115">
        <f>+'BT 6HO'!AE18+'BT 6HO'!AE23+'BT 3HO'!AE53+'BT 7HO'!AD33+'BT 7HO'!AD38+'BT 7HO'!AD43+'BT 7HO'!AD48</f>
        <v>2</v>
      </c>
      <c r="AF48" s="115">
        <f>+'BT 6HO'!AF18+'BT 6HO'!AF23+'BT 3HO'!AF53+'BT 7HO'!AE33+'BT 7HO'!AE38+'BT 7HO'!AE43+'BT 7HO'!AE48</f>
        <v>46195600</v>
      </c>
      <c r="AG48" s="153">
        <f>+AE48-AF48</f>
        <v>-46195598</v>
      </c>
      <c r="AH48" s="118"/>
      <c r="AI48" s="152"/>
      <c r="AJ48" s="152"/>
      <c r="AK48" s="117">
        <f>+IFERROR(AL48/$J48,"-")</f>
        <v>0</v>
      </c>
      <c r="AL48" s="115">
        <f>+'BT 6HO'!AL18+'BT 6HO'!AL23+'BT 3HO'!AL53+'BT 7HO'!AK33+'BT 7HO'!AK38+'BT 7HO'!AK43+'BT 7HO'!AK48</f>
        <v>0</v>
      </c>
      <c r="AM48" s="115">
        <f>+'BT 6HO'!AM18+'BT 6HO'!AM23+'BT 3HO'!AM53+'BT 7HO'!AL33+'BT 7HO'!AL38+'BT 7HO'!AL43+'BT 7HO'!AL48</f>
        <v>0</v>
      </c>
      <c r="AN48" s="153">
        <f>+AL48-AM48</f>
        <v>0</v>
      </c>
      <c r="AO48" s="118"/>
      <c r="AP48" s="152"/>
      <c r="AQ48" s="152"/>
      <c r="AR48" s="117">
        <f>+IFERROR(AS48/$J48,"-")</f>
        <v>0</v>
      </c>
      <c r="AS48" s="115">
        <f>+'BT 6HO'!AS18+'BT 6HO'!AS23+'BT 3HO'!AS53+'BT 7HO'!AR33+'BT 7HO'!AR38+'BT 7HO'!AR43+'BT 7HO'!AR48</f>
        <v>0</v>
      </c>
      <c r="AT48" s="115">
        <f>+'BT 6HO'!AT18+'BT 6HO'!AT23+'BT 3HO'!AT53+'BT 7HO'!AS33+'BT 7HO'!AS38+'BT 7HO'!AS43+'BT 7HO'!AS48</f>
        <v>0</v>
      </c>
      <c r="AU48" s="153">
        <f>+AS48-AT48</f>
        <v>0</v>
      </c>
      <c r="AV48" s="118"/>
      <c r="AW48" s="152"/>
      <c r="AX48" s="152"/>
      <c r="AY48" s="117">
        <f>+IFERROR(AZ48/$J48,"-")</f>
        <v>0</v>
      </c>
      <c r="AZ48" s="115">
        <f>+'BT 6HO'!AZ18+'BT 6HO'!AZ23+'BT 3HO'!AZ53+'BT 7HO'!AY33+'BT 7HO'!AY38+'BT 7HO'!AY43+'BT 7HO'!AY48</f>
        <v>0</v>
      </c>
      <c r="BA48" s="115">
        <f>+'BT 6HO'!BA18+'BT 6HO'!BA23+'BT 3HO'!BA53+'BT 7HO'!AZ33+'BT 7HO'!AZ38+'BT 7HO'!AZ43+'BT 7HO'!AZ48</f>
        <v>0</v>
      </c>
      <c r="BB48" s="153">
        <f>+AZ48-BA48</f>
        <v>0</v>
      </c>
      <c r="BC48" s="118"/>
      <c r="BD48" s="152"/>
      <c r="BE48" s="152"/>
      <c r="BF48" s="117">
        <v>0</v>
      </c>
      <c r="BG48" s="115">
        <f>+'BT 6HO'!BG18+'BT 6HO'!BG23+'BT 3HO'!BG53+'BT 7HO'!BF33+'BT 7HO'!BF38+'BT 7HO'!BF43+'BT 7HO'!BF48</f>
        <v>0</v>
      </c>
      <c r="BH48" s="115">
        <f>+'BT 6HO'!BH18+'BT 6HO'!BH23+'BT 3HO'!BH53+'BT 7HO'!BG33+'BT 7HO'!BG38+'BT 7HO'!BG43+'BT 7HO'!BG48</f>
        <v>0</v>
      </c>
      <c r="BI48" s="153">
        <f>+BG48-BH48</f>
        <v>0</v>
      </c>
      <c r="BJ48" s="118"/>
      <c r="BK48" s="152"/>
      <c r="BL48" s="152"/>
      <c r="BM48" s="117">
        <f>+IFERROR(BN48/$J48,"-")</f>
        <v>1.5172377170124073E-9</v>
      </c>
      <c r="BN48" s="115">
        <f>+'BT 6HO'!BN18+'BT 6HO'!BN23+'BT 3HO'!BN53+'BT 7HO'!BM33+'BT 7HO'!BM38+'BT 7HO'!BM43+'BT 7HO'!BM48</f>
        <v>0.4</v>
      </c>
      <c r="BO48" s="115">
        <f>+'BT 6HO'!BO18+'BT 6HO'!BO23+'BT 3HO'!BO53+'BT 7HO'!BN33+'BT 7HO'!BN38+'BT 7HO'!BN43+'BT 7HO'!BN48</f>
        <v>9239120</v>
      </c>
      <c r="BP48" s="153">
        <f>+BN48-BO48</f>
        <v>-9239119.5999999996</v>
      </c>
      <c r="BQ48" s="118"/>
      <c r="BR48" s="73"/>
      <c r="BS48" s="113">
        <f t="shared" si="0"/>
        <v>0</v>
      </c>
      <c r="BT48" s="113">
        <f t="shared" si="0"/>
        <v>0</v>
      </c>
      <c r="BU48" s="113">
        <f t="shared" si="0"/>
        <v>0</v>
      </c>
      <c r="BV48" s="54"/>
      <c r="BW48" s="54"/>
      <c r="BX48" s="54"/>
      <c r="BY48" s="54"/>
      <c r="BZ48" s="54"/>
      <c r="CA48" s="54"/>
      <c r="CB48" s="54"/>
      <c r="CC48" s="54"/>
      <c r="CD48" s="58"/>
      <c r="CE48" s="58"/>
    </row>
    <row r="49" spans="1:83" ht="16.5" customHeight="1">
      <c r="A49" s="146"/>
      <c r="B49" s="395"/>
      <c r="C49" s="396"/>
      <c r="D49" s="1529"/>
      <c r="E49" s="1536"/>
      <c r="F49" s="1529"/>
      <c r="G49" s="119" t="s">
        <v>391</v>
      </c>
      <c r="H49" s="120">
        <f>+'BT 6HO'!G19+'BT 6HO'!G24+'BT 3HO'!G54+'BT 7HO'!G34+'BT 7HO'!G39+'BT 7HO'!G44+'BT 7HO'!G49</f>
        <v>239670000</v>
      </c>
      <c r="I49" s="120">
        <f>+H49*0.1</f>
        <v>23967000</v>
      </c>
      <c r="J49" s="120">
        <f>SUM(H49:I49)</f>
        <v>263637000</v>
      </c>
      <c r="K49" s="154"/>
      <c r="L49" s="120">
        <f>+'BT 6HO'!K19+'BT 6HO'!K24+'BT 3HO'!K54</f>
        <v>0</v>
      </c>
      <c r="M49" s="120" t="e">
        <f>+'BT 6HO'!L19+'BT 6HO'!L24+'BT 3HO'!L54+'BT 7HO'!#REF!+'BT 7HO'!#REF!+'BT 7HO'!#REF!+'BT 7HO'!#REF!</f>
        <v>#REF!</v>
      </c>
      <c r="N49" s="155"/>
      <c r="O49" s="155"/>
      <c r="P49" s="121">
        <f>+IFERROR(Q49/$J49,"-")</f>
        <v>0</v>
      </c>
      <c r="Q49" s="120">
        <f>+'BT 6HO'!Q19+'BT 6HO'!Q24+'BT 3HO'!Q54+'BT 7HO'!P34+'BT 7HO'!P39+'BT 7HO'!P44+'BT 7HO'!P49</f>
        <v>0</v>
      </c>
      <c r="R49" s="120">
        <f>+'BT 6HO'!R19+'BT 6HO'!R24+'BT 3HO'!R54+'BT 7HO'!Q34+'BT 7HO'!Q39+'BT 7HO'!Q44+'BT 7HO'!Q49</f>
        <v>0</v>
      </c>
      <c r="S49" s="156">
        <f>+Q49-R49</f>
        <v>0</v>
      </c>
      <c r="T49" s="157"/>
      <c r="U49" s="155"/>
      <c r="V49" s="155"/>
      <c r="W49" s="121">
        <f>+IFERROR(X49/$J49,"-")</f>
        <v>0</v>
      </c>
      <c r="X49" s="120">
        <f>+'BT 6HO'!X19+'BT 6HO'!X24+'BT 3HO'!X54+'BT 7HO'!W34+'BT 7HO'!W39+'BT 7HO'!W44+'BT 7HO'!W49</f>
        <v>0</v>
      </c>
      <c r="Y49" s="120">
        <f>+'BT 6HO'!Y19+'BT 6HO'!Y24+'BT 3HO'!Y54+'BT 7HO'!X34+'BT 7HO'!X39+'BT 7HO'!X44+'BT 7HO'!X49</f>
        <v>0</v>
      </c>
      <c r="Z49" s="156">
        <f>+X49-Y49</f>
        <v>0</v>
      </c>
      <c r="AA49" s="157"/>
      <c r="AB49" s="155"/>
      <c r="AC49" s="155"/>
      <c r="AD49" s="121">
        <f>+IFERROR(AE49/$J49,"-")</f>
        <v>0</v>
      </c>
      <c r="AE49" s="120">
        <f>+'BT 6HO'!AE19+'BT 6HO'!AE24+'BT 3HO'!AE54+'BT 7HO'!AD34+'BT 7HO'!AD39+'BT 7HO'!AD44+'BT 7HO'!AD49</f>
        <v>0</v>
      </c>
      <c r="AF49" s="120">
        <f>+'BT 6HO'!AF19+'BT 6HO'!AF24+'BT 3HO'!AF54+'BT 7HO'!AE34+'BT 7HO'!AE39+'BT 7HO'!AE44+'BT 7HO'!AE49</f>
        <v>0</v>
      </c>
      <c r="AG49" s="156">
        <f>+AE49-AF49</f>
        <v>0</v>
      </c>
      <c r="AH49" s="157"/>
      <c r="AI49" s="155"/>
      <c r="AJ49" s="155"/>
      <c r="AK49" s="121">
        <f>+IFERROR(AL49/$J49,"-")</f>
        <v>0</v>
      </c>
      <c r="AL49" s="120">
        <f>+'BT 6HO'!AL19+'BT 6HO'!AL24+'BT 3HO'!AL54+'BT 7HO'!AK34+'BT 7HO'!AK39+'BT 7HO'!AK44+'BT 7HO'!AK49</f>
        <v>0</v>
      </c>
      <c r="AM49" s="120">
        <f>+'BT 6HO'!AM19+'BT 6HO'!AM24+'BT 3HO'!AM54+'BT 7HO'!AL34+'BT 7HO'!AL39+'BT 7HO'!AL44+'BT 7HO'!AL49</f>
        <v>0</v>
      </c>
      <c r="AN49" s="156">
        <f>+AL49-AM49</f>
        <v>0</v>
      </c>
      <c r="AO49" s="157"/>
      <c r="AP49" s="155"/>
      <c r="AQ49" s="155"/>
      <c r="AR49" s="121">
        <f>+IFERROR(AS49/$J49,"-")</f>
        <v>0</v>
      </c>
      <c r="AS49" s="120">
        <f>+'BT 6HO'!AS19+'BT 6HO'!AS24+'BT 3HO'!AS54+'BT 7HO'!AR34+'BT 7HO'!AR39+'BT 7HO'!AR44+'BT 7HO'!AR49</f>
        <v>0</v>
      </c>
      <c r="AT49" s="120">
        <f>+'BT 6HO'!AT19+'BT 6HO'!AT24+'BT 3HO'!AT54+'BT 7HO'!AS34+'BT 7HO'!AS39+'BT 7HO'!AS44+'BT 7HO'!AS49</f>
        <v>0</v>
      </c>
      <c r="AU49" s="156">
        <f>+AS49-AT49</f>
        <v>0</v>
      </c>
      <c r="AV49" s="157"/>
      <c r="AW49" s="155"/>
      <c r="AX49" s="155"/>
      <c r="AY49" s="121">
        <f>+IFERROR(AZ49/$J49,"-")</f>
        <v>0</v>
      </c>
      <c r="AZ49" s="120">
        <f>+'BT 6HO'!AZ19+'BT 6HO'!AZ24+'BT 3HO'!AZ54+'BT 7HO'!AY34+'BT 7HO'!AY39+'BT 7HO'!AY44+'BT 7HO'!AY49</f>
        <v>0</v>
      </c>
      <c r="BA49" s="120">
        <f>+'BT 6HO'!BA19+'BT 6HO'!BA24+'BT 3HO'!BA54+'BT 7HO'!AZ34+'BT 7HO'!AZ39+'BT 7HO'!AZ44+'BT 7HO'!AZ49</f>
        <v>0</v>
      </c>
      <c r="BB49" s="156">
        <f>+AZ49-BA49</f>
        <v>0</v>
      </c>
      <c r="BC49" s="157"/>
      <c r="BD49" s="155"/>
      <c r="BE49" s="155"/>
      <c r="BF49" s="121">
        <v>0</v>
      </c>
      <c r="BG49" s="120">
        <f>+'BT 6HO'!BG19+'BT 6HO'!BG24+'BT 3HO'!BG54+'BT 7HO'!BF34+'BT 7HO'!BF39+'BT 7HO'!BF44+'BT 7HO'!BF49</f>
        <v>0</v>
      </c>
      <c r="BH49" s="120">
        <f>+'BT 6HO'!BH19+'BT 6HO'!BH24+'BT 3HO'!BH54+'BT 7HO'!BG34+'BT 7HO'!BG39+'BT 7HO'!BG44+'BT 7HO'!BG49</f>
        <v>0</v>
      </c>
      <c r="BI49" s="156">
        <f>+BG49-BH49</f>
        <v>0</v>
      </c>
      <c r="BJ49" s="157"/>
      <c r="BK49" s="155"/>
      <c r="BL49" s="155"/>
      <c r="BM49" s="121">
        <f>+IFERROR(BN49/$J49,"-")</f>
        <v>1.5172377170124072E-8</v>
      </c>
      <c r="BN49" s="120">
        <f>+'BT 6HO'!BN19+'BT 6HO'!BN24+'BT 3HO'!BN54+'BT 7HO'!BM34+'BT 7HO'!BM39+'BT 7HO'!BM44+'BT 7HO'!BM49</f>
        <v>4</v>
      </c>
      <c r="BO49" s="120">
        <f>+'BT 6HO'!BO19+'BT 6HO'!BO24+'BT 3HO'!BO54+'BT 7HO'!BN34+'BT 7HO'!BN39+'BT 7HO'!BN44+'BT 7HO'!BN49</f>
        <v>92391200</v>
      </c>
      <c r="BP49" s="156">
        <f>+BN49-BO49</f>
        <v>-92391196</v>
      </c>
      <c r="BQ49" s="157"/>
      <c r="BR49" s="158"/>
      <c r="BS49" s="122"/>
      <c r="BT49" s="123"/>
      <c r="BU49" s="122"/>
      <c r="BV49" s="54"/>
      <c r="BW49" s="54"/>
      <c r="BX49" s="54"/>
      <c r="BY49" s="54"/>
      <c r="BZ49" s="54"/>
      <c r="CA49" s="54"/>
      <c r="CB49" s="54"/>
      <c r="CC49" s="54"/>
      <c r="CD49" s="54"/>
      <c r="CE49" s="54"/>
    </row>
    <row r="50" spans="1:83" ht="16.5" customHeight="1">
      <c r="A50" s="62"/>
      <c r="B50" s="397"/>
      <c r="C50" s="398"/>
      <c r="D50" s="1529"/>
      <c r="E50" s="1536"/>
      <c r="F50" s="1529"/>
      <c r="G50" s="124" t="s">
        <v>392</v>
      </c>
      <c r="H50" s="125">
        <f>SUM(H46:H49)</f>
        <v>2157030000</v>
      </c>
      <c r="I50" s="125">
        <f>SUM(I46:I49)</f>
        <v>215703000</v>
      </c>
      <c r="J50" s="125">
        <f>SUM(J46:J49)</f>
        <v>2372733000</v>
      </c>
      <c r="K50" s="124">
        <f>+IFERROR(L50/J50,"-")</f>
        <v>1.3100420485575073E-2</v>
      </c>
      <c r="L50" s="125">
        <f>SUM(L46:L49)</f>
        <v>31083800</v>
      </c>
      <c r="M50" s="125" t="e">
        <f>SUM(M46:M49)</f>
        <v>#REF!</v>
      </c>
      <c r="N50" s="126"/>
      <c r="O50" s="124"/>
      <c r="P50" s="127">
        <f>+IFERROR(Q50/$J50,"-")</f>
        <v>3.608619326321167E-2</v>
      </c>
      <c r="Q50" s="125">
        <f>SUM(Q46:Q49)</f>
        <v>85622901.600000024</v>
      </c>
      <c r="R50" s="125">
        <f>SUM(R46:R49)</f>
        <v>77279400</v>
      </c>
      <c r="S50" s="128">
        <f t="shared" ref="S50" si="1">+Q50-R50</f>
        <v>8343501.6000000238</v>
      </c>
      <c r="T50" s="124"/>
      <c r="U50" s="126"/>
      <c r="V50" s="124"/>
      <c r="W50" s="127">
        <f>+IFERROR(X50/$J50,"-")</f>
        <v>2.2985772777636589E-2</v>
      </c>
      <c r="X50" s="125">
        <f>SUM(X46:X49)</f>
        <v>54539101.599999994</v>
      </c>
      <c r="Y50" s="125">
        <f>SUM(Y46:Y49)</f>
        <v>46195600</v>
      </c>
      <c r="Z50" s="128">
        <f t="shared" ref="Z50" si="2">+X50-Y50</f>
        <v>8343501.599999994</v>
      </c>
      <c r="AA50" s="124"/>
      <c r="AB50" s="126"/>
      <c r="AC50" s="124"/>
      <c r="AD50" s="127">
        <f>+IFERROR(AE50/$J50,"-")</f>
        <v>2.5287295283540119E-9</v>
      </c>
      <c r="AE50" s="125">
        <f>SUM(AE46:AE49)</f>
        <v>6</v>
      </c>
      <c r="AF50" s="125">
        <f>SUM(AF46:AF49)</f>
        <v>369564800</v>
      </c>
      <c r="AG50" s="128">
        <f t="shared" ref="AG50" si="3">+AE50-AF50</f>
        <v>-369564794</v>
      </c>
      <c r="AH50" s="124"/>
      <c r="AI50" s="126"/>
      <c r="AJ50" s="124"/>
      <c r="AK50" s="127">
        <f>+IFERROR(AL50/$J50,"-")</f>
        <v>0</v>
      </c>
      <c r="AL50" s="125">
        <f>SUM(AL46:AL49)</f>
        <v>0</v>
      </c>
      <c r="AM50" s="125">
        <f>SUM(AM46:AM49)</f>
        <v>0</v>
      </c>
      <c r="AN50" s="128">
        <f t="shared" ref="AN50" si="4">+AL50-AM50</f>
        <v>0</v>
      </c>
      <c r="AO50" s="124"/>
      <c r="AP50" s="126"/>
      <c r="AQ50" s="124"/>
      <c r="AR50" s="127">
        <f>+IFERROR(AS50/$J50,"-")</f>
        <v>0</v>
      </c>
      <c r="AS50" s="125">
        <f>SUM(AS46:AS49)</f>
        <v>0</v>
      </c>
      <c r="AT50" s="125">
        <f>SUM(AT46:AT49)</f>
        <v>0</v>
      </c>
      <c r="AU50" s="128">
        <f t="shared" ref="AU50" si="5">+AS50-AT50</f>
        <v>0</v>
      </c>
      <c r="AV50" s="124"/>
      <c r="AW50" s="126"/>
      <c r="AX50" s="124"/>
      <c r="AY50" s="127">
        <f>+IFERROR(AZ50/$J50,"-")</f>
        <v>0</v>
      </c>
      <c r="AZ50" s="125">
        <f>SUM(AZ46:AZ49)</f>
        <v>0</v>
      </c>
      <c r="BA50" s="125">
        <f>SUM(BA46:BA49)</f>
        <v>0</v>
      </c>
      <c r="BB50" s="128">
        <f t="shared" ref="BB50" si="6">+AZ50-BA50</f>
        <v>0</v>
      </c>
      <c r="BC50" s="124"/>
      <c r="BD50" s="126"/>
      <c r="BE50" s="124"/>
      <c r="BF50" s="127">
        <f>+IFERROR(BG50/$J50,"-")</f>
        <v>6.7432787422773656E-10</v>
      </c>
      <c r="BG50" s="125">
        <f>SUM(BG46:BG49)</f>
        <v>1.6</v>
      </c>
      <c r="BH50" s="125">
        <f>SUM(BH46:BH49)</f>
        <v>203260640</v>
      </c>
      <c r="BI50" s="128">
        <f t="shared" ref="BI50" si="7">+BG50-BH50</f>
        <v>-203260638.40000001</v>
      </c>
      <c r="BJ50" s="124"/>
      <c r="BK50" s="126"/>
      <c r="BL50" s="124"/>
      <c r="BM50" s="127">
        <f>+IFERROR(BN50/$J50,"-")</f>
        <v>2.1915655912401436E-9</v>
      </c>
      <c r="BN50" s="125">
        <f>SUM(BN46:BN49)</f>
        <v>5.2</v>
      </c>
      <c r="BO50" s="125">
        <f>SUM(BO46:BO49)</f>
        <v>166304160</v>
      </c>
      <c r="BP50" s="128">
        <f t="shared" ref="BP50" si="8">+BN50-BO50</f>
        <v>-166304154.80000001</v>
      </c>
      <c r="BQ50" s="124"/>
      <c r="BR50" s="88"/>
      <c r="BS50" s="129"/>
      <c r="BT50" s="129"/>
      <c r="BU50" s="129"/>
      <c r="BV50" s="54"/>
      <c r="BW50" s="54"/>
      <c r="BX50" s="54"/>
      <c r="BY50" s="54"/>
      <c r="BZ50" s="54"/>
      <c r="CA50" s="54"/>
      <c r="CB50" s="54"/>
      <c r="CC50" s="54"/>
      <c r="CD50" s="58"/>
      <c r="CE50" s="58"/>
    </row>
    <row r="51" spans="1:83">
      <c r="S51" s="132"/>
      <c r="U51" s="132"/>
      <c r="Z51" s="132"/>
      <c r="AB51" s="132"/>
      <c r="AG51" s="132"/>
      <c r="AI51" s="132"/>
      <c r="AN51" s="132"/>
      <c r="AP51" s="132"/>
      <c r="AU51" s="132"/>
      <c r="AW51" s="132"/>
      <c r="BB51" s="132"/>
      <c r="BD51" s="132"/>
      <c r="BI51" s="132"/>
      <c r="BK51" s="132"/>
      <c r="BP51" s="132"/>
      <c r="BR51" s="132"/>
      <c r="BS51" s="133"/>
    </row>
    <row r="52" spans="1:83">
      <c r="O52" s="143"/>
      <c r="P52" s="143"/>
      <c r="S52" s="132"/>
      <c r="U52" s="132"/>
      <c r="V52" s="143"/>
      <c r="W52" s="143"/>
      <c r="Z52" s="132"/>
      <c r="AB52" s="132"/>
      <c r="AC52" s="143"/>
      <c r="AD52" s="143"/>
      <c r="AG52" s="132"/>
      <c r="AI52" s="132"/>
      <c r="AJ52" s="143"/>
      <c r="AK52" s="143"/>
      <c r="AN52" s="132"/>
      <c r="AP52" s="132"/>
      <c r="AQ52" s="143"/>
      <c r="AR52" s="143"/>
      <c r="AU52" s="132"/>
      <c r="AW52" s="132"/>
      <c r="AX52" s="143"/>
      <c r="AY52" s="143"/>
      <c r="BB52" s="132"/>
      <c r="BD52" s="132"/>
      <c r="BE52" s="143"/>
      <c r="BF52" s="143"/>
      <c r="BI52" s="132"/>
      <c r="BK52" s="132"/>
      <c r="BL52" s="143"/>
      <c r="BM52" s="143"/>
      <c r="BP52" s="132"/>
      <c r="BR52" s="132"/>
      <c r="BS52" s="133"/>
    </row>
    <row r="53" spans="1:83" ht="34.5" customHeight="1">
      <c r="C53" s="385" t="s">
        <v>409</v>
      </c>
      <c r="D53" s="388" t="s">
        <v>383</v>
      </c>
      <c r="E53" s="385" t="s">
        <v>1030</v>
      </c>
    </row>
    <row r="54" spans="1:83" ht="16.5" customHeight="1">
      <c r="C54" s="386" t="s">
        <v>154</v>
      </c>
      <c r="D54" s="389">
        <v>0</v>
      </c>
      <c r="E54" s="1581" t="s">
        <v>1031</v>
      </c>
    </row>
    <row r="55" spans="1:83" ht="16.5" customHeight="1">
      <c r="C55" s="386" t="s">
        <v>157</v>
      </c>
      <c r="D55" s="389">
        <f>+'BT 3HO'!R55+'BT 3HO'!Y55</f>
        <v>0</v>
      </c>
      <c r="E55" s="1582"/>
    </row>
    <row r="56" spans="1:83" ht="16.5" customHeight="1">
      <c r="C56" s="386" t="s">
        <v>158</v>
      </c>
      <c r="D56" s="389">
        <f>+'BT 6HO'!R20+'BT 6HO'!R25</f>
        <v>31083800</v>
      </c>
      <c r="E56" s="1582"/>
      <c r="S56" s="144"/>
      <c r="U56" s="144"/>
      <c r="Z56" s="144"/>
      <c r="AB56" s="144"/>
      <c r="AG56" s="144"/>
      <c r="AI56" s="144"/>
      <c r="AN56" s="144"/>
      <c r="AP56" s="144"/>
      <c r="AU56" s="144"/>
      <c r="AW56" s="144"/>
      <c r="BB56" s="144"/>
      <c r="BD56" s="144"/>
      <c r="BI56" s="144"/>
      <c r="BK56" s="144"/>
      <c r="BP56" s="144"/>
      <c r="BR56" s="144"/>
      <c r="BS56" s="144"/>
    </row>
    <row r="57" spans="1:83" ht="16.5" customHeight="1">
      <c r="C57" s="386" t="s">
        <v>159</v>
      </c>
      <c r="D57" s="390">
        <f>+'BT 7HO'!Q35+'BT 7HO'!Q40+'BT 7HO'!Q45+'BT 7HO'!Q50+'BT 7HO'!X50+'BT 7HO'!X45+'BT 7HO'!X40+'BT 7HO'!X35+'BT 7HO'!AE35</f>
        <v>225385600</v>
      </c>
      <c r="E57" s="1583"/>
    </row>
    <row r="58" spans="1:83" ht="16.5" customHeight="1">
      <c r="C58" s="386" t="s">
        <v>156</v>
      </c>
      <c r="D58" s="389">
        <f>+SUM(D54:D57)</f>
        <v>256469400</v>
      </c>
      <c r="E58" s="386"/>
    </row>
    <row r="61" spans="1:83">
      <c r="C61" s="391"/>
      <c r="D61" s="53" t="s">
        <v>1032</v>
      </c>
    </row>
    <row r="63" spans="1:83">
      <c r="S63" s="132"/>
      <c r="U63" s="132"/>
      <c r="Z63" s="132"/>
      <c r="AB63" s="132"/>
      <c r="AG63" s="132"/>
      <c r="AI63" s="132"/>
      <c r="AN63" s="132"/>
      <c r="AP63" s="132"/>
      <c r="AU63" s="132"/>
      <c r="AW63" s="132"/>
      <c r="BB63" s="132"/>
      <c r="BD63" s="132"/>
      <c r="BI63" s="132"/>
      <c r="BK63" s="132"/>
      <c r="BP63" s="132"/>
      <c r="BR63" s="132"/>
      <c r="BS63" s="133"/>
    </row>
  </sheetData>
  <mergeCells count="49">
    <mergeCell ref="H3:H4"/>
    <mergeCell ref="I3:I4"/>
    <mergeCell ref="B9:B10"/>
    <mergeCell ref="C9:C10"/>
    <mergeCell ref="D9:D10"/>
    <mergeCell ref="E9:E10"/>
    <mergeCell ref="F9:F10"/>
    <mergeCell ref="G9:G10"/>
    <mergeCell ref="B3:B4"/>
    <mergeCell ref="C3:C4"/>
    <mergeCell ref="D3:D4"/>
    <mergeCell ref="E3:E4"/>
    <mergeCell ref="F3:F4"/>
    <mergeCell ref="G3:G4"/>
    <mergeCell ref="BC9:BI9"/>
    <mergeCell ref="BJ9:BP9"/>
    <mergeCell ref="BR9:BT10"/>
    <mergeCell ref="H9:H10"/>
    <mergeCell ref="I9:I10"/>
    <mergeCell ref="J9:L9"/>
    <mergeCell ref="M9:S9"/>
    <mergeCell ref="T9:Z9"/>
    <mergeCell ref="AA9:AG9"/>
    <mergeCell ref="B16:B20"/>
    <mergeCell ref="B11:B15"/>
    <mergeCell ref="AH9:AN9"/>
    <mergeCell ref="AO9:AU9"/>
    <mergeCell ref="AV9:BB9"/>
    <mergeCell ref="B26:B30"/>
    <mergeCell ref="C26:C30"/>
    <mergeCell ref="D26:D30"/>
    <mergeCell ref="E26:E30"/>
    <mergeCell ref="B21:B25"/>
    <mergeCell ref="B36:B40"/>
    <mergeCell ref="C36:C40"/>
    <mergeCell ref="D36:D40"/>
    <mergeCell ref="E36:E40"/>
    <mergeCell ref="B31:B35"/>
    <mergeCell ref="C31:C35"/>
    <mergeCell ref="D31:D35"/>
    <mergeCell ref="E31:E35"/>
    <mergeCell ref="D46:D50"/>
    <mergeCell ref="E46:E50"/>
    <mergeCell ref="F46:F50"/>
    <mergeCell ref="E54:E57"/>
    <mergeCell ref="B41:B45"/>
    <mergeCell ref="C41:C45"/>
    <mergeCell ref="D41:D45"/>
    <mergeCell ref="E41:E45"/>
  </mergeCells>
  <phoneticPr fontId="9" type="noConversion"/>
  <printOptions horizontalCentered="1"/>
  <pageMargins left="0" right="0" top="0.39370078740157483" bottom="0" header="0" footer="0"/>
  <pageSetup paperSize="8" scale="23"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6CDCE-A12B-41C1-82A3-11FDB819EEEB}">
  <sheetPr>
    <pageSetUpPr fitToPage="1"/>
  </sheetPr>
  <dimension ref="A1:CF63"/>
  <sheetViews>
    <sheetView showGridLines="0" zoomScale="85" zoomScaleNormal="85" zoomScaleSheetLayoutView="55" workbookViewId="0">
      <pane xSplit="14" ySplit="10" topLeftCell="O11" activePane="bottomRight" state="frozen"/>
      <selection pane="topRight" activeCell="I35" sqref="I35"/>
      <selection pane="bottomLeft" activeCell="I35" sqref="I35"/>
      <selection pane="bottomRight" activeCell="B46" sqref="B46:D50"/>
    </sheetView>
  </sheetViews>
  <sheetFormatPr defaultColWidth="10.28515625" defaultRowHeight="12.75" outlineLevelCol="1"/>
  <cols>
    <col min="1" max="1" width="1.85546875" style="53" customWidth="1"/>
    <col min="2" max="2" width="5.5703125" style="53" customWidth="1"/>
    <col min="3" max="3" width="22.28515625" style="53" bestFit="1" customWidth="1"/>
    <col min="4" max="4" width="19.85546875" style="53" customWidth="1"/>
    <col min="5" max="5" width="27.28515625" style="53" customWidth="1"/>
    <col min="6" max="6" width="10.140625" style="53" customWidth="1"/>
    <col min="7" max="7" width="14.140625" style="53" customWidth="1"/>
    <col min="8" max="8" width="18.85546875" style="53" customWidth="1"/>
    <col min="9" max="11" width="13.28515625" style="53" customWidth="1"/>
    <col min="12" max="12" width="7.5703125" style="53" customWidth="1"/>
    <col min="13" max="14" width="13.28515625" style="53" customWidth="1"/>
    <col min="15" max="16" width="11.5703125" style="53" customWidth="1"/>
    <col min="17" max="17" width="7.5703125" style="53" customWidth="1"/>
    <col min="18" max="20" width="13.28515625" style="53" customWidth="1"/>
    <col min="21" max="21" width="13.85546875" style="53" customWidth="1"/>
    <col min="22" max="23" width="11.5703125" style="53" customWidth="1"/>
    <col min="24" max="24" width="7.5703125" style="53" customWidth="1"/>
    <col min="25" max="27" width="13.28515625" style="53" customWidth="1"/>
    <col min="28" max="28" width="13.85546875" style="53" customWidth="1"/>
    <col min="29" max="30" width="11.5703125" style="53" customWidth="1"/>
    <col min="31" max="31" width="7.5703125" style="53" customWidth="1"/>
    <col min="32" max="34" width="13.28515625" style="53" customWidth="1"/>
    <col min="35" max="35" width="13.85546875" style="53" customWidth="1"/>
    <col min="36" max="37" width="11.5703125" style="53" customWidth="1" outlineLevel="1"/>
    <col min="38" max="38" width="7.5703125" style="53" customWidth="1" outlineLevel="1"/>
    <col min="39" max="41" width="13.28515625" style="53" customWidth="1" outlineLevel="1"/>
    <col min="42" max="42" width="13.85546875" style="53" customWidth="1" outlineLevel="1"/>
    <col min="43" max="44" width="11.5703125" style="53" customWidth="1"/>
    <col min="45" max="45" width="7.5703125" style="53" customWidth="1"/>
    <col min="46" max="48" width="13.28515625" style="53" customWidth="1"/>
    <col min="49" max="49" width="13.85546875" style="53" customWidth="1"/>
    <col min="50" max="51" width="11.5703125" style="53" customWidth="1"/>
    <col min="52" max="52" width="7.5703125" style="53" customWidth="1"/>
    <col min="53" max="55" width="13.28515625" style="53" customWidth="1"/>
    <col min="56" max="56" width="13.85546875" style="53" customWidth="1"/>
    <col min="57" max="58" width="11.5703125" style="53" customWidth="1"/>
    <col min="59" max="59" width="7.5703125" style="53" customWidth="1"/>
    <col min="60" max="62" width="13.28515625" style="53" customWidth="1"/>
    <col min="63" max="63" width="13.85546875" style="53" customWidth="1"/>
    <col min="64" max="65" width="11.5703125" style="53" customWidth="1"/>
    <col min="66" max="66" width="7.5703125" style="53" customWidth="1"/>
    <col min="67" max="69" width="13.28515625" style="53" customWidth="1"/>
    <col min="70" max="70" width="13.85546875" style="53" customWidth="1"/>
    <col min="71" max="71" width="1.85546875" style="53" customWidth="1"/>
    <col min="72" max="74" width="7" style="53" customWidth="1"/>
    <col min="75" max="16384" width="10.28515625" style="53"/>
  </cols>
  <sheetData>
    <row r="1" spans="1:84" s="52" customFormat="1">
      <c r="BS1" s="53"/>
    </row>
    <row r="2" spans="1:84" s="52" customFormat="1">
      <c r="BS2" s="53"/>
    </row>
    <row r="3" spans="1:84" s="52" customFormat="1">
      <c r="B3" s="1317" t="s">
        <v>358</v>
      </c>
      <c r="C3" s="1317" t="s">
        <v>359</v>
      </c>
      <c r="D3" s="1319" t="s">
        <v>360</v>
      </c>
      <c r="E3" s="1321" t="s">
        <v>361</v>
      </c>
      <c r="F3" s="1319" t="s">
        <v>362</v>
      </c>
      <c r="G3" s="1319" t="s">
        <v>363</v>
      </c>
      <c r="H3" s="1319" t="s">
        <v>364</v>
      </c>
      <c r="I3" s="1319" t="s">
        <v>365</v>
      </c>
      <c r="BS3" s="53"/>
    </row>
    <row r="4" spans="1:84" s="52" customFormat="1">
      <c r="B4" s="1318"/>
      <c r="C4" s="1318"/>
      <c r="D4" s="1320"/>
      <c r="E4" s="1315"/>
      <c r="F4" s="1320"/>
      <c r="G4" s="1320"/>
      <c r="H4" s="1320"/>
      <c r="I4" s="1320"/>
      <c r="BS4" s="53"/>
    </row>
    <row r="5" spans="1:84">
      <c r="B5" s="52"/>
      <c r="C5" s="52"/>
      <c r="D5" s="52"/>
      <c r="E5" s="52"/>
    </row>
    <row r="6" spans="1:84" s="52" customFormat="1" ht="17.25">
      <c r="B6" s="387" t="s">
        <v>1029</v>
      </c>
      <c r="BS6" s="53"/>
    </row>
    <row r="7" spans="1:84" s="52" customFormat="1">
      <c r="BS7" s="53"/>
    </row>
    <row r="8" spans="1:84">
      <c r="A8" s="54"/>
      <c r="B8" s="55"/>
      <c r="C8" s="55"/>
      <c r="D8" s="56"/>
      <c r="E8" s="56"/>
      <c r="F8" s="56"/>
      <c r="G8" s="56"/>
      <c r="H8" s="54"/>
      <c r="I8" s="57"/>
      <c r="J8" s="57"/>
      <c r="K8" s="57"/>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8"/>
      <c r="BT8" s="54"/>
      <c r="BU8" s="54"/>
      <c r="BV8" s="54"/>
      <c r="BW8" s="54"/>
      <c r="BX8" s="54"/>
      <c r="BY8" s="54"/>
      <c r="BZ8" s="54"/>
      <c r="CA8" s="54"/>
      <c r="CB8" s="54"/>
      <c r="CC8" s="54"/>
      <c r="CD8" s="54"/>
      <c r="CE8" s="54"/>
      <c r="CF8" s="54"/>
    </row>
    <row r="9" spans="1:84" ht="28.15" customHeight="1">
      <c r="A9" s="54"/>
      <c r="B9" s="1317" t="s">
        <v>358</v>
      </c>
      <c r="C9" s="1317" t="s">
        <v>1033</v>
      </c>
      <c r="D9" s="1317" t="s">
        <v>359</v>
      </c>
      <c r="E9" s="1317" t="s">
        <v>1034</v>
      </c>
      <c r="F9" s="1319" t="s">
        <v>360</v>
      </c>
      <c r="G9" s="1321" t="s">
        <v>361</v>
      </c>
      <c r="H9" s="1319" t="s">
        <v>362</v>
      </c>
      <c r="I9" s="1319" t="s">
        <v>363</v>
      </c>
      <c r="J9" s="1319" t="s">
        <v>364</v>
      </c>
      <c r="K9" s="1319" t="s">
        <v>365</v>
      </c>
      <c r="L9" s="1313" t="s">
        <v>366</v>
      </c>
      <c r="M9" s="1313"/>
      <c r="N9" s="1313"/>
      <c r="O9" s="1313" t="s">
        <v>368</v>
      </c>
      <c r="P9" s="1313"/>
      <c r="Q9" s="1313"/>
      <c r="R9" s="1313"/>
      <c r="S9" s="1313"/>
      <c r="T9" s="1313"/>
      <c r="U9" s="1313"/>
      <c r="V9" s="1313" t="s">
        <v>369</v>
      </c>
      <c r="W9" s="1313"/>
      <c r="X9" s="1313"/>
      <c r="Y9" s="1313"/>
      <c r="Z9" s="1313"/>
      <c r="AA9" s="1313"/>
      <c r="AB9" s="1313"/>
      <c r="AC9" s="1313" t="s">
        <v>885</v>
      </c>
      <c r="AD9" s="1313"/>
      <c r="AE9" s="1313"/>
      <c r="AF9" s="1313"/>
      <c r="AG9" s="1313"/>
      <c r="AH9" s="1313"/>
      <c r="AI9" s="1313"/>
      <c r="AJ9" s="1313" t="s">
        <v>371</v>
      </c>
      <c r="AK9" s="1313"/>
      <c r="AL9" s="1313"/>
      <c r="AM9" s="1313"/>
      <c r="AN9" s="1313"/>
      <c r="AO9" s="1313"/>
      <c r="AP9" s="1313"/>
      <c r="AQ9" s="1313" t="s">
        <v>372</v>
      </c>
      <c r="AR9" s="1313"/>
      <c r="AS9" s="1313"/>
      <c r="AT9" s="1313"/>
      <c r="AU9" s="1313"/>
      <c r="AV9" s="1313"/>
      <c r="AW9" s="1313"/>
      <c r="AX9" s="1313" t="s">
        <v>373</v>
      </c>
      <c r="AY9" s="1313"/>
      <c r="AZ9" s="1313"/>
      <c r="BA9" s="1313"/>
      <c r="BB9" s="1313"/>
      <c r="BC9" s="1313"/>
      <c r="BD9" s="1313"/>
      <c r="BE9" s="1313" t="s">
        <v>886</v>
      </c>
      <c r="BF9" s="1313"/>
      <c r="BG9" s="1313"/>
      <c r="BH9" s="1313"/>
      <c r="BI9" s="1313"/>
      <c r="BJ9" s="1313"/>
      <c r="BK9" s="1313"/>
      <c r="BL9" s="1313" t="s">
        <v>375</v>
      </c>
      <c r="BM9" s="1313"/>
      <c r="BN9" s="1313"/>
      <c r="BO9" s="1313"/>
      <c r="BP9" s="1313"/>
      <c r="BQ9" s="1313"/>
      <c r="BR9" s="1313"/>
      <c r="BS9" s="60"/>
      <c r="BT9" s="1313" t="s">
        <v>376</v>
      </c>
      <c r="BU9" s="1313"/>
      <c r="BV9" s="1313"/>
      <c r="BW9" s="54"/>
      <c r="BX9" s="54"/>
      <c r="BY9" s="54"/>
      <c r="BZ9" s="54"/>
      <c r="CA9" s="54"/>
      <c r="CB9" s="54"/>
      <c r="CC9" s="54"/>
      <c r="CD9" s="54"/>
      <c r="CE9" s="58"/>
      <c r="CF9" s="58"/>
    </row>
    <row r="10" spans="1:84" ht="28.15" customHeight="1">
      <c r="A10" s="54"/>
      <c r="B10" s="1318"/>
      <c r="C10" s="1318"/>
      <c r="D10" s="1318"/>
      <c r="E10" s="1318"/>
      <c r="F10" s="1320"/>
      <c r="G10" s="1315"/>
      <c r="H10" s="1320"/>
      <c r="I10" s="1320"/>
      <c r="J10" s="1320"/>
      <c r="K10" s="1320"/>
      <c r="L10" s="59" t="s">
        <v>377</v>
      </c>
      <c r="M10" s="59" t="s">
        <v>378</v>
      </c>
      <c r="N10" s="59" t="s">
        <v>379</v>
      </c>
      <c r="O10" s="59" t="s">
        <v>380</v>
      </c>
      <c r="P10" s="59" t="s">
        <v>381</v>
      </c>
      <c r="Q10" s="59" t="s">
        <v>377</v>
      </c>
      <c r="R10" s="59" t="s">
        <v>382</v>
      </c>
      <c r="S10" s="59" t="s">
        <v>383</v>
      </c>
      <c r="T10" s="59" t="s">
        <v>384</v>
      </c>
      <c r="U10" s="59" t="s">
        <v>385</v>
      </c>
      <c r="V10" s="59" t="s">
        <v>380</v>
      </c>
      <c r="W10" s="59" t="s">
        <v>381</v>
      </c>
      <c r="X10" s="59" t="s">
        <v>377</v>
      </c>
      <c r="Y10" s="59" t="s">
        <v>382</v>
      </c>
      <c r="Z10" s="59" t="s">
        <v>383</v>
      </c>
      <c r="AA10" s="59" t="s">
        <v>384</v>
      </c>
      <c r="AB10" s="59" t="s">
        <v>385</v>
      </c>
      <c r="AC10" s="59" t="s">
        <v>380</v>
      </c>
      <c r="AD10" s="59" t="s">
        <v>381</v>
      </c>
      <c r="AE10" s="59" t="s">
        <v>377</v>
      </c>
      <c r="AF10" s="59" t="s">
        <v>382</v>
      </c>
      <c r="AG10" s="59" t="s">
        <v>383</v>
      </c>
      <c r="AH10" s="59" t="s">
        <v>384</v>
      </c>
      <c r="AI10" s="59" t="s">
        <v>385</v>
      </c>
      <c r="AJ10" s="59" t="s">
        <v>380</v>
      </c>
      <c r="AK10" s="59" t="s">
        <v>381</v>
      </c>
      <c r="AL10" s="59" t="s">
        <v>377</v>
      </c>
      <c r="AM10" s="59" t="s">
        <v>382</v>
      </c>
      <c r="AN10" s="59" t="s">
        <v>383</v>
      </c>
      <c r="AO10" s="59" t="s">
        <v>384</v>
      </c>
      <c r="AP10" s="59" t="s">
        <v>385</v>
      </c>
      <c r="AQ10" s="59" t="s">
        <v>380</v>
      </c>
      <c r="AR10" s="59" t="s">
        <v>381</v>
      </c>
      <c r="AS10" s="59" t="s">
        <v>377</v>
      </c>
      <c r="AT10" s="59" t="s">
        <v>382</v>
      </c>
      <c r="AU10" s="59" t="s">
        <v>383</v>
      </c>
      <c r="AV10" s="59" t="s">
        <v>384</v>
      </c>
      <c r="AW10" s="59" t="s">
        <v>385</v>
      </c>
      <c r="AX10" s="59" t="s">
        <v>380</v>
      </c>
      <c r="AY10" s="59" t="s">
        <v>381</v>
      </c>
      <c r="AZ10" s="59" t="s">
        <v>377</v>
      </c>
      <c r="BA10" s="59" t="s">
        <v>382</v>
      </c>
      <c r="BB10" s="59" t="s">
        <v>383</v>
      </c>
      <c r="BC10" s="59" t="s">
        <v>384</v>
      </c>
      <c r="BD10" s="59" t="s">
        <v>385</v>
      </c>
      <c r="BE10" s="59" t="s">
        <v>380</v>
      </c>
      <c r="BF10" s="59" t="s">
        <v>381</v>
      </c>
      <c r="BG10" s="59" t="s">
        <v>377</v>
      </c>
      <c r="BH10" s="59" t="s">
        <v>382</v>
      </c>
      <c r="BI10" s="59" t="s">
        <v>383</v>
      </c>
      <c r="BJ10" s="59" t="s">
        <v>384</v>
      </c>
      <c r="BK10" s="59" t="s">
        <v>385</v>
      </c>
      <c r="BL10" s="59" t="s">
        <v>380</v>
      </c>
      <c r="BM10" s="59" t="s">
        <v>381</v>
      </c>
      <c r="BN10" s="59" t="s">
        <v>377</v>
      </c>
      <c r="BO10" s="59" t="s">
        <v>382</v>
      </c>
      <c r="BP10" s="59" t="s">
        <v>383</v>
      </c>
      <c r="BQ10" s="59" t="s">
        <v>384</v>
      </c>
      <c r="BR10" s="59" t="s">
        <v>385</v>
      </c>
      <c r="BS10" s="61"/>
      <c r="BT10" s="1313"/>
      <c r="BU10" s="1313"/>
      <c r="BV10" s="1313"/>
      <c r="BW10" s="54"/>
      <c r="BX10" s="54"/>
      <c r="BY10" s="54"/>
      <c r="BZ10" s="54"/>
      <c r="CA10" s="54"/>
      <c r="CB10" s="54"/>
      <c r="CC10" s="54"/>
      <c r="CD10" s="54"/>
      <c r="CE10" s="58"/>
      <c r="CF10" s="58"/>
    </row>
    <row r="11" spans="1:84" ht="16.5" customHeight="1">
      <c r="A11" s="107"/>
      <c r="B11" s="1322">
        <v>1</v>
      </c>
      <c r="C11" s="1579" t="s">
        <v>158</v>
      </c>
      <c r="D11" s="1579" t="s">
        <v>921</v>
      </c>
      <c r="E11" s="1586" t="s">
        <v>1035</v>
      </c>
      <c r="F11" s="1329">
        <f>+'[5]ref.지급기준 (2)'!D169</f>
        <v>144.15</v>
      </c>
      <c r="G11" s="1324" t="s">
        <v>888</v>
      </c>
      <c r="H11" s="63" t="s">
        <v>388</v>
      </c>
      <c r="I11" s="64">
        <f>+[5]지급비율!$F$20*F11/1000</f>
        <v>151357500</v>
      </c>
      <c r="J11" s="64">
        <f>+I11*10%</f>
        <v>15135750</v>
      </c>
      <c r="K11" s="64">
        <f t="shared" ref="K11:K18" si="0">SUM(I11:J11)</f>
        <v>166493250</v>
      </c>
      <c r="L11" s="63">
        <f t="shared" ref="L11:L48" si="1">+IFERROR(M11/K11,"-")</f>
        <v>0</v>
      </c>
      <c r="M11" s="134">
        <f>+IFERROR(S11+Z11+AG11+AN11+BB11+BI11,"-")</f>
        <v>0</v>
      </c>
      <c r="N11" s="134">
        <f>+K11-M11</f>
        <v>166493250</v>
      </c>
      <c r="O11" s="67"/>
      <c r="P11" s="67"/>
      <c r="Q11" s="135"/>
      <c r="R11" s="134">
        <f>+$K11*지급비율!G20</f>
        <v>0</v>
      </c>
      <c r="S11" s="134"/>
      <c r="T11" s="134">
        <f>+R11-S11</f>
        <v>0</v>
      </c>
      <c r="U11" s="145"/>
      <c r="V11" s="67"/>
      <c r="W11" s="67"/>
      <c r="X11" s="135"/>
      <c r="Y11" s="134">
        <f>+$K11*지급비율!N20</f>
        <v>0</v>
      </c>
      <c r="Z11" s="134"/>
      <c r="AA11" s="134">
        <f>+Y11-Z11</f>
        <v>0</v>
      </c>
      <c r="AB11" s="145"/>
      <c r="AC11" s="67">
        <f>+EDATE(AJ11,-1)+1</f>
        <v>45869</v>
      </c>
      <c r="AD11" s="67"/>
      <c r="AE11" s="135">
        <f>+IFERROR(AF11/$K11,"-")</f>
        <v>0.5</v>
      </c>
      <c r="AF11" s="134">
        <f>+$K11*지급비율!U20</f>
        <v>83246625</v>
      </c>
      <c r="AG11" s="134">
        <v>0</v>
      </c>
      <c r="AH11" s="134">
        <f>+AF11-AG11</f>
        <v>83246625</v>
      </c>
      <c r="AI11" s="145"/>
      <c r="AJ11" s="67">
        <f>+EDATE(AQ11,-1)</f>
        <v>45899</v>
      </c>
      <c r="AK11" s="67"/>
      <c r="AL11" s="135">
        <f t="shared" ref="AL11:AL50" si="2">+IFERROR(AM11/$K11,"-")</f>
        <v>0</v>
      </c>
      <c r="AM11" s="134">
        <f>+$K11*지급비율!AB20</f>
        <v>0</v>
      </c>
      <c r="AN11" s="134">
        <v>0</v>
      </c>
      <c r="AO11" s="134">
        <f>+AM11-AN11</f>
        <v>0</v>
      </c>
      <c r="AP11" s="145"/>
      <c r="AQ11" s="67">
        <v>45930</v>
      </c>
      <c r="AR11" s="67"/>
      <c r="AS11" s="135">
        <f>+IFERROR(AT11/$K11,"-")</f>
        <v>0</v>
      </c>
      <c r="AT11" s="134">
        <f>+$K11*지급비율!AI20</f>
        <v>0</v>
      </c>
      <c r="AU11" s="134">
        <v>0</v>
      </c>
      <c r="AV11" s="134">
        <f>+AT11-AU11</f>
        <v>0</v>
      </c>
      <c r="AW11" s="145"/>
      <c r="AX11" s="67">
        <v>45961</v>
      </c>
      <c r="AY11" s="67"/>
      <c r="AZ11" s="135">
        <f>+IFERROR(BA11/$K11,"-")</f>
        <v>0</v>
      </c>
      <c r="BA11" s="134">
        <f>+$K11*지급비율!AP20</f>
        <v>0</v>
      </c>
      <c r="BB11" s="134">
        <v>0</v>
      </c>
      <c r="BC11" s="134">
        <f>+BA11-BB11</f>
        <v>0</v>
      </c>
      <c r="BD11" s="145"/>
      <c r="BE11" s="67">
        <v>46022</v>
      </c>
      <c r="BF11" s="67"/>
      <c r="BG11" s="135">
        <f>+IFERROR(BH11/$K11,"-")</f>
        <v>0.4</v>
      </c>
      <c r="BH11" s="134">
        <f>+$K11*지급비율!AW20</f>
        <v>66597300</v>
      </c>
      <c r="BI11" s="134">
        <v>0</v>
      </c>
      <c r="BJ11" s="134">
        <f>+BH11-BI11</f>
        <v>66597300</v>
      </c>
      <c r="BK11" s="145"/>
      <c r="BL11" s="67">
        <v>46112</v>
      </c>
      <c r="BM11" s="67"/>
      <c r="BN11" s="135">
        <f>+IFERROR(BO11/$K11,"-")</f>
        <v>0.1</v>
      </c>
      <c r="BO11" s="134">
        <f>+$K11*지급비율!BD20</f>
        <v>16649325</v>
      </c>
      <c r="BP11" s="134">
        <v>0</v>
      </c>
      <c r="BQ11" s="134">
        <f>+BO11-BP11</f>
        <v>16649325</v>
      </c>
      <c r="BR11" s="145"/>
      <c r="BS11" s="73"/>
      <c r="BT11" s="74" t="b">
        <f>+R11+Y11+AF11+AT11+BA11+BH11+BO11=K11</f>
        <v>1</v>
      </c>
      <c r="BU11" s="74" t="b">
        <f>+S11+Z11+AG11+AU11+BB11+BI11+BP11=M11</f>
        <v>1</v>
      </c>
      <c r="BV11" s="74"/>
      <c r="BW11" s="58"/>
      <c r="BX11" s="58"/>
      <c r="BY11" s="58"/>
      <c r="BZ11" s="58"/>
      <c r="CA11" s="58"/>
      <c r="CB11" s="58"/>
      <c r="CC11" s="58"/>
      <c r="CD11" s="58"/>
      <c r="CE11" s="58"/>
      <c r="CF11" s="58"/>
    </row>
    <row r="12" spans="1:84" ht="16.5" customHeight="1">
      <c r="A12" s="107"/>
      <c r="B12" s="1322"/>
      <c r="C12" s="1579"/>
      <c r="D12" s="1579"/>
      <c r="E12" s="1586"/>
      <c r="F12" s="1329"/>
      <c r="G12" s="1324"/>
      <c r="H12" s="75" t="s">
        <v>389</v>
      </c>
      <c r="I12" s="76">
        <f>+[5]지급비율!$F$21*F11/1000</f>
        <v>43245000</v>
      </c>
      <c r="J12" s="76">
        <f>+I12*10%</f>
        <v>4324500</v>
      </c>
      <c r="K12" s="76">
        <f t="shared" si="0"/>
        <v>47569500</v>
      </c>
      <c r="L12" s="75">
        <f t="shared" si="1"/>
        <v>0.2</v>
      </c>
      <c r="M12" s="80">
        <f>+IFERROR(S12+Z12+AG12+AN12+BB12+BI12,"-")</f>
        <v>9513900</v>
      </c>
      <c r="N12" s="80">
        <f t="shared" ref="N12:N14" si="3">+K12-M12</f>
        <v>38055600</v>
      </c>
      <c r="O12" s="78">
        <f>+P12</f>
        <v>45631</v>
      </c>
      <c r="P12" s="78">
        <v>45631</v>
      </c>
      <c r="Q12" s="79">
        <f>+IFERROR(R12/$K12,"-")</f>
        <v>0.2</v>
      </c>
      <c r="R12" s="80">
        <f>+$K12*지급비율!G21</f>
        <v>9513900</v>
      </c>
      <c r="S12" s="80">
        <v>9513900</v>
      </c>
      <c r="T12" s="80">
        <f t="shared" ref="T12:T15" si="4">+R12-S12</f>
        <v>0</v>
      </c>
      <c r="U12" s="81"/>
      <c r="V12" s="78">
        <v>45838</v>
      </c>
      <c r="W12" s="78"/>
      <c r="X12" s="79">
        <f>+IFERROR(Y12/$K12,"-")</f>
        <v>0.2</v>
      </c>
      <c r="Y12" s="80">
        <f>+$K12*지급비율!N21</f>
        <v>9513900</v>
      </c>
      <c r="Z12" s="80">
        <v>0</v>
      </c>
      <c r="AA12" s="80">
        <f t="shared" ref="AA12:AA15" si="5">+Y12-Z12</f>
        <v>9513900</v>
      </c>
      <c r="AB12" s="81"/>
      <c r="AC12" s="78">
        <v>45869</v>
      </c>
      <c r="AD12" s="78"/>
      <c r="AE12" s="79">
        <f>+IFERROR(AF12/$K12,"-")</f>
        <v>0.5</v>
      </c>
      <c r="AF12" s="80">
        <f>+$K12*지급비율!U21</f>
        <v>23784750</v>
      </c>
      <c r="AG12" s="80">
        <v>0</v>
      </c>
      <c r="AH12" s="80">
        <f t="shared" ref="AH12:AH15" si="6">+AF12-AG12</f>
        <v>23784750</v>
      </c>
      <c r="AI12" s="81"/>
      <c r="AJ12" s="78"/>
      <c r="AK12" s="78"/>
      <c r="AL12" s="79">
        <f t="shared" si="2"/>
        <v>0</v>
      </c>
      <c r="AM12" s="80">
        <f>+$K12*지급비율!AB21</f>
        <v>0</v>
      </c>
      <c r="AN12" s="80">
        <v>0</v>
      </c>
      <c r="AO12" s="80">
        <f t="shared" ref="AO12:AO15" si="7">+AM12-AN12</f>
        <v>0</v>
      </c>
      <c r="AP12" s="81"/>
      <c r="AQ12" s="78"/>
      <c r="AR12" s="78"/>
      <c r="AS12" s="79"/>
      <c r="AT12" s="80">
        <f>+$K12*지급비율!AI21</f>
        <v>0</v>
      </c>
      <c r="AU12" s="80"/>
      <c r="AV12" s="80"/>
      <c r="AW12" s="81"/>
      <c r="AX12" s="78"/>
      <c r="AY12" s="78"/>
      <c r="AZ12" s="79"/>
      <c r="BA12" s="80">
        <f>+$K12*지급비율!AP21</f>
        <v>0</v>
      </c>
      <c r="BB12" s="80"/>
      <c r="BC12" s="80">
        <f t="shared" ref="BC12:BC15" si="8">+BA12-BB12</f>
        <v>0</v>
      </c>
      <c r="BD12" s="81"/>
      <c r="BE12" s="78"/>
      <c r="BF12" s="78"/>
      <c r="BG12" s="79"/>
      <c r="BH12" s="80">
        <f>+$K12*지급비율!AW21</f>
        <v>0</v>
      </c>
      <c r="BI12" s="80"/>
      <c r="BJ12" s="80">
        <f t="shared" ref="BJ12:BJ15" si="9">+BH12-BI12</f>
        <v>0</v>
      </c>
      <c r="BK12" s="81"/>
      <c r="BL12" s="78">
        <v>46112</v>
      </c>
      <c r="BM12" s="78"/>
      <c r="BN12" s="79">
        <f t="shared" ref="BN12:BN15" si="10">+IFERROR(BO12/$K12,"-")</f>
        <v>0.1</v>
      </c>
      <c r="BO12" s="80">
        <f>+$K12*지급비율!BD21</f>
        <v>4756950</v>
      </c>
      <c r="BP12" s="80">
        <v>0</v>
      </c>
      <c r="BQ12" s="80">
        <f t="shared" ref="BQ12:BQ15" si="11">+BO12-BP12</f>
        <v>4756950</v>
      </c>
      <c r="BR12" s="81"/>
      <c r="BS12" s="73"/>
      <c r="BT12" s="74" t="b">
        <f t="shared" ref="BT12:BT14" si="12">+R12+Y12+AF12+AT12+BA12+BH12+BO12=K12</f>
        <v>1</v>
      </c>
      <c r="BU12" s="74" t="b">
        <f t="shared" ref="BU12:BU14" si="13">+S12+Z12+AG12+AU12+BB12+BI12+BP12=M12</f>
        <v>1</v>
      </c>
      <c r="BV12" s="74" t="b">
        <f>+BH12+BH13+BA12+BA13+AT12+AT13+AF12+AF13+Y12+Y13+R12+R13+BO12+BO13=([5]지급비율!$F$21+[5]지급비율!$F$22)*1.1*F11/1000</f>
        <v>1</v>
      </c>
      <c r="BW12" s="58"/>
      <c r="BX12" s="58"/>
      <c r="BY12" s="58"/>
      <c r="BZ12" s="58"/>
      <c r="CA12" s="58"/>
      <c r="CB12" s="58"/>
      <c r="CC12" s="58"/>
      <c r="CD12" s="58"/>
      <c r="CE12" s="58"/>
      <c r="CF12" s="58"/>
    </row>
    <row r="13" spans="1:84" ht="16.5" customHeight="1">
      <c r="A13" s="107"/>
      <c r="B13" s="1322"/>
      <c r="C13" s="1579"/>
      <c r="D13" s="1579"/>
      <c r="E13" s="1586"/>
      <c r="F13" s="1329"/>
      <c r="G13" s="1324"/>
      <c r="H13" s="75" t="s">
        <v>390</v>
      </c>
      <c r="I13" s="76">
        <f>+[5]지급비율!$F$22*F11/1000</f>
        <v>28830000</v>
      </c>
      <c r="J13" s="76">
        <f t="shared" ref="J13" si="14">+I13*10%</f>
        <v>2883000</v>
      </c>
      <c r="K13" s="76">
        <f t="shared" si="0"/>
        <v>31713000</v>
      </c>
      <c r="L13" s="75">
        <f t="shared" si="1"/>
        <v>0.2</v>
      </c>
      <c r="M13" s="80">
        <f>+IFERROR(S13+Z13+AG13+AN13+BB13+BI13,"-")</f>
        <v>6342600</v>
      </c>
      <c r="N13" s="80">
        <f t="shared" si="3"/>
        <v>25370400</v>
      </c>
      <c r="O13" s="78">
        <f>+P13</f>
        <v>45631</v>
      </c>
      <c r="P13" s="72">
        <v>45631</v>
      </c>
      <c r="Q13" s="79">
        <f>+IFERROR(R13/$K13,"-")</f>
        <v>0.2</v>
      </c>
      <c r="R13" s="80">
        <f>+$K13*지급비율!G22</f>
        <v>6342600</v>
      </c>
      <c r="S13" s="80">
        <v>6342600</v>
      </c>
      <c r="T13" s="80">
        <f t="shared" si="4"/>
        <v>0</v>
      </c>
      <c r="U13" s="81"/>
      <c r="V13" s="78">
        <v>45838</v>
      </c>
      <c r="W13" s="78"/>
      <c r="X13" s="79">
        <f>+IFERROR(Y13/$K13,"-")</f>
        <v>0.2</v>
      </c>
      <c r="Y13" s="80">
        <f>+$K13*지급비율!N22</f>
        <v>6342600</v>
      </c>
      <c r="Z13" s="80">
        <v>0</v>
      </c>
      <c r="AA13" s="80">
        <f t="shared" si="5"/>
        <v>6342600</v>
      </c>
      <c r="AB13" s="81"/>
      <c r="AC13" s="78">
        <v>45869</v>
      </c>
      <c r="AD13" s="72"/>
      <c r="AE13" s="79">
        <f>+IFERROR(AF13/$K13,"-")</f>
        <v>0.5</v>
      </c>
      <c r="AF13" s="80">
        <f>+$K13*지급비율!U22</f>
        <v>15856500</v>
      </c>
      <c r="AG13" s="80">
        <v>0</v>
      </c>
      <c r="AH13" s="80">
        <f t="shared" si="6"/>
        <v>15856500</v>
      </c>
      <c r="AI13" s="81"/>
      <c r="AJ13" s="72"/>
      <c r="AK13" s="72"/>
      <c r="AL13" s="79">
        <f t="shared" si="2"/>
        <v>0</v>
      </c>
      <c r="AM13" s="80">
        <f>+$K13*지급비율!AB22</f>
        <v>0</v>
      </c>
      <c r="AN13" s="80">
        <v>0</v>
      </c>
      <c r="AO13" s="80">
        <f t="shared" si="7"/>
        <v>0</v>
      </c>
      <c r="AP13" s="81"/>
      <c r="AQ13" s="72"/>
      <c r="AR13" s="72"/>
      <c r="AS13" s="79"/>
      <c r="AT13" s="80">
        <f>+$K13*지급비율!AI22</f>
        <v>0</v>
      </c>
      <c r="AU13" s="80"/>
      <c r="AV13" s="80"/>
      <c r="AW13" s="81"/>
      <c r="AX13" s="72"/>
      <c r="AY13" s="72"/>
      <c r="AZ13" s="79"/>
      <c r="BA13" s="80">
        <f>+$K13*지급비율!AP22</f>
        <v>0</v>
      </c>
      <c r="BB13" s="80"/>
      <c r="BC13" s="80">
        <f t="shared" si="8"/>
        <v>0</v>
      </c>
      <c r="BD13" s="81"/>
      <c r="BE13" s="72"/>
      <c r="BF13" s="72"/>
      <c r="BG13" s="79"/>
      <c r="BH13" s="80">
        <f>+$K13*지급비율!AW22</f>
        <v>0</v>
      </c>
      <c r="BI13" s="80"/>
      <c r="BJ13" s="80">
        <f t="shared" si="9"/>
        <v>0</v>
      </c>
      <c r="BK13" s="81"/>
      <c r="BL13" s="78">
        <v>46112</v>
      </c>
      <c r="BM13" s="72"/>
      <c r="BN13" s="79">
        <f t="shared" si="10"/>
        <v>0.1</v>
      </c>
      <c r="BO13" s="80">
        <f>+$K13*지급비율!BD22</f>
        <v>3171300</v>
      </c>
      <c r="BP13" s="80">
        <v>0</v>
      </c>
      <c r="BQ13" s="80">
        <f t="shared" si="11"/>
        <v>3171300</v>
      </c>
      <c r="BR13" s="81"/>
      <c r="BS13" s="73"/>
      <c r="BT13" s="74" t="b">
        <f t="shared" si="12"/>
        <v>1</v>
      </c>
      <c r="BU13" s="74" t="b">
        <f t="shared" si="13"/>
        <v>1</v>
      </c>
      <c r="BV13" s="74"/>
      <c r="BW13" s="58"/>
      <c r="BX13" s="58"/>
      <c r="BY13" s="58"/>
      <c r="BZ13" s="58"/>
      <c r="CA13" s="58"/>
      <c r="CB13" s="58"/>
      <c r="CC13" s="58"/>
      <c r="CD13" s="58"/>
      <c r="CE13" s="58"/>
      <c r="CF13" s="58"/>
    </row>
    <row r="14" spans="1:84" ht="16.5" customHeight="1">
      <c r="A14" s="107"/>
      <c r="B14" s="1322"/>
      <c r="C14" s="1579"/>
      <c r="D14" s="1579"/>
      <c r="E14" s="1586"/>
      <c r="F14" s="1329"/>
      <c r="G14" s="1324"/>
      <c r="H14" s="101" t="s">
        <v>391</v>
      </c>
      <c r="I14" s="102">
        <f>+[5]지급비율!$F$23*F11/1000</f>
        <v>28830000</v>
      </c>
      <c r="J14" s="102">
        <f>+I14*0.1</f>
        <v>2883000</v>
      </c>
      <c r="K14" s="102">
        <f>SUM(I14:J14)</f>
        <v>31713000</v>
      </c>
      <c r="L14" s="101">
        <f t="shared" si="1"/>
        <v>0</v>
      </c>
      <c r="M14" s="106">
        <f>+IFERROR(S14+Z14+AG14+AN14+BB14+BI14,"-")</f>
        <v>0</v>
      </c>
      <c r="N14" s="106">
        <f t="shared" si="3"/>
        <v>31713000</v>
      </c>
      <c r="O14" s="85"/>
      <c r="P14" s="101"/>
      <c r="Q14" s="105"/>
      <c r="R14" s="106">
        <f>+$K14*지급비율!G23</f>
        <v>0</v>
      </c>
      <c r="S14" s="106"/>
      <c r="T14" s="106">
        <f t="shared" si="4"/>
        <v>0</v>
      </c>
      <c r="U14" s="101"/>
      <c r="V14" s="85"/>
      <c r="W14" s="101"/>
      <c r="X14" s="105"/>
      <c r="Y14" s="106">
        <f>+$K14*지급비율!N23</f>
        <v>0</v>
      </c>
      <c r="Z14" s="106"/>
      <c r="AA14" s="106">
        <f t="shared" si="5"/>
        <v>0</v>
      </c>
      <c r="AB14" s="101"/>
      <c r="AC14" s="85"/>
      <c r="AD14" s="101"/>
      <c r="AE14" s="105"/>
      <c r="AF14" s="106">
        <f>+$K14*지급비율!U23</f>
        <v>0</v>
      </c>
      <c r="AG14" s="106"/>
      <c r="AH14" s="106">
        <f t="shared" si="6"/>
        <v>0</v>
      </c>
      <c r="AI14" s="101"/>
      <c r="AJ14" s="85"/>
      <c r="AK14" s="101"/>
      <c r="AL14" s="105">
        <f t="shared" si="2"/>
        <v>0</v>
      </c>
      <c r="AM14" s="106">
        <f>+$K14*지급비율!AB23</f>
        <v>0</v>
      </c>
      <c r="AN14" s="106">
        <v>0</v>
      </c>
      <c r="AO14" s="106">
        <f t="shared" si="7"/>
        <v>0</v>
      </c>
      <c r="AP14" s="101"/>
      <c r="AQ14" s="85"/>
      <c r="AR14" s="101"/>
      <c r="AS14" s="105"/>
      <c r="AT14" s="106">
        <f>+$K14*지급비율!AI23</f>
        <v>0</v>
      </c>
      <c r="AU14" s="106"/>
      <c r="AV14" s="106"/>
      <c r="AW14" s="101"/>
      <c r="AX14" s="85"/>
      <c r="AY14" s="101"/>
      <c r="AZ14" s="105"/>
      <c r="BA14" s="106">
        <f>+$K14*지급비율!AP23</f>
        <v>0</v>
      </c>
      <c r="BB14" s="106"/>
      <c r="BC14" s="106">
        <f t="shared" si="8"/>
        <v>0</v>
      </c>
      <c r="BD14" s="101"/>
      <c r="BE14" s="85"/>
      <c r="BF14" s="101"/>
      <c r="BG14" s="105"/>
      <c r="BH14" s="106">
        <f>+$K14*지급비율!AW23</f>
        <v>0</v>
      </c>
      <c r="BI14" s="106"/>
      <c r="BJ14" s="106">
        <f t="shared" si="9"/>
        <v>0</v>
      </c>
      <c r="BK14" s="101"/>
      <c r="BL14" s="78">
        <v>46112</v>
      </c>
      <c r="BM14" s="101"/>
      <c r="BN14" s="105">
        <f t="shared" si="10"/>
        <v>1</v>
      </c>
      <c r="BO14" s="106">
        <f>+$K14*지급비율!BD23</f>
        <v>31713000</v>
      </c>
      <c r="BP14" s="106">
        <v>0</v>
      </c>
      <c r="BQ14" s="106">
        <f t="shared" si="11"/>
        <v>31713000</v>
      </c>
      <c r="BR14" s="101"/>
      <c r="BS14" s="88"/>
      <c r="BT14" s="89" t="b">
        <f t="shared" si="12"/>
        <v>1</v>
      </c>
      <c r="BU14" s="90" t="b">
        <f t="shared" si="13"/>
        <v>1</v>
      </c>
      <c r="BV14" s="89"/>
      <c r="BW14" s="58"/>
      <c r="BX14" s="58"/>
      <c r="BY14" s="58"/>
      <c r="BZ14" s="58"/>
      <c r="CA14" s="58"/>
      <c r="CB14" s="58"/>
      <c r="CC14" s="58"/>
      <c r="CD14" s="58"/>
      <c r="CE14" s="58"/>
      <c r="CF14" s="58"/>
    </row>
    <row r="15" spans="1:84" ht="16.5" customHeight="1">
      <c r="A15" s="62"/>
      <c r="B15" s="1322"/>
      <c r="C15" s="1579"/>
      <c r="D15" s="1579"/>
      <c r="E15" s="1586"/>
      <c r="F15" s="1329"/>
      <c r="G15" s="1324"/>
      <c r="H15" s="91" t="s">
        <v>392</v>
      </c>
      <c r="I15" s="92">
        <f>SUM(I11:I14)</f>
        <v>252262500</v>
      </c>
      <c r="J15" s="92">
        <f>SUM(J11:J14)</f>
        <v>25226250</v>
      </c>
      <c r="K15" s="92">
        <f>SUM(K11:K14)</f>
        <v>277488750</v>
      </c>
      <c r="L15" s="91">
        <f t="shared" si="1"/>
        <v>5.7142857142857141E-2</v>
      </c>
      <c r="M15" s="92">
        <f>SUM(M11:M14)</f>
        <v>15856500</v>
      </c>
      <c r="N15" s="92">
        <f>SUM(N11:N14)</f>
        <v>261632250</v>
      </c>
      <c r="O15" s="93"/>
      <c r="P15" s="91"/>
      <c r="Q15" s="94">
        <f t="shared" ref="Q15" si="15">+IFERROR(R15/$K15,"-")</f>
        <v>5.7142857142857141E-2</v>
      </c>
      <c r="R15" s="92">
        <f>SUM(R11:R14)</f>
        <v>15856500</v>
      </c>
      <c r="S15" s="170">
        <f>SUM(S11:S14)</f>
        <v>15856500</v>
      </c>
      <c r="T15" s="92">
        <f t="shared" si="4"/>
        <v>0</v>
      </c>
      <c r="U15" s="91"/>
      <c r="V15" s="93"/>
      <c r="W15" s="91"/>
      <c r="X15" s="94">
        <f t="shared" ref="X15" si="16">+IFERROR(Y15/$K15,"-")</f>
        <v>5.7142857142857141E-2</v>
      </c>
      <c r="Y15" s="92">
        <f>SUM(Y11:Y14)</f>
        <v>15856500</v>
      </c>
      <c r="Z15" s="92">
        <f>SUM(Z11:Z14)</f>
        <v>0</v>
      </c>
      <c r="AA15" s="92">
        <f t="shared" si="5"/>
        <v>15856500</v>
      </c>
      <c r="AB15" s="91"/>
      <c r="AC15" s="93"/>
      <c r="AD15" s="91"/>
      <c r="AE15" s="94">
        <f t="shared" ref="AE15" si="17">+IFERROR(AF15/$K15,"-")</f>
        <v>0.44285714285714284</v>
      </c>
      <c r="AF15" s="92">
        <f>SUM(AF11:AF14)</f>
        <v>122887875</v>
      </c>
      <c r="AG15" s="92">
        <f>SUM(AG11:AG14)</f>
        <v>0</v>
      </c>
      <c r="AH15" s="92">
        <f t="shared" si="6"/>
        <v>122887875</v>
      </c>
      <c r="AI15" s="91"/>
      <c r="AJ15" s="93"/>
      <c r="AK15" s="91"/>
      <c r="AL15" s="94">
        <f t="shared" si="2"/>
        <v>0</v>
      </c>
      <c r="AM15" s="92">
        <f>SUM(AM11:AM14)</f>
        <v>0</v>
      </c>
      <c r="AN15" s="92">
        <f>SUM(AN11:AN14)</f>
        <v>0</v>
      </c>
      <c r="AO15" s="92">
        <f t="shared" si="7"/>
        <v>0</v>
      </c>
      <c r="AP15" s="91"/>
      <c r="AQ15" s="93"/>
      <c r="AR15" s="91"/>
      <c r="AS15" s="94">
        <f t="shared" ref="AS15" si="18">+IFERROR(AT15/$K15,"-")</f>
        <v>0</v>
      </c>
      <c r="AT15" s="92">
        <f>SUM(AT11:AT14)</f>
        <v>0</v>
      </c>
      <c r="AU15" s="92">
        <f>SUM(AU11:AU14)</f>
        <v>0</v>
      </c>
      <c r="AV15" s="92">
        <f t="shared" ref="AV15" si="19">+AT15-AU15</f>
        <v>0</v>
      </c>
      <c r="AW15" s="91"/>
      <c r="AX15" s="93"/>
      <c r="AY15" s="91"/>
      <c r="AZ15" s="94">
        <f t="shared" ref="AZ15" si="20">+IFERROR(BA15/$K15,"-")</f>
        <v>0</v>
      </c>
      <c r="BA15" s="92">
        <f>SUM(BA11:BA14)</f>
        <v>0</v>
      </c>
      <c r="BB15" s="92">
        <f>SUM(BB11:BB14)</f>
        <v>0</v>
      </c>
      <c r="BC15" s="92">
        <f t="shared" si="8"/>
        <v>0</v>
      </c>
      <c r="BD15" s="91"/>
      <c r="BE15" s="93"/>
      <c r="BF15" s="91"/>
      <c r="BG15" s="94">
        <f t="shared" ref="BG15" si="21">+IFERROR(BH15/$K15,"-")</f>
        <v>0.24</v>
      </c>
      <c r="BH15" s="92">
        <f>SUM(BH11:BH14)</f>
        <v>66597300</v>
      </c>
      <c r="BI15" s="92">
        <f>SUM(BI11:BI14)</f>
        <v>0</v>
      </c>
      <c r="BJ15" s="92">
        <f t="shared" si="9"/>
        <v>66597300</v>
      </c>
      <c r="BK15" s="91"/>
      <c r="BL15" s="93"/>
      <c r="BM15" s="91"/>
      <c r="BN15" s="94">
        <f t="shared" si="10"/>
        <v>0.20285714285714285</v>
      </c>
      <c r="BO15" s="92">
        <f>SUM(BO11:BO14)</f>
        <v>56290575</v>
      </c>
      <c r="BP15" s="92">
        <f>SUM(BP11:BP14)</f>
        <v>0</v>
      </c>
      <c r="BQ15" s="92">
        <f t="shared" si="11"/>
        <v>56290575</v>
      </c>
      <c r="BR15" s="91"/>
      <c r="BS15" s="88"/>
      <c r="BT15" s="96"/>
      <c r="BU15" s="96"/>
      <c r="BV15" s="139"/>
      <c r="BW15" s="54"/>
      <c r="BX15" s="54"/>
      <c r="BY15" s="54"/>
      <c r="BZ15" s="54"/>
      <c r="CA15" s="54"/>
      <c r="CB15" s="54"/>
      <c r="CC15" s="54"/>
      <c r="CD15" s="54"/>
      <c r="CE15" s="58"/>
      <c r="CF15" s="58"/>
    </row>
    <row r="16" spans="1:84" ht="16.5" customHeight="1">
      <c r="A16" s="107"/>
      <c r="B16" s="1322">
        <f>+B11+1</f>
        <v>2</v>
      </c>
      <c r="C16" s="1579" t="s">
        <v>158</v>
      </c>
      <c r="D16" s="1579" t="s">
        <v>922</v>
      </c>
      <c r="E16" s="1585" t="s">
        <v>1036</v>
      </c>
      <c r="F16" s="1329">
        <f>+'[5]ref.지급기준 (2)'!D174</f>
        <v>138.43</v>
      </c>
      <c r="G16" s="1324" t="s">
        <v>888</v>
      </c>
      <c r="H16" s="63" t="s">
        <v>388</v>
      </c>
      <c r="I16" s="64">
        <f>+[5]지급비율!$F$20*F16/1000</f>
        <v>145351500</v>
      </c>
      <c r="J16" s="64">
        <f>+I16*10%</f>
        <v>14535150</v>
      </c>
      <c r="K16" s="64">
        <f t="shared" si="0"/>
        <v>159886650</v>
      </c>
      <c r="L16" s="63">
        <f t="shared" si="1"/>
        <v>0</v>
      </c>
      <c r="M16" s="134">
        <f>+IFERROR(S16+Z16+AG16+AN16+BB16+BI16,"-")</f>
        <v>0</v>
      </c>
      <c r="N16" s="134">
        <f>+K16-M16</f>
        <v>159886650</v>
      </c>
      <c r="O16" s="67"/>
      <c r="P16" s="67"/>
      <c r="Q16" s="135"/>
      <c r="R16" s="134">
        <f>+$K16*지급비율!G20</f>
        <v>0</v>
      </c>
      <c r="S16" s="134"/>
      <c r="T16" s="134">
        <f>+R16-S16</f>
        <v>0</v>
      </c>
      <c r="U16" s="145"/>
      <c r="V16" s="67"/>
      <c r="W16" s="67"/>
      <c r="X16" s="135"/>
      <c r="Y16" s="134">
        <f>+$K16*지급비율!N20</f>
        <v>0</v>
      </c>
      <c r="Z16" s="134"/>
      <c r="AA16" s="134">
        <f>+Y16-Z16</f>
        <v>0</v>
      </c>
      <c r="AB16" s="145"/>
      <c r="AC16" s="67">
        <f>+EDATE(AJ16,-1)+1</f>
        <v>45869</v>
      </c>
      <c r="AD16" s="67"/>
      <c r="AE16" s="135">
        <f>+IFERROR(AF16/$K16,"-")</f>
        <v>0.5</v>
      </c>
      <c r="AF16" s="134">
        <f>+$K16*지급비율!U20</f>
        <v>79943325</v>
      </c>
      <c r="AG16" s="134">
        <v>0</v>
      </c>
      <c r="AH16" s="134">
        <f>+AF16-AG16</f>
        <v>79943325</v>
      </c>
      <c r="AI16" s="145"/>
      <c r="AJ16" s="67">
        <f>+EDATE(AQ16,-1)</f>
        <v>45899</v>
      </c>
      <c r="AK16" s="67"/>
      <c r="AL16" s="135">
        <f t="shared" si="2"/>
        <v>0</v>
      </c>
      <c r="AM16" s="134">
        <f>+$K16*지급비율!AB20</f>
        <v>0</v>
      </c>
      <c r="AN16" s="134">
        <v>0</v>
      </c>
      <c r="AO16" s="134">
        <f>+AM16-AN16</f>
        <v>0</v>
      </c>
      <c r="AP16" s="145"/>
      <c r="AQ16" s="67">
        <v>45930</v>
      </c>
      <c r="AR16" s="67"/>
      <c r="AS16" s="135">
        <f>+IFERROR(AT16/$K16,"-")</f>
        <v>0</v>
      </c>
      <c r="AT16" s="134">
        <f>+$K16*지급비율!AI20</f>
        <v>0</v>
      </c>
      <c r="AU16" s="134">
        <v>0</v>
      </c>
      <c r="AV16" s="134">
        <f>+AT16-AU16</f>
        <v>0</v>
      </c>
      <c r="AW16" s="145"/>
      <c r="AX16" s="67">
        <v>45961</v>
      </c>
      <c r="AY16" s="67"/>
      <c r="AZ16" s="135">
        <f>+IFERROR(BA16/$K16,"-")</f>
        <v>0</v>
      </c>
      <c r="BA16" s="134">
        <f>+$K16*지급비율!AP20</f>
        <v>0</v>
      </c>
      <c r="BB16" s="134">
        <v>0</v>
      </c>
      <c r="BC16" s="134">
        <f>+BA16-BB16</f>
        <v>0</v>
      </c>
      <c r="BD16" s="145"/>
      <c r="BE16" s="67">
        <v>46022</v>
      </c>
      <c r="BF16" s="67"/>
      <c r="BG16" s="135">
        <f>+IFERROR(BH16/$K16,"-")</f>
        <v>0.4</v>
      </c>
      <c r="BH16" s="134">
        <f>+$K16*지급비율!AW20</f>
        <v>63954660</v>
      </c>
      <c r="BI16" s="134">
        <v>0</v>
      </c>
      <c r="BJ16" s="134">
        <f>+BH16-BI16</f>
        <v>63954660</v>
      </c>
      <c r="BK16" s="145"/>
      <c r="BL16" s="67">
        <v>46112</v>
      </c>
      <c r="BM16" s="67"/>
      <c r="BN16" s="135">
        <f>+IFERROR(BO16/$K16,"-")</f>
        <v>0.1</v>
      </c>
      <c r="BO16" s="134">
        <f>+$K16*지급비율!BD20</f>
        <v>15988665</v>
      </c>
      <c r="BP16" s="134">
        <v>0</v>
      </c>
      <c r="BQ16" s="134">
        <f>+BO16-BP16</f>
        <v>15988665</v>
      </c>
      <c r="BR16" s="145"/>
      <c r="BS16" s="73"/>
      <c r="BT16" s="74" t="b">
        <f>+R16+Y16+AF16+AT16+BA16+BH16+BO16=K16</f>
        <v>1</v>
      </c>
      <c r="BU16" s="74" t="b">
        <f>+S16+Z16+AG16+AU16+BB16+BI16+BP16=M16</f>
        <v>1</v>
      </c>
      <c r="BV16" s="74"/>
      <c r="BW16" s="58"/>
      <c r="BX16" s="58"/>
      <c r="BY16" s="58"/>
      <c r="BZ16" s="58"/>
      <c r="CA16" s="58"/>
      <c r="CB16" s="58"/>
      <c r="CC16" s="58"/>
      <c r="CD16" s="58"/>
      <c r="CE16" s="58"/>
      <c r="CF16" s="58"/>
    </row>
    <row r="17" spans="1:84" ht="16.5" customHeight="1">
      <c r="A17" s="107"/>
      <c r="B17" s="1322"/>
      <c r="C17" s="1579"/>
      <c r="D17" s="1579"/>
      <c r="E17" s="1585"/>
      <c r="F17" s="1329"/>
      <c r="G17" s="1324"/>
      <c r="H17" s="75" t="s">
        <v>389</v>
      </c>
      <c r="I17" s="76">
        <f>+[5]지급비율!$F$21*F16/1000</f>
        <v>41529000</v>
      </c>
      <c r="J17" s="76">
        <f>+I17*10%</f>
        <v>4152900</v>
      </c>
      <c r="K17" s="76">
        <f t="shared" si="0"/>
        <v>45681900</v>
      </c>
      <c r="L17" s="75">
        <f t="shared" si="1"/>
        <v>0.2</v>
      </c>
      <c r="M17" s="80">
        <f>+IFERROR(S17+Z17+AG17+AN17+BB17+BI17,"-")</f>
        <v>9136380</v>
      </c>
      <c r="N17" s="80">
        <f t="shared" ref="N17:N19" si="22">+K17-M17</f>
        <v>36545520</v>
      </c>
      <c r="O17" s="78">
        <f>+P17</f>
        <v>45631</v>
      </c>
      <c r="P17" s="78">
        <v>45631</v>
      </c>
      <c r="Q17" s="79">
        <f>+IFERROR(R17/$K17,"-")</f>
        <v>0.2</v>
      </c>
      <c r="R17" s="80">
        <f>+$K17*지급비율!G21</f>
        <v>9136380</v>
      </c>
      <c r="S17" s="80">
        <v>9136380</v>
      </c>
      <c r="T17" s="80">
        <f t="shared" ref="T17:T48" si="23">+R17-S17</f>
        <v>0</v>
      </c>
      <c r="U17" s="81"/>
      <c r="V17" s="78">
        <v>45838</v>
      </c>
      <c r="W17" s="78"/>
      <c r="X17" s="79">
        <f>+IFERROR(Y17/$K17,"-")</f>
        <v>0.2</v>
      </c>
      <c r="Y17" s="80">
        <f>+$K17*지급비율!N21</f>
        <v>9136380</v>
      </c>
      <c r="Z17" s="80">
        <v>0</v>
      </c>
      <c r="AA17" s="80">
        <f t="shared" ref="AA17:AA18" si="24">+Y17-Z17</f>
        <v>9136380</v>
      </c>
      <c r="AB17" s="81"/>
      <c r="AC17" s="78">
        <v>45869</v>
      </c>
      <c r="AD17" s="78"/>
      <c r="AE17" s="79">
        <f>+IFERROR(AF17/$K17,"-")</f>
        <v>0.5</v>
      </c>
      <c r="AF17" s="80">
        <f>+$K17*지급비율!U21</f>
        <v>22840950</v>
      </c>
      <c r="AG17" s="80">
        <v>0</v>
      </c>
      <c r="AH17" s="80">
        <f t="shared" ref="AH17:AH18" si="25">+AF17-AG17</f>
        <v>22840950</v>
      </c>
      <c r="AI17" s="81"/>
      <c r="AJ17" s="78"/>
      <c r="AK17" s="78"/>
      <c r="AL17" s="79">
        <f t="shared" si="2"/>
        <v>0</v>
      </c>
      <c r="AM17" s="80">
        <f>+$K17*지급비율!AB21</f>
        <v>0</v>
      </c>
      <c r="AN17" s="80">
        <v>0</v>
      </c>
      <c r="AO17" s="80">
        <f t="shared" ref="AO17:AO18" si="26">+AM17-AN17</f>
        <v>0</v>
      </c>
      <c r="AP17" s="81"/>
      <c r="AQ17" s="78"/>
      <c r="AR17" s="78"/>
      <c r="AS17" s="79"/>
      <c r="AT17" s="80">
        <f>+$K17*지급비율!AI21</f>
        <v>0</v>
      </c>
      <c r="AU17" s="80"/>
      <c r="AV17" s="80"/>
      <c r="AW17" s="81"/>
      <c r="AX17" s="78"/>
      <c r="AY17" s="78"/>
      <c r="AZ17" s="79"/>
      <c r="BA17" s="80">
        <f>+$K17*지급비율!AP21</f>
        <v>0</v>
      </c>
      <c r="BB17" s="80"/>
      <c r="BC17" s="80">
        <f t="shared" ref="BC17:BC18" si="27">+BA17-BB17</f>
        <v>0</v>
      </c>
      <c r="BD17" s="81"/>
      <c r="BE17" s="78"/>
      <c r="BF17" s="78"/>
      <c r="BG17" s="79"/>
      <c r="BH17" s="80">
        <f>+$K17*지급비율!AW21</f>
        <v>0</v>
      </c>
      <c r="BI17" s="80"/>
      <c r="BJ17" s="80">
        <f t="shared" ref="BJ17:BJ18" si="28">+BH17-BI17</f>
        <v>0</v>
      </c>
      <c r="BK17" s="81"/>
      <c r="BL17" s="78">
        <v>46112</v>
      </c>
      <c r="BM17" s="78"/>
      <c r="BN17" s="79">
        <f t="shared" ref="BN17:BN20" si="29">+IFERROR(BO17/$K17,"-")</f>
        <v>0.1</v>
      </c>
      <c r="BO17" s="80">
        <f>+$K17*지급비율!BD21</f>
        <v>4568190</v>
      </c>
      <c r="BP17" s="80">
        <v>0</v>
      </c>
      <c r="BQ17" s="80">
        <f t="shared" ref="BQ17:BQ18" si="30">+BO17-BP17</f>
        <v>4568190</v>
      </c>
      <c r="BR17" s="81"/>
      <c r="BS17" s="73"/>
      <c r="BT17" s="74" t="b">
        <f t="shared" ref="BT17:BT19" si="31">+R17+Y17+AF17+AT17+BA17+BH17+BO17=K17</f>
        <v>1</v>
      </c>
      <c r="BU17" s="74" t="b">
        <f t="shared" ref="BU17:BU19" si="32">+S17+Z17+AG17+AU17+BB17+BI17+BP17=M17</f>
        <v>1</v>
      </c>
      <c r="BV17" s="74" t="b">
        <f>+BH17+BH18+BA17+BA18+AT17+AT18+AF17+AF18+Y17+Y18+R17+R18+BO17+BO18=([5]지급비율!$F$21+[5]지급비율!$F$22)*1.1*F16/1000</f>
        <v>1</v>
      </c>
      <c r="BW17" s="58"/>
      <c r="BX17" s="58"/>
      <c r="BY17" s="58"/>
      <c r="BZ17" s="58"/>
      <c r="CA17" s="58"/>
      <c r="CB17" s="58"/>
      <c r="CC17" s="58"/>
      <c r="CD17" s="58"/>
      <c r="CE17" s="58"/>
      <c r="CF17" s="58"/>
    </row>
    <row r="18" spans="1:84" ht="16.5" customHeight="1">
      <c r="A18" s="107"/>
      <c r="B18" s="1322"/>
      <c r="C18" s="1579"/>
      <c r="D18" s="1579"/>
      <c r="E18" s="1585"/>
      <c r="F18" s="1329"/>
      <c r="G18" s="1324"/>
      <c r="H18" s="75" t="s">
        <v>390</v>
      </c>
      <c r="I18" s="76">
        <f>+[5]지급비율!$F$22*F16/1000</f>
        <v>27686000</v>
      </c>
      <c r="J18" s="76">
        <f t="shared" ref="J18" si="33">+I18*10%</f>
        <v>2768600</v>
      </c>
      <c r="K18" s="76">
        <f t="shared" si="0"/>
        <v>30454600</v>
      </c>
      <c r="L18" s="75">
        <f t="shared" si="1"/>
        <v>0.2</v>
      </c>
      <c r="M18" s="80">
        <f>+IFERROR(S18+Z18+AG18+AN18+BB18+BI18,"-")</f>
        <v>6090920</v>
      </c>
      <c r="N18" s="80">
        <f t="shared" si="22"/>
        <v>24363680</v>
      </c>
      <c r="O18" s="78">
        <f>+P18</f>
        <v>45631</v>
      </c>
      <c r="P18" s="72">
        <v>45631</v>
      </c>
      <c r="Q18" s="79">
        <f>+IFERROR(R18/$K18,"-")</f>
        <v>0.2</v>
      </c>
      <c r="R18" s="80">
        <f>+$K18*지급비율!G22</f>
        <v>6090920</v>
      </c>
      <c r="S18" s="80">
        <v>6090920</v>
      </c>
      <c r="T18" s="80">
        <f t="shared" si="23"/>
        <v>0</v>
      </c>
      <c r="U18" s="81"/>
      <c r="V18" s="78">
        <v>45838</v>
      </c>
      <c r="W18" s="78"/>
      <c r="X18" s="79">
        <f>+IFERROR(Y18/$K18,"-")</f>
        <v>0.2</v>
      </c>
      <c r="Y18" s="80">
        <f>+$K18*지급비율!N22</f>
        <v>6090920</v>
      </c>
      <c r="Z18" s="80">
        <v>0</v>
      </c>
      <c r="AA18" s="80">
        <f t="shared" si="24"/>
        <v>6090920</v>
      </c>
      <c r="AB18" s="81"/>
      <c r="AC18" s="78">
        <v>45869</v>
      </c>
      <c r="AD18" s="72"/>
      <c r="AE18" s="79">
        <f>+IFERROR(AF18/$K18,"-")</f>
        <v>0.5</v>
      </c>
      <c r="AF18" s="80">
        <f>+$K18*지급비율!U22</f>
        <v>15227300</v>
      </c>
      <c r="AG18" s="80">
        <v>0</v>
      </c>
      <c r="AH18" s="80">
        <f t="shared" si="25"/>
        <v>15227300</v>
      </c>
      <c r="AI18" s="81"/>
      <c r="AJ18" s="72"/>
      <c r="AK18" s="72"/>
      <c r="AL18" s="79">
        <f t="shared" si="2"/>
        <v>0</v>
      </c>
      <c r="AM18" s="80">
        <f>+$K18*지급비율!AB22</f>
        <v>0</v>
      </c>
      <c r="AN18" s="80">
        <v>0</v>
      </c>
      <c r="AO18" s="80">
        <f t="shared" si="26"/>
        <v>0</v>
      </c>
      <c r="AP18" s="81"/>
      <c r="AQ18" s="72"/>
      <c r="AR18" s="72"/>
      <c r="AS18" s="79"/>
      <c r="AT18" s="80">
        <f>+$K18*지급비율!AI22</f>
        <v>0</v>
      </c>
      <c r="AU18" s="80"/>
      <c r="AV18" s="80"/>
      <c r="AW18" s="81"/>
      <c r="AX18" s="72"/>
      <c r="AY18" s="72"/>
      <c r="AZ18" s="79"/>
      <c r="BA18" s="80">
        <f>+$K18*지급비율!AP22</f>
        <v>0</v>
      </c>
      <c r="BB18" s="80"/>
      <c r="BC18" s="80">
        <f t="shared" si="27"/>
        <v>0</v>
      </c>
      <c r="BD18" s="81"/>
      <c r="BE18" s="72"/>
      <c r="BF18" s="72"/>
      <c r="BG18" s="79"/>
      <c r="BH18" s="80">
        <f>+$K18*지급비율!AW22</f>
        <v>0</v>
      </c>
      <c r="BI18" s="80"/>
      <c r="BJ18" s="80">
        <f t="shared" si="28"/>
        <v>0</v>
      </c>
      <c r="BK18" s="81"/>
      <c r="BL18" s="78">
        <v>46112</v>
      </c>
      <c r="BM18" s="72"/>
      <c r="BN18" s="79">
        <f t="shared" si="29"/>
        <v>0.1</v>
      </c>
      <c r="BO18" s="80">
        <f>+$K18*지급비율!BD22</f>
        <v>3045460</v>
      </c>
      <c r="BP18" s="80">
        <v>0</v>
      </c>
      <c r="BQ18" s="80">
        <f t="shared" si="30"/>
        <v>3045460</v>
      </c>
      <c r="BR18" s="81"/>
      <c r="BS18" s="73"/>
      <c r="BT18" s="74" t="b">
        <f t="shared" si="31"/>
        <v>1</v>
      </c>
      <c r="BU18" s="74" t="b">
        <f t="shared" si="32"/>
        <v>1</v>
      </c>
      <c r="BV18" s="74"/>
      <c r="BW18" s="58"/>
      <c r="BX18" s="58"/>
      <c r="BY18" s="58"/>
      <c r="BZ18" s="58"/>
      <c r="CA18" s="58"/>
      <c r="CB18" s="58"/>
      <c r="CC18" s="58"/>
      <c r="CD18" s="58"/>
      <c r="CE18" s="58"/>
      <c r="CF18" s="58"/>
    </row>
    <row r="19" spans="1:84" ht="16.5" customHeight="1">
      <c r="A19" s="107"/>
      <c r="B19" s="1322"/>
      <c r="C19" s="1579"/>
      <c r="D19" s="1579"/>
      <c r="E19" s="1585"/>
      <c r="F19" s="1329"/>
      <c r="G19" s="1324"/>
      <c r="H19" s="101" t="s">
        <v>391</v>
      </c>
      <c r="I19" s="102">
        <f>+[5]지급비율!$F$23*F16/1000</f>
        <v>27686000</v>
      </c>
      <c r="J19" s="102">
        <f>+I19*0.1</f>
        <v>2768600</v>
      </c>
      <c r="K19" s="102">
        <f>SUM(I19:J19)</f>
        <v>30454600</v>
      </c>
      <c r="L19" s="101">
        <f t="shared" si="1"/>
        <v>0</v>
      </c>
      <c r="M19" s="106">
        <f>+IFERROR(S19+Z19+AG19+AN19+BB19+BI19,"-")</f>
        <v>0</v>
      </c>
      <c r="N19" s="106">
        <f t="shared" si="22"/>
        <v>30454600</v>
      </c>
      <c r="O19" s="85"/>
      <c r="P19" s="101"/>
      <c r="Q19" s="105"/>
      <c r="R19" s="106">
        <f>+$K19*지급비율!G23</f>
        <v>0</v>
      </c>
      <c r="S19" s="106"/>
      <c r="T19" s="106">
        <f>+R19-S19</f>
        <v>0</v>
      </c>
      <c r="U19" s="101"/>
      <c r="V19" s="85"/>
      <c r="W19" s="101"/>
      <c r="X19" s="105"/>
      <c r="Y19" s="106">
        <f>+$K19*지급비율!N23</f>
        <v>0</v>
      </c>
      <c r="Z19" s="106"/>
      <c r="AA19" s="106">
        <f>+Y19-Z19</f>
        <v>0</v>
      </c>
      <c r="AB19" s="101"/>
      <c r="AC19" s="85"/>
      <c r="AD19" s="101"/>
      <c r="AE19" s="105"/>
      <c r="AF19" s="106">
        <f>+$K19*지급비율!U23</f>
        <v>0</v>
      </c>
      <c r="AG19" s="106"/>
      <c r="AH19" s="106">
        <f>+AF19-AG19</f>
        <v>0</v>
      </c>
      <c r="AI19" s="101"/>
      <c r="AJ19" s="85"/>
      <c r="AK19" s="101"/>
      <c r="AL19" s="105">
        <f t="shared" si="2"/>
        <v>0</v>
      </c>
      <c r="AM19" s="106">
        <f>+$K19*지급비율!AB23</f>
        <v>0</v>
      </c>
      <c r="AN19" s="106">
        <v>0</v>
      </c>
      <c r="AO19" s="106">
        <f>+AM19-AN19</f>
        <v>0</v>
      </c>
      <c r="AP19" s="101"/>
      <c r="AQ19" s="85"/>
      <c r="AR19" s="101"/>
      <c r="AS19" s="105"/>
      <c r="AT19" s="106">
        <f>+$K19*지급비율!AI23</f>
        <v>0</v>
      </c>
      <c r="AU19" s="106"/>
      <c r="AV19" s="106"/>
      <c r="AW19" s="101"/>
      <c r="AX19" s="85"/>
      <c r="AY19" s="101"/>
      <c r="AZ19" s="105"/>
      <c r="BA19" s="106">
        <f>+$K19*지급비율!AP23</f>
        <v>0</v>
      </c>
      <c r="BB19" s="106"/>
      <c r="BC19" s="106">
        <f>+BA19-BB19</f>
        <v>0</v>
      </c>
      <c r="BD19" s="101"/>
      <c r="BE19" s="85"/>
      <c r="BF19" s="101"/>
      <c r="BG19" s="105"/>
      <c r="BH19" s="106">
        <f>+$K19*지급비율!AW23</f>
        <v>0</v>
      </c>
      <c r="BI19" s="106"/>
      <c r="BJ19" s="106">
        <f>+BH19-BI19</f>
        <v>0</v>
      </c>
      <c r="BK19" s="101"/>
      <c r="BL19" s="78">
        <v>46112</v>
      </c>
      <c r="BM19" s="101"/>
      <c r="BN19" s="105">
        <f t="shared" si="29"/>
        <v>1</v>
      </c>
      <c r="BO19" s="106">
        <f>+$K19*지급비율!BD23</f>
        <v>30454600</v>
      </c>
      <c r="BP19" s="106">
        <v>0</v>
      </c>
      <c r="BQ19" s="106">
        <f>+BO19-BP19</f>
        <v>30454600</v>
      </c>
      <c r="BR19" s="101"/>
      <c r="BS19" s="88"/>
      <c r="BT19" s="89" t="b">
        <f t="shared" si="31"/>
        <v>1</v>
      </c>
      <c r="BU19" s="90" t="b">
        <f t="shared" si="32"/>
        <v>1</v>
      </c>
      <c r="BV19" s="89"/>
      <c r="BW19" s="58"/>
      <c r="BX19" s="58"/>
      <c r="BY19" s="58"/>
      <c r="BZ19" s="58"/>
      <c r="CA19" s="58"/>
      <c r="CB19" s="58"/>
      <c r="CC19" s="58"/>
      <c r="CD19" s="58"/>
      <c r="CE19" s="58"/>
      <c r="CF19" s="58"/>
    </row>
    <row r="20" spans="1:84" ht="16.5" customHeight="1">
      <c r="A20" s="62"/>
      <c r="B20" s="1322"/>
      <c r="C20" s="1579"/>
      <c r="D20" s="1579"/>
      <c r="E20" s="1585"/>
      <c r="F20" s="1329"/>
      <c r="G20" s="1324"/>
      <c r="H20" s="91" t="s">
        <v>392</v>
      </c>
      <c r="I20" s="92">
        <f>SUM(I16:I19)</f>
        <v>242252500</v>
      </c>
      <c r="J20" s="92">
        <f>SUM(J16:J19)</f>
        <v>24225250</v>
      </c>
      <c r="K20" s="92">
        <f>SUM(K16:K19)</f>
        <v>266477750</v>
      </c>
      <c r="L20" s="91">
        <f t="shared" si="1"/>
        <v>5.7142857142857141E-2</v>
      </c>
      <c r="M20" s="92">
        <f>SUM(M16:M19)</f>
        <v>15227300</v>
      </c>
      <c r="N20" s="92">
        <f>SUM(N16:N19)</f>
        <v>251250450</v>
      </c>
      <c r="O20" s="93"/>
      <c r="P20" s="91"/>
      <c r="Q20" s="94">
        <f t="shared" ref="Q20" si="34">+IFERROR(R20/$K20,"-")</f>
        <v>5.7142857142857141E-2</v>
      </c>
      <c r="R20" s="92">
        <f>SUM(R16:R19)</f>
        <v>15227300</v>
      </c>
      <c r="S20" s="170">
        <f>SUM(S16:S19)</f>
        <v>15227300</v>
      </c>
      <c r="T20" s="92">
        <f t="shared" ref="T20" si="35">+R20-S20</f>
        <v>0</v>
      </c>
      <c r="U20" s="91"/>
      <c r="V20" s="93"/>
      <c r="W20" s="91"/>
      <c r="X20" s="94">
        <f t="shared" ref="X20" si="36">+IFERROR(Y20/$K20,"-")</f>
        <v>5.7142857142857141E-2</v>
      </c>
      <c r="Y20" s="92">
        <f>SUM(Y16:Y19)</f>
        <v>15227300</v>
      </c>
      <c r="Z20" s="92">
        <f>SUM(Z16:Z19)</f>
        <v>0</v>
      </c>
      <c r="AA20" s="92">
        <f t="shared" ref="AA20" si="37">+Y20-Z20</f>
        <v>15227300</v>
      </c>
      <c r="AB20" s="91"/>
      <c r="AC20" s="93"/>
      <c r="AD20" s="91"/>
      <c r="AE20" s="94">
        <f t="shared" ref="AE20" si="38">+IFERROR(AF20/$K20,"-")</f>
        <v>0.44285714285714284</v>
      </c>
      <c r="AF20" s="92">
        <f>SUM(AF16:AF19)</f>
        <v>118011575</v>
      </c>
      <c r="AG20" s="92">
        <f>SUM(AG16:AG19)</f>
        <v>0</v>
      </c>
      <c r="AH20" s="92">
        <f t="shared" ref="AH20" si="39">+AF20-AG20</f>
        <v>118011575</v>
      </c>
      <c r="AI20" s="91"/>
      <c r="AJ20" s="93"/>
      <c r="AK20" s="91"/>
      <c r="AL20" s="94">
        <f t="shared" si="2"/>
        <v>0</v>
      </c>
      <c r="AM20" s="92">
        <f>SUM(AM16:AM19)</f>
        <v>0</v>
      </c>
      <c r="AN20" s="92">
        <f>SUM(AN16:AN19)</f>
        <v>0</v>
      </c>
      <c r="AO20" s="92">
        <f t="shared" ref="AO20" si="40">+AM20-AN20</f>
        <v>0</v>
      </c>
      <c r="AP20" s="91"/>
      <c r="AQ20" s="93"/>
      <c r="AR20" s="91"/>
      <c r="AS20" s="94">
        <f t="shared" ref="AS20" si="41">+IFERROR(AT20/$K20,"-")</f>
        <v>0</v>
      </c>
      <c r="AT20" s="92">
        <f>SUM(AT16:AT19)</f>
        <v>0</v>
      </c>
      <c r="AU20" s="92">
        <f>SUM(AU16:AU19)</f>
        <v>0</v>
      </c>
      <c r="AV20" s="92">
        <f t="shared" ref="AV20" si="42">+AT20-AU20</f>
        <v>0</v>
      </c>
      <c r="AW20" s="91"/>
      <c r="AX20" s="93"/>
      <c r="AY20" s="91"/>
      <c r="AZ20" s="94">
        <f t="shared" ref="AZ20" si="43">+IFERROR(BA20/$K20,"-")</f>
        <v>0</v>
      </c>
      <c r="BA20" s="92">
        <f>SUM(BA16:BA19)</f>
        <v>0</v>
      </c>
      <c r="BB20" s="92">
        <f>SUM(BB16:BB19)</f>
        <v>0</v>
      </c>
      <c r="BC20" s="92">
        <f t="shared" ref="BC20" si="44">+BA20-BB20</f>
        <v>0</v>
      </c>
      <c r="BD20" s="91"/>
      <c r="BE20" s="93"/>
      <c r="BF20" s="91"/>
      <c r="BG20" s="94">
        <f t="shared" ref="BG20" si="45">+IFERROR(BH20/$K20,"-")</f>
        <v>0.24</v>
      </c>
      <c r="BH20" s="92">
        <f>SUM(BH16:BH19)</f>
        <v>63954660</v>
      </c>
      <c r="BI20" s="92">
        <f>SUM(BI16:BI19)</f>
        <v>0</v>
      </c>
      <c r="BJ20" s="92">
        <f t="shared" ref="BJ20" si="46">+BH20-BI20</f>
        <v>63954660</v>
      </c>
      <c r="BK20" s="91"/>
      <c r="BL20" s="93"/>
      <c r="BM20" s="91"/>
      <c r="BN20" s="94">
        <f t="shared" si="29"/>
        <v>0.20285714285714285</v>
      </c>
      <c r="BO20" s="92">
        <f>SUM(BO16:BO19)</f>
        <v>54056915</v>
      </c>
      <c r="BP20" s="92">
        <f>SUM(BP16:BP19)</f>
        <v>0</v>
      </c>
      <c r="BQ20" s="92">
        <f t="shared" ref="BQ20" si="47">+BO20-BP20</f>
        <v>54056915</v>
      </c>
      <c r="BR20" s="91"/>
      <c r="BS20" s="88"/>
      <c r="BT20" s="96"/>
      <c r="BU20" s="96"/>
      <c r="BV20" s="139"/>
      <c r="BW20" s="54"/>
      <c r="BX20" s="54"/>
      <c r="BY20" s="54"/>
      <c r="BZ20" s="54"/>
      <c r="CA20" s="54"/>
      <c r="CB20" s="54"/>
      <c r="CC20" s="54"/>
      <c r="CD20" s="54"/>
      <c r="CE20" s="58"/>
      <c r="CF20" s="58"/>
    </row>
    <row r="21" spans="1:84" ht="16.5" customHeight="1">
      <c r="A21" s="62"/>
      <c r="B21" s="1322">
        <f>+B16+1</f>
        <v>3</v>
      </c>
      <c r="C21" s="1579" t="s">
        <v>157</v>
      </c>
      <c r="D21" s="1579" t="s">
        <v>898</v>
      </c>
      <c r="E21" s="1586" t="s">
        <v>1037</v>
      </c>
      <c r="F21" s="1343">
        <v>495.81</v>
      </c>
      <c r="G21" s="1324" t="s">
        <v>888</v>
      </c>
      <c r="H21" s="63" t="s">
        <v>388</v>
      </c>
      <c r="I21" s="64">
        <f>+[5]지급비율!F20*$F$21/1000</f>
        <v>520600500</v>
      </c>
      <c r="J21" s="64">
        <f>+I21*10%</f>
        <v>52060050</v>
      </c>
      <c r="K21" s="64">
        <f>SUM(I21:J21)</f>
        <v>572660550</v>
      </c>
      <c r="L21" s="63">
        <f t="shared" ref="L21:L45" si="48">+IFERROR(M21/K21,"-")</f>
        <v>0</v>
      </c>
      <c r="M21" s="134">
        <f>+IFERROR(S21+Z21+AG21+AN21+AU21+BB21+BI21+BP21,"-")</f>
        <v>0</v>
      </c>
      <c r="N21" s="134">
        <f>+K21-M21</f>
        <v>572660550</v>
      </c>
      <c r="O21" s="67"/>
      <c r="P21" s="67"/>
      <c r="Q21" s="135"/>
      <c r="R21" s="66">
        <f>+$K21*지급비율!G20</f>
        <v>0</v>
      </c>
      <c r="S21" s="66"/>
      <c r="T21" s="66">
        <f t="shared" ref="T21:T46" si="49">+R21-S21</f>
        <v>0</v>
      </c>
      <c r="U21" s="136"/>
      <c r="V21" s="67"/>
      <c r="W21" s="67"/>
      <c r="X21" s="135"/>
      <c r="Y21" s="66">
        <f>+$K21*지급비율!N20</f>
        <v>0</v>
      </c>
      <c r="Z21" s="66"/>
      <c r="AA21" s="66">
        <f t="shared" ref="AA21:AA46" si="50">+Y21-Z21</f>
        <v>0</v>
      </c>
      <c r="AB21" s="136"/>
      <c r="AC21" s="67">
        <f>+EDATE(AJ21,-1)+1</f>
        <v>45930</v>
      </c>
      <c r="AD21" s="67"/>
      <c r="AE21" s="135">
        <f>+IFERROR(AF21/$K21,"-")</f>
        <v>0.5</v>
      </c>
      <c r="AF21" s="66">
        <f>+$K21*지급비율!U20</f>
        <v>286330275</v>
      </c>
      <c r="AG21" s="66"/>
      <c r="AH21" s="66">
        <f t="shared" ref="AH21:AH46" si="51">+AF21-AG21</f>
        <v>286330275</v>
      </c>
      <c r="AI21" s="136"/>
      <c r="AJ21" s="67">
        <f>+EDATE(AQ21,-1)</f>
        <v>45959</v>
      </c>
      <c r="AK21" s="67"/>
      <c r="AL21" s="135">
        <f t="shared" si="2"/>
        <v>0</v>
      </c>
      <c r="AM21" s="66">
        <f>+$K21*지급비율!AB20</f>
        <v>0</v>
      </c>
      <c r="AN21" s="66"/>
      <c r="AO21" s="66">
        <f t="shared" ref="AO21:AO46" si="52">+AM21-AN21</f>
        <v>0</v>
      </c>
      <c r="AP21" s="136"/>
      <c r="AQ21" s="67">
        <f>+EDATE(AX21,-1)+1</f>
        <v>45990</v>
      </c>
      <c r="AR21" s="67"/>
      <c r="AS21" s="135">
        <f>+IFERROR(AT21/$K21,"-")</f>
        <v>0</v>
      </c>
      <c r="AT21" s="66">
        <f>+$K21*지급비율!AI20</f>
        <v>0</v>
      </c>
      <c r="AU21" s="66"/>
      <c r="AV21" s="66">
        <f t="shared" ref="AV21:AV46" si="53">+AT21-AU21</f>
        <v>0</v>
      </c>
      <c r="AW21" s="136"/>
      <c r="AX21" s="67">
        <f>+EDATE(BE21,-1)</f>
        <v>46019</v>
      </c>
      <c r="AY21" s="67"/>
      <c r="AZ21" s="135">
        <f>+IFERROR(BA21/$K21,"-")</f>
        <v>0</v>
      </c>
      <c r="BA21" s="66">
        <f>+$K21*지급비율!AP20</f>
        <v>0</v>
      </c>
      <c r="BB21" s="66"/>
      <c r="BC21" s="66">
        <f t="shared" ref="BC21:BC46" si="54">+BA21-BB21</f>
        <v>0</v>
      </c>
      <c r="BD21" s="136"/>
      <c r="BE21" s="67">
        <f>+EDATE(BL21,-1)</f>
        <v>46050</v>
      </c>
      <c r="BF21" s="67"/>
      <c r="BG21" s="135">
        <f>+IFERROR(BH21/$K21,"-")</f>
        <v>0.4</v>
      </c>
      <c r="BH21" s="66">
        <f>+$K21*지급비율!AW20</f>
        <v>229064220</v>
      </c>
      <c r="BI21" s="66"/>
      <c r="BJ21" s="66">
        <f t="shared" ref="BJ21:BJ46" si="55">+BH21-BI21</f>
        <v>229064220</v>
      </c>
      <c r="BK21" s="136"/>
      <c r="BL21" s="67">
        <v>46081</v>
      </c>
      <c r="BM21" s="67"/>
      <c r="BN21" s="135">
        <f t="shared" ref="BN21:BN46" si="56">+IFERROR(BO21/$K21,"-")</f>
        <v>0.1</v>
      </c>
      <c r="BO21" s="66">
        <f>+$K21*지급비율!BD20</f>
        <v>57266055</v>
      </c>
      <c r="BP21" s="66"/>
      <c r="BQ21" s="66">
        <f t="shared" ref="BQ21:BQ46" si="57">+BO21-BP21</f>
        <v>57266055</v>
      </c>
      <c r="BR21" s="136"/>
      <c r="BS21" s="73"/>
      <c r="BT21" s="74" t="b">
        <f>+R21+Y21+AF21+AT21+BA21+BH21+BO21=K21</f>
        <v>1</v>
      </c>
      <c r="BU21" s="74" t="b">
        <f>+S21+Z21+AG21+AU21+BB21+BI21+BP21=M21</f>
        <v>1</v>
      </c>
      <c r="BV21" s="74"/>
      <c r="BW21" s="54"/>
      <c r="BX21" s="54"/>
      <c r="BY21" s="54"/>
      <c r="BZ21" s="54"/>
      <c r="CA21" s="54"/>
      <c r="CB21" s="54"/>
      <c r="CC21" s="54"/>
      <c r="CD21" s="54"/>
      <c r="CE21" s="58"/>
      <c r="CF21" s="58"/>
    </row>
    <row r="22" spans="1:84" ht="16.5" customHeight="1">
      <c r="A22" s="62"/>
      <c r="B22" s="1322"/>
      <c r="C22" s="1579"/>
      <c r="D22" s="1579"/>
      <c r="E22" s="1586"/>
      <c r="F22" s="1344"/>
      <c r="G22" s="1324"/>
      <c r="H22" s="75" t="s">
        <v>389</v>
      </c>
      <c r="I22" s="76">
        <f>+[5]지급비율!F21*$F$21/1000</f>
        <v>148743000</v>
      </c>
      <c r="J22" s="76">
        <f>+I22*10%</f>
        <v>14874300</v>
      </c>
      <c r="K22" s="76">
        <f>SUM(I22:J22)</f>
        <v>163617300</v>
      </c>
      <c r="L22" s="75">
        <f t="shared" si="48"/>
        <v>0.4</v>
      </c>
      <c r="M22" s="80">
        <f>+IFERROR(S22+Z22+AG22+AN22+AU22+BB22+BI22+BP22,"-")</f>
        <v>65446920</v>
      </c>
      <c r="N22" s="80">
        <f>+K22-M22</f>
        <v>98170380</v>
      </c>
      <c r="O22" s="72">
        <v>45820</v>
      </c>
      <c r="P22" s="72">
        <v>45820</v>
      </c>
      <c r="Q22" s="79">
        <f>+IFERROR(R22/$K22,"-")</f>
        <v>0.2</v>
      </c>
      <c r="R22" s="99">
        <f>+$K22*지급비율!G21</f>
        <v>32723460</v>
      </c>
      <c r="S22" s="99">
        <v>32723460</v>
      </c>
      <c r="T22" s="99">
        <f t="shared" si="49"/>
        <v>0</v>
      </c>
      <c r="U22" s="140"/>
      <c r="V22" s="78">
        <v>45855</v>
      </c>
      <c r="W22" s="78">
        <v>45867</v>
      </c>
      <c r="X22" s="79">
        <f>+IFERROR(Y22/$K22,"-")</f>
        <v>0.2</v>
      </c>
      <c r="Y22" s="70">
        <f>+$K22*지급비율!N21</f>
        <v>32723460</v>
      </c>
      <c r="Z22" s="70">
        <v>32723460</v>
      </c>
      <c r="AA22" s="70">
        <f t="shared" si="50"/>
        <v>0</v>
      </c>
      <c r="AB22" s="81"/>
      <c r="AC22" s="284">
        <v>45900</v>
      </c>
      <c r="AD22" s="284"/>
      <c r="AE22" s="286">
        <f>+IFERROR(AF22/$K22,"-")</f>
        <v>0.5</v>
      </c>
      <c r="AF22" s="287">
        <f>+$K22*지급비율!U21</f>
        <v>81808650</v>
      </c>
      <c r="AG22" s="287"/>
      <c r="AH22" s="287">
        <f t="shared" si="51"/>
        <v>81808650</v>
      </c>
      <c r="AI22" s="288"/>
      <c r="AJ22" s="78"/>
      <c r="AK22" s="72"/>
      <c r="AL22" s="79">
        <f t="shared" si="2"/>
        <v>0</v>
      </c>
      <c r="AM22" s="99">
        <f>+$K22*지급비율!AB21</f>
        <v>0</v>
      </c>
      <c r="AN22" s="99"/>
      <c r="AO22" s="99">
        <f t="shared" si="52"/>
        <v>0</v>
      </c>
      <c r="AP22" s="137"/>
      <c r="AQ22" s="78"/>
      <c r="AR22" s="72"/>
      <c r="AS22" s="79"/>
      <c r="AT22" s="99">
        <f>+$K22*지급비율!AI21</f>
        <v>0</v>
      </c>
      <c r="AU22" s="99"/>
      <c r="AV22" s="99">
        <f t="shared" si="53"/>
        <v>0</v>
      </c>
      <c r="AW22" s="137"/>
      <c r="AX22" s="78"/>
      <c r="AY22" s="72"/>
      <c r="AZ22" s="79"/>
      <c r="BA22" s="99">
        <f>+$K22*지급비율!AP21</f>
        <v>0</v>
      </c>
      <c r="BB22" s="99"/>
      <c r="BC22" s="99">
        <f t="shared" si="54"/>
        <v>0</v>
      </c>
      <c r="BD22" s="137"/>
      <c r="BE22" s="78"/>
      <c r="BF22" s="72"/>
      <c r="BG22" s="79"/>
      <c r="BH22" s="99">
        <f>+$K22*지급비율!AW21</f>
        <v>0</v>
      </c>
      <c r="BI22" s="99"/>
      <c r="BJ22" s="99">
        <f t="shared" si="55"/>
        <v>0</v>
      </c>
      <c r="BK22" s="137"/>
      <c r="BL22" s="138">
        <v>46081</v>
      </c>
      <c r="BM22" s="72"/>
      <c r="BN22" s="79">
        <f t="shared" si="56"/>
        <v>0.1</v>
      </c>
      <c r="BO22" s="99">
        <f>+$K22*지급비율!BD21</f>
        <v>16361730</v>
      </c>
      <c r="BP22" s="99"/>
      <c r="BQ22" s="99">
        <f t="shared" si="57"/>
        <v>16361730</v>
      </c>
      <c r="BR22" s="137"/>
      <c r="BS22" s="73"/>
      <c r="BT22" s="74" t="b">
        <f>+R22+Y22+AF22+AT22+BA22+BH22+BO22=K22</f>
        <v>1</v>
      </c>
      <c r="BU22" s="74" t="b">
        <f>+S22+Z22+AG22+AU22+BB22+BI22+BP22=M22</f>
        <v>1</v>
      </c>
      <c r="BV22" s="74" t="b">
        <f>+BH22+BH23+BA22+BA23+AT22+AT23+AF22+AF23+Y22+Y23+R22+R23+BO22+BO23=([5]지급비율!$F$21+[5]지급비율!$F$22)*1.1*F21/1000</f>
        <v>1</v>
      </c>
      <c r="BW22" s="54"/>
      <c r="BX22" s="54"/>
      <c r="BY22" s="54"/>
      <c r="BZ22" s="54"/>
      <c r="CA22" s="54"/>
      <c r="CB22" s="54"/>
      <c r="CC22" s="54"/>
      <c r="CD22" s="54"/>
      <c r="CE22" s="58"/>
      <c r="CF22" s="58"/>
    </row>
    <row r="23" spans="1:84" ht="16.5" customHeight="1">
      <c r="A23" s="62"/>
      <c r="B23" s="1322"/>
      <c r="C23" s="1579"/>
      <c r="D23" s="1579"/>
      <c r="E23" s="1586"/>
      <c r="F23" s="1344"/>
      <c r="G23" s="1324"/>
      <c r="H23" s="75" t="s">
        <v>390</v>
      </c>
      <c r="I23" s="76">
        <f>+[5]지급비율!F22*$F$21/1000</f>
        <v>99162000</v>
      </c>
      <c r="J23" s="76">
        <f>+I23*10%</f>
        <v>9916200</v>
      </c>
      <c r="K23" s="76">
        <f>SUM(I23:J23)</f>
        <v>109078200</v>
      </c>
      <c r="L23" s="75">
        <f t="shared" si="48"/>
        <v>0.4</v>
      </c>
      <c r="M23" s="80">
        <f>+IFERROR(S23+Z23+AG23+AN23+AU23+BB23+BI23+BP23,"-")</f>
        <v>43631280</v>
      </c>
      <c r="N23" s="80">
        <f>+K23-M23</f>
        <v>65446920</v>
      </c>
      <c r="O23" s="72">
        <v>45820</v>
      </c>
      <c r="P23" s="72">
        <v>45820</v>
      </c>
      <c r="Q23" s="79">
        <f>+IFERROR(R23/$K23,"-")</f>
        <v>0.2</v>
      </c>
      <c r="R23" s="99">
        <f>+$K23*지급비율!G22</f>
        <v>21815640</v>
      </c>
      <c r="S23" s="99">
        <v>21815640</v>
      </c>
      <c r="T23" s="99">
        <f t="shared" si="49"/>
        <v>0</v>
      </c>
      <c r="U23" s="140"/>
      <c r="V23" s="78">
        <v>45855</v>
      </c>
      <c r="W23" s="78">
        <v>45867</v>
      </c>
      <c r="X23" s="79">
        <f>+IFERROR(Y23/$K23,"-")</f>
        <v>0.2</v>
      </c>
      <c r="Y23" s="70">
        <f>+$K23*지급비율!N22</f>
        <v>21815640</v>
      </c>
      <c r="Z23" s="70">
        <v>21815640</v>
      </c>
      <c r="AA23" s="70">
        <f t="shared" si="50"/>
        <v>0</v>
      </c>
      <c r="AB23" s="81"/>
      <c r="AC23" s="284">
        <v>45900</v>
      </c>
      <c r="AD23" s="284"/>
      <c r="AE23" s="286">
        <f>+IFERROR(AF23/$K23,"-")</f>
        <v>0.5</v>
      </c>
      <c r="AF23" s="287">
        <f>+$K23*지급비율!U22</f>
        <v>54539100</v>
      </c>
      <c r="AG23" s="287"/>
      <c r="AH23" s="287">
        <f t="shared" si="51"/>
        <v>54539100</v>
      </c>
      <c r="AI23" s="288"/>
      <c r="AJ23" s="72"/>
      <c r="AK23" s="72"/>
      <c r="AL23" s="79">
        <f t="shared" si="2"/>
        <v>0</v>
      </c>
      <c r="AM23" s="99">
        <f>+$K23*지급비율!AB22</f>
        <v>0</v>
      </c>
      <c r="AN23" s="99"/>
      <c r="AO23" s="99">
        <f t="shared" si="52"/>
        <v>0</v>
      </c>
      <c r="AP23" s="137"/>
      <c r="AQ23" s="72"/>
      <c r="AR23" s="72"/>
      <c r="AS23" s="79"/>
      <c r="AT23" s="99">
        <f>+$K23*지급비율!AI22</f>
        <v>0</v>
      </c>
      <c r="AU23" s="99"/>
      <c r="AV23" s="99">
        <f t="shared" si="53"/>
        <v>0</v>
      </c>
      <c r="AW23" s="137"/>
      <c r="AX23" s="72"/>
      <c r="AY23" s="72"/>
      <c r="AZ23" s="79"/>
      <c r="BA23" s="99">
        <f>+$K23*지급비율!AP22</f>
        <v>0</v>
      </c>
      <c r="BB23" s="99"/>
      <c r="BC23" s="99">
        <f t="shared" si="54"/>
        <v>0</v>
      </c>
      <c r="BD23" s="137"/>
      <c r="BE23" s="72"/>
      <c r="BF23" s="72"/>
      <c r="BG23" s="79"/>
      <c r="BH23" s="99">
        <f>+$K23*지급비율!AW22</f>
        <v>0</v>
      </c>
      <c r="BI23" s="99"/>
      <c r="BJ23" s="99">
        <f t="shared" si="55"/>
        <v>0</v>
      </c>
      <c r="BK23" s="137"/>
      <c r="BL23" s="72">
        <v>46081</v>
      </c>
      <c r="BM23" s="72"/>
      <c r="BN23" s="79">
        <f t="shared" si="56"/>
        <v>0.1</v>
      </c>
      <c r="BO23" s="99">
        <f>+$K23*지급비율!BD22</f>
        <v>10907820</v>
      </c>
      <c r="BP23" s="99"/>
      <c r="BQ23" s="99">
        <f t="shared" si="57"/>
        <v>10907820</v>
      </c>
      <c r="BR23" s="137"/>
      <c r="BS23" s="73"/>
      <c r="BT23" s="74" t="b">
        <f>+R23+Y23+AF23+AT23+BA23+BH23+BO23=K23</f>
        <v>1</v>
      </c>
      <c r="BU23" s="74" t="b">
        <f>+S23+Z23+AG23+AU23+BB23+BI23+BP23=M23</f>
        <v>1</v>
      </c>
      <c r="BV23" s="74"/>
      <c r="BW23" s="54"/>
      <c r="BX23" s="54"/>
      <c r="BY23" s="54"/>
      <c r="BZ23" s="54"/>
      <c r="CA23" s="54"/>
      <c r="CB23" s="54"/>
      <c r="CC23" s="54"/>
      <c r="CD23" s="54"/>
      <c r="CE23" s="58"/>
      <c r="CF23" s="58"/>
    </row>
    <row r="24" spans="1:84" ht="16.5" customHeight="1">
      <c r="A24" s="62"/>
      <c r="B24" s="1322"/>
      <c r="C24" s="1579"/>
      <c r="D24" s="1579"/>
      <c r="E24" s="1586"/>
      <c r="F24" s="1344"/>
      <c r="G24" s="1324"/>
      <c r="H24" s="101" t="s">
        <v>391</v>
      </c>
      <c r="I24" s="102">
        <f>+[5]지급비율!F23*$F$21/1000</f>
        <v>99162000</v>
      </c>
      <c r="J24" s="102">
        <f>+I24*0.1</f>
        <v>9916200</v>
      </c>
      <c r="K24" s="102">
        <f>SUM(I24:J24)</f>
        <v>109078200</v>
      </c>
      <c r="L24" s="101">
        <f t="shared" si="48"/>
        <v>0</v>
      </c>
      <c r="M24" s="106">
        <f>+IFERROR(S24+Z24+AG24+AN24+AU24+BB24+BI24+BP24,"-")</f>
        <v>0</v>
      </c>
      <c r="N24" s="106">
        <f>+K24-M24</f>
        <v>109078200</v>
      </c>
      <c r="O24" s="104"/>
      <c r="P24" s="101"/>
      <c r="Q24" s="105"/>
      <c r="R24" s="103">
        <f>+$K24*지급비율!G23</f>
        <v>0</v>
      </c>
      <c r="S24" s="103"/>
      <c r="T24" s="103">
        <f t="shared" si="49"/>
        <v>0</v>
      </c>
      <c r="U24" s="101"/>
      <c r="V24" s="85"/>
      <c r="W24" s="101"/>
      <c r="X24" s="105"/>
      <c r="Y24" s="103">
        <f>+$K24*지급비율!N23</f>
        <v>0</v>
      </c>
      <c r="Z24" s="103"/>
      <c r="AA24" s="103">
        <f t="shared" si="50"/>
        <v>0</v>
      </c>
      <c r="AB24" s="101"/>
      <c r="AC24" s="85"/>
      <c r="AD24" s="101"/>
      <c r="AE24" s="105"/>
      <c r="AF24" s="103">
        <f>+$K24*지급비율!U23</f>
        <v>0</v>
      </c>
      <c r="AG24" s="103"/>
      <c r="AH24" s="103">
        <f t="shared" si="51"/>
        <v>0</v>
      </c>
      <c r="AI24" s="101"/>
      <c r="AJ24" s="85"/>
      <c r="AK24" s="101"/>
      <c r="AL24" s="105">
        <f t="shared" si="2"/>
        <v>0</v>
      </c>
      <c r="AM24" s="103">
        <f>+$K24*지급비율!AB23</f>
        <v>0</v>
      </c>
      <c r="AN24" s="103"/>
      <c r="AO24" s="103">
        <f t="shared" si="52"/>
        <v>0</v>
      </c>
      <c r="AP24" s="101"/>
      <c r="AQ24" s="85"/>
      <c r="AR24" s="101"/>
      <c r="AS24" s="105"/>
      <c r="AT24" s="103">
        <f>+$K24*지급비율!AI23</f>
        <v>0</v>
      </c>
      <c r="AU24" s="103"/>
      <c r="AV24" s="103">
        <f t="shared" si="53"/>
        <v>0</v>
      </c>
      <c r="AW24" s="101"/>
      <c r="AX24" s="85"/>
      <c r="AY24" s="101"/>
      <c r="AZ24" s="105"/>
      <c r="BA24" s="103">
        <f>+$K24*지급비율!AP23</f>
        <v>0</v>
      </c>
      <c r="BB24" s="103"/>
      <c r="BC24" s="103">
        <f t="shared" si="54"/>
        <v>0</v>
      </c>
      <c r="BD24" s="101"/>
      <c r="BE24" s="85"/>
      <c r="BF24" s="101"/>
      <c r="BG24" s="105"/>
      <c r="BH24" s="103">
        <f>+$K24*지급비율!AW23</f>
        <v>0</v>
      </c>
      <c r="BI24" s="103"/>
      <c r="BJ24" s="103">
        <f t="shared" si="55"/>
        <v>0</v>
      </c>
      <c r="BK24" s="101"/>
      <c r="BL24" s="104">
        <v>46081</v>
      </c>
      <c r="BM24" s="101"/>
      <c r="BN24" s="105">
        <f t="shared" si="56"/>
        <v>1</v>
      </c>
      <c r="BO24" s="103">
        <f>+$K24*지급비율!BD23</f>
        <v>109078200</v>
      </c>
      <c r="BP24" s="103"/>
      <c r="BQ24" s="103">
        <f t="shared" si="57"/>
        <v>109078200</v>
      </c>
      <c r="BR24" s="101"/>
      <c r="BS24" s="88"/>
      <c r="BT24" s="89" t="b">
        <f>+R24+Y24+AF24+AT24+BA24+BH24+BO24=K24</f>
        <v>1</v>
      </c>
      <c r="BU24" s="90" t="b">
        <f>+S24+Z24+AG24+AU24+BB24+BI24+BP24=M24</f>
        <v>1</v>
      </c>
      <c r="BV24" s="90"/>
      <c r="BW24" s="54"/>
      <c r="BX24" s="54"/>
      <c r="BY24" s="54"/>
      <c r="BZ24" s="54"/>
      <c r="CA24" s="54"/>
      <c r="CB24" s="54"/>
      <c r="CC24" s="54"/>
      <c r="CD24" s="54"/>
      <c r="CE24" s="58"/>
      <c r="CF24" s="58"/>
    </row>
    <row r="25" spans="1:84" ht="16.5" customHeight="1">
      <c r="A25" s="62"/>
      <c r="B25" s="1322"/>
      <c r="C25" s="1579"/>
      <c r="D25" s="1579"/>
      <c r="E25" s="1586"/>
      <c r="F25" s="1345"/>
      <c r="G25" s="1324"/>
      <c r="H25" s="91" t="s">
        <v>392</v>
      </c>
      <c r="I25" s="92">
        <f>SUM(I21:I24)</f>
        <v>867667500</v>
      </c>
      <c r="J25" s="92">
        <f>SUM(J21:J24)</f>
        <v>86766750</v>
      </c>
      <c r="K25" s="92">
        <f>SUM(K21:K24)</f>
        <v>954434250</v>
      </c>
      <c r="L25" s="91">
        <f t="shared" si="48"/>
        <v>0.11428571428571428</v>
      </c>
      <c r="M25" s="92">
        <f>SUM(M21:M24)</f>
        <v>109078200</v>
      </c>
      <c r="N25" s="92">
        <f>SUM(N21:N24)</f>
        <v>845356050</v>
      </c>
      <c r="O25" s="93"/>
      <c r="P25" s="91"/>
      <c r="Q25" s="94">
        <f t="shared" ref="Q25:Q50" si="58">+IFERROR(R25/$K25,"-")</f>
        <v>5.7142857142857141E-2</v>
      </c>
      <c r="R25" s="92">
        <f>SUM(R21:R24)</f>
        <v>54539100</v>
      </c>
      <c r="S25" s="170">
        <f>SUM(S21:S24)</f>
        <v>54539100</v>
      </c>
      <c r="T25" s="92">
        <f t="shared" si="49"/>
        <v>0</v>
      </c>
      <c r="U25" s="91"/>
      <c r="V25" s="93"/>
      <c r="W25" s="91"/>
      <c r="X25" s="94">
        <f t="shared" ref="X25:X50" si="59">+IFERROR(Y25/$K25,"-")</f>
        <v>5.7142857142857141E-2</v>
      </c>
      <c r="Y25" s="92">
        <f>SUM(Y21:Y24)</f>
        <v>54539100</v>
      </c>
      <c r="Z25" s="170">
        <f>SUM(Z21:Z24)</f>
        <v>54539100</v>
      </c>
      <c r="AA25" s="92">
        <f t="shared" si="50"/>
        <v>0</v>
      </c>
      <c r="AB25" s="91"/>
      <c r="AC25" s="93"/>
      <c r="AD25" s="91"/>
      <c r="AE25" s="94">
        <f t="shared" ref="AE25:AE50" si="60">+IFERROR(AF25/$K25,"-")</f>
        <v>0.44285714285714284</v>
      </c>
      <c r="AF25" s="92">
        <f>SUM(AF21:AF24)</f>
        <v>422678025</v>
      </c>
      <c r="AG25" s="92">
        <f>SUM(AG21:AG24)</f>
        <v>0</v>
      </c>
      <c r="AH25" s="92">
        <f t="shared" si="51"/>
        <v>422678025</v>
      </c>
      <c r="AI25" s="91"/>
      <c r="AJ25" s="93"/>
      <c r="AK25" s="91"/>
      <c r="AL25" s="94">
        <f t="shared" si="2"/>
        <v>0</v>
      </c>
      <c r="AM25" s="92">
        <f>SUM(AM21:AM24)</f>
        <v>0</v>
      </c>
      <c r="AN25" s="92">
        <f>SUM(AN21:AN24)</f>
        <v>0</v>
      </c>
      <c r="AO25" s="92">
        <f t="shared" si="52"/>
        <v>0</v>
      </c>
      <c r="AP25" s="91"/>
      <c r="AQ25" s="93"/>
      <c r="AR25" s="91"/>
      <c r="AS25" s="94">
        <f t="shared" ref="AS25:AS50" si="61">+IFERROR(AT25/$K25,"-")</f>
        <v>0</v>
      </c>
      <c r="AT25" s="92">
        <f>SUM(AT21:AT24)</f>
        <v>0</v>
      </c>
      <c r="AU25" s="92">
        <f>SUM(AU21:AU24)</f>
        <v>0</v>
      </c>
      <c r="AV25" s="92">
        <f t="shared" si="53"/>
        <v>0</v>
      </c>
      <c r="AW25" s="91"/>
      <c r="AX25" s="93"/>
      <c r="AY25" s="91"/>
      <c r="AZ25" s="94">
        <f t="shared" ref="AZ25:AZ50" si="62">+IFERROR(BA25/$K25,"-")</f>
        <v>0</v>
      </c>
      <c r="BA25" s="92">
        <f>SUM(BA21:BA24)</f>
        <v>0</v>
      </c>
      <c r="BB25" s="92">
        <f>SUM(BB21:BB24)</f>
        <v>0</v>
      </c>
      <c r="BC25" s="92">
        <f t="shared" si="54"/>
        <v>0</v>
      </c>
      <c r="BD25" s="91"/>
      <c r="BE25" s="93"/>
      <c r="BF25" s="91"/>
      <c r="BG25" s="94">
        <f>+IFERROR(BH25/$K25,"-")</f>
        <v>0.24</v>
      </c>
      <c r="BH25" s="92">
        <f>SUM(BH21:BH24)</f>
        <v>229064220</v>
      </c>
      <c r="BI25" s="92">
        <f>SUM(BI21:BI24)</f>
        <v>0</v>
      </c>
      <c r="BJ25" s="92">
        <f t="shared" si="55"/>
        <v>229064220</v>
      </c>
      <c r="BK25" s="91"/>
      <c r="BL25" s="93"/>
      <c r="BM25" s="91"/>
      <c r="BN25" s="94">
        <f t="shared" si="56"/>
        <v>0.20285714285714285</v>
      </c>
      <c r="BO25" s="92">
        <f>SUM(BO21:BO24)</f>
        <v>193613805</v>
      </c>
      <c r="BP25" s="92">
        <f>SUM(BP21:BP24)</f>
        <v>0</v>
      </c>
      <c r="BQ25" s="92">
        <f t="shared" si="57"/>
        <v>193613805</v>
      </c>
      <c r="BR25" s="91"/>
      <c r="BS25" s="88"/>
      <c r="BT25" s="96"/>
      <c r="BU25" s="96"/>
      <c r="BV25" s="139"/>
      <c r="BW25" s="54"/>
      <c r="BX25" s="54"/>
      <c r="BY25" s="54"/>
      <c r="BZ25" s="54"/>
      <c r="CA25" s="54"/>
      <c r="CB25" s="54"/>
      <c r="CC25" s="54"/>
      <c r="CD25" s="54"/>
      <c r="CE25" s="58"/>
      <c r="CF25" s="58"/>
    </row>
    <row r="26" spans="1:84" ht="16.5" customHeight="1">
      <c r="A26" s="62"/>
      <c r="B26" s="1322">
        <f>+B21+1</f>
        <v>4</v>
      </c>
      <c r="C26" s="1579" t="s">
        <v>159</v>
      </c>
      <c r="D26" s="1584" t="s">
        <v>939</v>
      </c>
      <c r="E26" s="1586" t="s">
        <v>1038</v>
      </c>
      <c r="F26" s="1343">
        <v>151.13</v>
      </c>
      <c r="G26" s="1324" t="s">
        <v>888</v>
      </c>
      <c r="H26" s="63" t="s">
        <v>388</v>
      </c>
      <c r="I26" s="64">
        <f>+'[10]Bolt Taeyanggwang 7HO'!G21</f>
        <v>158686500</v>
      </c>
      <c r="J26" s="64">
        <f>+I26*10%</f>
        <v>15868650</v>
      </c>
      <c r="K26" s="64">
        <f>SUM(I26:J26)</f>
        <v>174555150</v>
      </c>
      <c r="L26" s="63">
        <f t="shared" si="48"/>
        <v>0</v>
      </c>
      <c r="M26" s="134">
        <f>+IFERROR('Dropped Project'!S26+'Dropped Project'!Z26+'Dropped Project'!AG26+'Dropped Project'!AN26+'Dropped Project'!BB26+'Dropped Project'!BI26,"-")</f>
        <v>0</v>
      </c>
      <c r="N26" s="134">
        <f t="shared" ref="N26:N44" si="63">+K26-M26</f>
        <v>174555150</v>
      </c>
      <c r="O26" s="67"/>
      <c r="P26" s="160"/>
      <c r="Q26" s="135"/>
      <c r="R26" s="134">
        <f>+'Dropped Project'!$K26*지급비율!G20</f>
        <v>0</v>
      </c>
      <c r="S26" s="134"/>
      <c r="T26" s="134">
        <f t="shared" ref="T26:T45" si="64">+R26-S26</f>
        <v>0</v>
      </c>
      <c r="U26" s="145"/>
      <c r="V26" s="67"/>
      <c r="W26" s="160"/>
      <c r="X26" s="135"/>
      <c r="Y26" s="134">
        <f>+'Dropped Project'!$K26*지급비율!N20</f>
        <v>0</v>
      </c>
      <c r="Z26" s="134"/>
      <c r="AA26" s="134">
        <f t="shared" ref="AA26:AA45" si="65">+Y26-Z26</f>
        <v>0</v>
      </c>
      <c r="AB26" s="145"/>
      <c r="AC26" s="67">
        <f>+EDATE(AJ26,-1)+1</f>
        <v>45960</v>
      </c>
      <c r="AD26" s="160"/>
      <c r="AE26" s="135">
        <f>+IFERROR(AF26/'Dropped Project'!$K26,"-")</f>
        <v>0.5</v>
      </c>
      <c r="AF26" s="134">
        <f>+'Dropped Project'!$K26*지급비율!U20</f>
        <v>87277575</v>
      </c>
      <c r="AG26" s="134">
        <v>0</v>
      </c>
      <c r="AH26" s="134">
        <f t="shared" ref="AH26:AH45" si="66">+AF26-AG26</f>
        <v>87277575</v>
      </c>
      <c r="AI26" s="145"/>
      <c r="AJ26" s="67">
        <f>+EDATE(AQ26,-1)</f>
        <v>45990</v>
      </c>
      <c r="AK26" s="160"/>
      <c r="AL26" s="135">
        <f>+IFERROR(AM26/'Dropped Project'!$K26,"-")</f>
        <v>0</v>
      </c>
      <c r="AM26" s="134">
        <f>+'Dropped Project'!$K26*지급비율!AB20</f>
        <v>0</v>
      </c>
      <c r="AN26" s="134">
        <v>0</v>
      </c>
      <c r="AO26" s="134">
        <f t="shared" ref="AO26:AO45" si="67">+AM26-AN26</f>
        <v>0</v>
      </c>
      <c r="AP26" s="145"/>
      <c r="AQ26" s="67">
        <f>+EDATE(AX26,-1)+1</f>
        <v>46020</v>
      </c>
      <c r="AR26" s="160"/>
      <c r="AS26" s="135">
        <f>+IFERROR(AT26/'Dropped Project'!$K26,"-")</f>
        <v>0</v>
      </c>
      <c r="AT26" s="134">
        <f>+'Dropped Project'!$K26*지급비율!AI20</f>
        <v>0</v>
      </c>
      <c r="AU26" s="134">
        <v>0</v>
      </c>
      <c r="AV26" s="134">
        <f t="shared" ref="AV26:AV45" si="68">+AT26-AU26</f>
        <v>0</v>
      </c>
      <c r="AW26" s="145"/>
      <c r="AX26" s="67">
        <f>+EDATE(BE26,-1)</f>
        <v>46050</v>
      </c>
      <c r="AY26" s="160"/>
      <c r="AZ26" s="135">
        <f>+IFERROR(BA26/'Dropped Project'!$K26,"-")</f>
        <v>0</v>
      </c>
      <c r="BA26" s="134">
        <f>+'Dropped Project'!$K26*지급비율!AP20</f>
        <v>0</v>
      </c>
      <c r="BB26" s="134">
        <v>0</v>
      </c>
      <c r="BC26" s="134">
        <f t="shared" ref="BC26:BC45" si="69">+BA26-BB26</f>
        <v>0</v>
      </c>
      <c r="BD26" s="145"/>
      <c r="BE26" s="67">
        <f>+EDATE(BL26,-1)</f>
        <v>46081</v>
      </c>
      <c r="BF26" s="160"/>
      <c r="BG26" s="135">
        <f>+IFERROR(BH26/'Dropped Project'!$K26,"-")</f>
        <v>0.4</v>
      </c>
      <c r="BH26" s="134">
        <f>+'Dropped Project'!$K26*지급비율!AW20</f>
        <v>69822060</v>
      </c>
      <c r="BI26" s="134">
        <v>0</v>
      </c>
      <c r="BJ26" s="134">
        <f t="shared" ref="BJ26:BJ45" si="70">+BH26-BI26</f>
        <v>69822060</v>
      </c>
      <c r="BK26" s="145"/>
      <c r="BL26" s="78">
        <v>46112</v>
      </c>
      <c r="BM26" s="160"/>
      <c r="BN26" s="79">
        <f>+IFERROR(BO26/'Dropped Project'!$K26,"-")</f>
        <v>0.1</v>
      </c>
      <c r="BO26" s="134">
        <f>+'Dropped Project'!$K26*지급비율!BD20</f>
        <v>17455515</v>
      </c>
      <c r="BP26" s="134">
        <v>0</v>
      </c>
      <c r="BQ26" s="134">
        <f t="shared" ref="BQ26:BQ45" si="71">+BO26-BP26</f>
        <v>17455515</v>
      </c>
      <c r="BR26" s="145"/>
      <c r="BS26" s="73"/>
      <c r="BT26" s="74" t="b">
        <f>+'Dropped Project'!R26+'Dropped Project'!Y26+'Dropped Project'!AF26+'Dropped Project'!AT26+'Dropped Project'!BA26+'Dropped Project'!BH26+'Dropped Project'!BO26='Dropped Project'!K26</f>
        <v>1</v>
      </c>
      <c r="BU26" s="74" t="b">
        <f>+'Dropped Project'!S26+'Dropped Project'!Z26+'Dropped Project'!AG26+'Dropped Project'!AU26+'Dropped Project'!BB26+'Dropped Project'!BI26+'Dropped Project'!BP26='Dropped Project'!M26</f>
        <v>1</v>
      </c>
      <c r="BV26" s="74"/>
      <c r="BW26" s="54"/>
      <c r="BX26" s="54"/>
      <c r="BY26" s="54"/>
      <c r="BZ26" s="54"/>
      <c r="CA26" s="54"/>
      <c r="CB26" s="54"/>
      <c r="CC26" s="54"/>
      <c r="CD26" s="54"/>
      <c r="CE26" s="58"/>
      <c r="CF26" s="58"/>
    </row>
    <row r="27" spans="1:84" ht="16.5" customHeight="1">
      <c r="A27" s="62"/>
      <c r="B27" s="1322"/>
      <c r="C27" s="1579"/>
      <c r="D27" s="1584"/>
      <c r="E27" s="1586"/>
      <c r="F27" s="1344"/>
      <c r="G27" s="1324"/>
      <c r="H27" s="75" t="s">
        <v>389</v>
      </c>
      <c r="I27" s="76">
        <f>+'[10]Bolt Taeyanggwang 7HO'!G22</f>
        <v>45339000</v>
      </c>
      <c r="J27" s="76">
        <f>+I27*10%</f>
        <v>4533900</v>
      </c>
      <c r="K27" s="76">
        <f>SUM(I27:J27)</f>
        <v>49872900</v>
      </c>
      <c r="L27" s="75">
        <f t="shared" si="48"/>
        <v>0.9</v>
      </c>
      <c r="M27" s="80">
        <f>+IFERROR('Dropped Project'!S27+'Dropped Project'!Z27+'Dropped Project'!AG27+'Dropped Project'!AN27+'Dropped Project'!BB27+'Dropped Project'!BI27,"-")</f>
        <v>44885610</v>
      </c>
      <c r="N27" s="80">
        <f t="shared" si="63"/>
        <v>4987290</v>
      </c>
      <c r="O27" s="78">
        <f>+P27</f>
        <v>45679</v>
      </c>
      <c r="P27" s="78">
        <v>45679</v>
      </c>
      <c r="Q27" s="79">
        <f>+IFERROR(R27/'Dropped Project'!$K27,"-")</f>
        <v>0.2</v>
      </c>
      <c r="R27" s="80">
        <f>+'Dropped Project'!$K27*지급비율!G21</f>
        <v>9974580</v>
      </c>
      <c r="S27" s="80">
        <v>9974580</v>
      </c>
      <c r="T27" s="80">
        <f t="shared" si="64"/>
        <v>0</v>
      </c>
      <c r="U27" s="161"/>
      <c r="V27" s="78">
        <v>45791</v>
      </c>
      <c r="W27" s="78">
        <v>45791</v>
      </c>
      <c r="X27" s="79">
        <f>+IFERROR(Y27/'Dropped Project'!$K27,"-")</f>
        <v>0.2</v>
      </c>
      <c r="Y27" s="80">
        <f>+'Dropped Project'!$K27*지급비율!N21</f>
        <v>9974580</v>
      </c>
      <c r="Z27" s="80">
        <v>9974580</v>
      </c>
      <c r="AA27" s="80">
        <f t="shared" si="65"/>
        <v>0</v>
      </c>
      <c r="AB27" s="161"/>
      <c r="AC27" s="78">
        <v>45820</v>
      </c>
      <c r="AD27" s="78">
        <v>45820</v>
      </c>
      <c r="AE27" s="79">
        <f>+IFERROR(AF27/'Dropped Project'!$K27,"-")</f>
        <v>0.5</v>
      </c>
      <c r="AF27" s="80">
        <f>+'Dropped Project'!$K27*지급비율!U21</f>
        <v>24936450</v>
      </c>
      <c r="AG27" s="80">
        <v>24936450</v>
      </c>
      <c r="AH27" s="80">
        <f t="shared" si="66"/>
        <v>0</v>
      </c>
      <c r="AI27" s="161"/>
      <c r="AJ27" s="78"/>
      <c r="AK27" s="78"/>
      <c r="AL27" s="79">
        <f>+IFERROR(AM27/'Dropped Project'!$K27,"-")</f>
        <v>0</v>
      </c>
      <c r="AM27" s="80">
        <f>+'Dropped Project'!$K27*지급비율!AB21</f>
        <v>0</v>
      </c>
      <c r="AN27" s="80">
        <v>0</v>
      </c>
      <c r="AO27" s="80">
        <f t="shared" si="67"/>
        <v>0</v>
      </c>
      <c r="AP27" s="81"/>
      <c r="AQ27" s="78"/>
      <c r="AR27" s="78"/>
      <c r="AS27" s="79"/>
      <c r="AT27" s="80">
        <f>+'Dropped Project'!$K27*지급비율!AI21</f>
        <v>0</v>
      </c>
      <c r="AU27" s="80"/>
      <c r="AV27" s="80">
        <f t="shared" si="68"/>
        <v>0</v>
      </c>
      <c r="AW27" s="81"/>
      <c r="AX27" s="78"/>
      <c r="AY27" s="78"/>
      <c r="AZ27" s="79"/>
      <c r="BA27" s="80">
        <f>+'Dropped Project'!$K27*지급비율!AP21</f>
        <v>0</v>
      </c>
      <c r="BB27" s="80"/>
      <c r="BC27" s="80">
        <f t="shared" si="69"/>
        <v>0</v>
      </c>
      <c r="BD27" s="81"/>
      <c r="BE27" s="78"/>
      <c r="BF27" s="78"/>
      <c r="BG27" s="79"/>
      <c r="BH27" s="80">
        <f>+'Dropped Project'!$K27*지급비율!AW21</f>
        <v>0</v>
      </c>
      <c r="BI27" s="80"/>
      <c r="BJ27" s="80">
        <f t="shared" si="70"/>
        <v>0</v>
      </c>
      <c r="BK27" s="81"/>
      <c r="BL27" s="78">
        <v>46112</v>
      </c>
      <c r="BM27" s="78"/>
      <c r="BN27" s="79">
        <f>+IFERROR(BO27/'Dropped Project'!$K27,"-")</f>
        <v>0.1</v>
      </c>
      <c r="BO27" s="80">
        <f>+'Dropped Project'!$K27*지급비율!BD21</f>
        <v>4987290</v>
      </c>
      <c r="BP27" s="80">
        <v>0</v>
      </c>
      <c r="BQ27" s="80">
        <f t="shared" si="71"/>
        <v>4987290</v>
      </c>
      <c r="BR27" s="81"/>
      <c r="BS27" s="73"/>
      <c r="BT27" s="74" t="b">
        <f>+'Dropped Project'!R27+'Dropped Project'!Y27+'Dropped Project'!AF27+'Dropped Project'!AT27+'Dropped Project'!BA27+'Dropped Project'!BH27+'Dropped Project'!BO27='Dropped Project'!K27</f>
        <v>1</v>
      </c>
      <c r="BU27" s="74" t="b">
        <f>+'Dropped Project'!S27+'Dropped Project'!Z27+'Dropped Project'!AG27+'Dropped Project'!AU27+'Dropped Project'!BB27+'Dropped Project'!BI27+'Dropped Project'!BP27='Dropped Project'!M27</f>
        <v>1</v>
      </c>
      <c r="BV27" s="74"/>
      <c r="BW27" s="54"/>
      <c r="BX27" s="54"/>
      <c r="BY27" s="54"/>
      <c r="BZ27" s="54"/>
      <c r="CA27" s="54"/>
      <c r="CB27" s="54"/>
      <c r="CC27" s="54"/>
      <c r="CD27" s="54"/>
      <c r="CE27" s="58"/>
      <c r="CF27" s="58"/>
    </row>
    <row r="28" spans="1:84" ht="16.5" customHeight="1">
      <c r="A28" s="62"/>
      <c r="B28" s="1322"/>
      <c r="C28" s="1579"/>
      <c r="D28" s="1584"/>
      <c r="E28" s="1586"/>
      <c r="F28" s="1344"/>
      <c r="G28" s="1324"/>
      <c r="H28" s="75" t="s">
        <v>390</v>
      </c>
      <c r="I28" s="76">
        <f>+'[10]Bolt Taeyanggwang 7HO'!G23</f>
        <v>30226000</v>
      </c>
      <c r="J28" s="76">
        <f>+I28*10%</f>
        <v>3022600</v>
      </c>
      <c r="K28" s="76">
        <f>SUM(I28:J28)</f>
        <v>33248600</v>
      </c>
      <c r="L28" s="75">
        <f t="shared" si="48"/>
        <v>0.9</v>
      </c>
      <c r="M28" s="80">
        <f>+IFERROR('Dropped Project'!S28+'Dropped Project'!Z28+'Dropped Project'!AG28+'Dropped Project'!AN28+'Dropped Project'!BB28+'Dropped Project'!BI28,"-")</f>
        <v>29923740</v>
      </c>
      <c r="N28" s="80">
        <f t="shared" si="63"/>
        <v>3324860</v>
      </c>
      <c r="O28" s="78">
        <f>+P28</f>
        <v>45679</v>
      </c>
      <c r="P28" s="78">
        <f>P27</f>
        <v>45679</v>
      </c>
      <c r="Q28" s="79">
        <f>+IFERROR(R28/'Dropped Project'!$K28,"-")</f>
        <v>0.2</v>
      </c>
      <c r="R28" s="80">
        <f>+'Dropped Project'!$K28*지급비율!G22</f>
        <v>6649720</v>
      </c>
      <c r="S28" s="80">
        <f>+'Dropped Project'!K28*20%</f>
        <v>6649720</v>
      </c>
      <c r="T28" s="80">
        <f t="shared" si="64"/>
        <v>0</v>
      </c>
      <c r="U28" s="161"/>
      <c r="V28" s="78">
        <v>45791</v>
      </c>
      <c r="W28" s="78">
        <v>45791</v>
      </c>
      <c r="X28" s="79">
        <f>+IFERROR(Y28/'Dropped Project'!$K28,"-")</f>
        <v>0.2</v>
      </c>
      <c r="Y28" s="80">
        <f>+'Dropped Project'!$K28*지급비율!N22</f>
        <v>6649720</v>
      </c>
      <c r="Z28" s="80">
        <v>6649720</v>
      </c>
      <c r="AA28" s="80">
        <f t="shared" si="65"/>
        <v>0</v>
      </c>
      <c r="AB28" s="161"/>
      <c r="AC28" s="78">
        <v>45820</v>
      </c>
      <c r="AD28" s="78">
        <v>45820</v>
      </c>
      <c r="AE28" s="79">
        <f>+IFERROR(AF28/'Dropped Project'!$K28,"-")</f>
        <v>0.5</v>
      </c>
      <c r="AF28" s="80">
        <f>+'Dropped Project'!$K28*지급비율!U22</f>
        <v>16624300</v>
      </c>
      <c r="AG28" s="80">
        <v>16624300</v>
      </c>
      <c r="AH28" s="80">
        <f t="shared" si="66"/>
        <v>0</v>
      </c>
      <c r="AI28" s="161"/>
      <c r="AJ28" s="72"/>
      <c r="AK28" s="78"/>
      <c r="AL28" s="79">
        <f>+IFERROR(AM28/'Dropped Project'!$K28,"-")</f>
        <v>0</v>
      </c>
      <c r="AM28" s="80">
        <f>+'Dropped Project'!$K28*지급비율!AB22</f>
        <v>0</v>
      </c>
      <c r="AN28" s="80">
        <v>0</v>
      </c>
      <c r="AO28" s="80">
        <f t="shared" si="67"/>
        <v>0</v>
      </c>
      <c r="AP28" s="81"/>
      <c r="AQ28" s="72"/>
      <c r="AR28" s="78"/>
      <c r="AS28" s="79"/>
      <c r="AT28" s="80">
        <f>+'Dropped Project'!$K28*지급비율!AI22</f>
        <v>0</v>
      </c>
      <c r="AU28" s="80"/>
      <c r="AV28" s="80">
        <f t="shared" si="68"/>
        <v>0</v>
      </c>
      <c r="AW28" s="81"/>
      <c r="AX28" s="72"/>
      <c r="AY28" s="78"/>
      <c r="AZ28" s="79"/>
      <c r="BA28" s="80">
        <f>+'Dropped Project'!$K28*지급비율!AP22</f>
        <v>0</v>
      </c>
      <c r="BB28" s="80"/>
      <c r="BC28" s="80">
        <f t="shared" si="69"/>
        <v>0</v>
      </c>
      <c r="BD28" s="81"/>
      <c r="BE28" s="72"/>
      <c r="BF28" s="72"/>
      <c r="BG28" s="79"/>
      <c r="BH28" s="80">
        <f>+'Dropped Project'!$K28*지급비율!AW22</f>
        <v>0</v>
      </c>
      <c r="BI28" s="80"/>
      <c r="BJ28" s="80">
        <f t="shared" si="70"/>
        <v>0</v>
      </c>
      <c r="BK28" s="81"/>
      <c r="BL28" s="78">
        <v>46112</v>
      </c>
      <c r="BM28" s="78"/>
      <c r="BN28" s="79">
        <f>+IFERROR(BO28/'Dropped Project'!$K28,"-")</f>
        <v>0.1</v>
      </c>
      <c r="BO28" s="80">
        <f>+'Dropped Project'!$K28*지급비율!BD22</f>
        <v>3324860</v>
      </c>
      <c r="BP28" s="80">
        <v>0</v>
      </c>
      <c r="BQ28" s="80">
        <f t="shared" si="71"/>
        <v>3324860</v>
      </c>
      <c r="BR28" s="81"/>
      <c r="BS28" s="73"/>
      <c r="BT28" s="74" t="b">
        <f>+'Dropped Project'!R28+'Dropped Project'!Y28+'Dropped Project'!AF28+'Dropped Project'!AT28+'Dropped Project'!BA28+'Dropped Project'!BH28+'Dropped Project'!BO28='Dropped Project'!K28</f>
        <v>1</v>
      </c>
      <c r="BU28" s="74" t="b">
        <f>+'Dropped Project'!S28+'Dropped Project'!Z28+'Dropped Project'!AG28+'Dropped Project'!AU28+'Dropped Project'!BB28+'Dropped Project'!BI28+'Dropped Project'!BP28='Dropped Project'!M28</f>
        <v>1</v>
      </c>
      <c r="BV28" s="74"/>
      <c r="BW28" s="54"/>
      <c r="BX28" s="54"/>
      <c r="BY28" s="54"/>
      <c r="BZ28" s="54"/>
      <c r="CA28" s="54"/>
      <c r="CB28" s="54"/>
      <c r="CC28" s="54"/>
      <c r="CD28" s="54"/>
      <c r="CE28" s="58"/>
      <c r="CF28" s="58"/>
    </row>
    <row r="29" spans="1:84" ht="16.5" customHeight="1">
      <c r="A29" s="62"/>
      <c r="B29" s="1322"/>
      <c r="C29" s="1579"/>
      <c r="D29" s="1584"/>
      <c r="E29" s="1586"/>
      <c r="F29" s="1344"/>
      <c r="G29" s="1324"/>
      <c r="H29" s="101" t="s">
        <v>391</v>
      </c>
      <c r="I29" s="102">
        <f>+'[10]Bolt Taeyanggwang 7HO'!G24</f>
        <v>30226000</v>
      </c>
      <c r="J29" s="102">
        <f>+I29*0.1</f>
        <v>3022600</v>
      </c>
      <c r="K29" s="102">
        <f>SUM(I29:J29)</f>
        <v>33248600</v>
      </c>
      <c r="L29" s="101">
        <f t="shared" si="48"/>
        <v>0</v>
      </c>
      <c r="M29" s="106">
        <f>+IFERROR('Dropped Project'!S29+'Dropped Project'!Z29+'Dropped Project'!AG29+'Dropped Project'!AN29+'Dropped Project'!BB29+'Dropped Project'!BI29,"-")</f>
        <v>0</v>
      </c>
      <c r="N29" s="106">
        <f t="shared" si="63"/>
        <v>33248600</v>
      </c>
      <c r="O29" s="85"/>
      <c r="P29" s="101"/>
      <c r="Q29" s="105"/>
      <c r="R29" s="106">
        <f>+'Dropped Project'!$K29*지급비율!G23</f>
        <v>0</v>
      </c>
      <c r="S29" s="106"/>
      <c r="T29" s="106">
        <f t="shared" si="64"/>
        <v>0</v>
      </c>
      <c r="U29" s="101"/>
      <c r="V29" s="85"/>
      <c r="W29" s="101"/>
      <c r="X29" s="105"/>
      <c r="Y29" s="106">
        <f>+'Dropped Project'!$K29*지급비율!N23</f>
        <v>0</v>
      </c>
      <c r="Z29" s="106"/>
      <c r="AA29" s="106">
        <f t="shared" si="65"/>
        <v>0</v>
      </c>
      <c r="AB29" s="101"/>
      <c r="AC29" s="85"/>
      <c r="AD29" s="101"/>
      <c r="AE29" s="105"/>
      <c r="AF29" s="106">
        <f>+'Dropped Project'!$K29*지급비율!U23</f>
        <v>0</v>
      </c>
      <c r="AG29" s="106"/>
      <c r="AH29" s="106">
        <f t="shared" si="66"/>
        <v>0</v>
      </c>
      <c r="AI29" s="101"/>
      <c r="AJ29" s="85"/>
      <c r="AK29" s="101"/>
      <c r="AL29" s="105">
        <f>+IFERROR(AM29/'Dropped Project'!$K29,"-")</f>
        <v>0</v>
      </c>
      <c r="AM29" s="106">
        <f>+'Dropped Project'!$K29*지급비율!AB23</f>
        <v>0</v>
      </c>
      <c r="AN29" s="106">
        <v>0</v>
      </c>
      <c r="AO29" s="106">
        <f t="shared" si="67"/>
        <v>0</v>
      </c>
      <c r="AP29" s="101"/>
      <c r="AQ29" s="85"/>
      <c r="AR29" s="101"/>
      <c r="AS29" s="105"/>
      <c r="AT29" s="106">
        <f>+'Dropped Project'!$K29*지급비율!AI23</f>
        <v>0</v>
      </c>
      <c r="AU29" s="106"/>
      <c r="AV29" s="106">
        <f t="shared" si="68"/>
        <v>0</v>
      </c>
      <c r="AW29" s="101"/>
      <c r="AX29" s="85"/>
      <c r="AY29" s="101"/>
      <c r="AZ29" s="105"/>
      <c r="BA29" s="106">
        <f>+'Dropped Project'!$K29*지급비율!AP23</f>
        <v>0</v>
      </c>
      <c r="BB29" s="106"/>
      <c r="BC29" s="106">
        <f t="shared" si="69"/>
        <v>0</v>
      </c>
      <c r="BD29" s="101"/>
      <c r="BE29" s="85"/>
      <c r="BF29" s="101"/>
      <c r="BG29" s="105"/>
      <c r="BH29" s="106">
        <f>+'Dropped Project'!$K29*지급비율!AW23</f>
        <v>0</v>
      </c>
      <c r="BI29" s="106"/>
      <c r="BJ29" s="106">
        <f t="shared" si="70"/>
        <v>0</v>
      </c>
      <c r="BK29" s="101"/>
      <c r="BL29" s="104">
        <v>46112</v>
      </c>
      <c r="BM29" s="101"/>
      <c r="BN29" s="105">
        <f>+IFERROR(BO29/'Dropped Project'!$K29,"-")</f>
        <v>1</v>
      </c>
      <c r="BO29" s="106">
        <f>+'Dropped Project'!$K29*지급비율!BD23</f>
        <v>33248600</v>
      </c>
      <c r="BP29" s="106">
        <v>0</v>
      </c>
      <c r="BQ29" s="106">
        <f t="shared" si="71"/>
        <v>33248600</v>
      </c>
      <c r="BR29" s="101"/>
      <c r="BS29" s="88"/>
      <c r="BT29" s="89" t="b">
        <f>+'Dropped Project'!R29+'Dropped Project'!Y29+'Dropped Project'!AF29+'Dropped Project'!AT29+'Dropped Project'!BA29+'Dropped Project'!BH29+'Dropped Project'!BO29='Dropped Project'!K29</f>
        <v>1</v>
      </c>
      <c r="BU29" s="90" t="b">
        <f>+'Dropped Project'!S29+'Dropped Project'!Z29+'Dropped Project'!AG29+'Dropped Project'!AU29+'Dropped Project'!BB29+'Dropped Project'!BI29+'Dropped Project'!BP29='Dropped Project'!M29</f>
        <v>1</v>
      </c>
      <c r="BV29" s="89"/>
      <c r="BW29" s="54"/>
      <c r="BX29" s="54"/>
      <c r="BY29" s="54"/>
      <c r="BZ29" s="54"/>
      <c r="CA29" s="54"/>
      <c r="CB29" s="54"/>
      <c r="CC29" s="54"/>
      <c r="CD29" s="54"/>
      <c r="CE29" s="58"/>
      <c r="CF29" s="58"/>
    </row>
    <row r="30" spans="1:84" ht="16.5" customHeight="1">
      <c r="A30" s="62"/>
      <c r="B30" s="1322"/>
      <c r="C30" s="1579"/>
      <c r="D30" s="1584"/>
      <c r="E30" s="1586"/>
      <c r="F30" s="1345"/>
      <c r="G30" s="1324"/>
      <c r="H30" s="91" t="s">
        <v>392</v>
      </c>
      <c r="I30" s="92">
        <f>SUM(I26:I29)</f>
        <v>264477500</v>
      </c>
      <c r="J30" s="92">
        <f>SUM(J26:J29)</f>
        <v>26447750</v>
      </c>
      <c r="K30" s="92">
        <f>SUM(K26:K29)</f>
        <v>290925250</v>
      </c>
      <c r="L30" s="91">
        <f t="shared" si="48"/>
        <v>0.25714285714285712</v>
      </c>
      <c r="M30" s="92">
        <f>SUM(M26:M29)</f>
        <v>74809350</v>
      </c>
      <c r="N30" s="92">
        <f>SUM(N26:N29)</f>
        <v>216115900</v>
      </c>
      <c r="O30" s="93"/>
      <c r="P30" s="91"/>
      <c r="Q30" s="94">
        <f>+IFERROR(R30/'Dropped Project'!$K30,"-")</f>
        <v>5.7142857142857141E-2</v>
      </c>
      <c r="R30" s="92">
        <f>SUM(R26:R29)</f>
        <v>16624300</v>
      </c>
      <c r="S30" s="170">
        <f>SUM(S26:S29)</f>
        <v>16624300</v>
      </c>
      <c r="T30" s="92">
        <f t="shared" si="64"/>
        <v>0</v>
      </c>
      <c r="U30" s="91"/>
      <c r="V30" s="93"/>
      <c r="W30" s="91"/>
      <c r="X30" s="94">
        <f>+IFERROR(Y30/'Dropped Project'!$K30,"-")</f>
        <v>5.7142857142857141E-2</v>
      </c>
      <c r="Y30" s="92">
        <f>SUM(Y26:Y29)</f>
        <v>16624300</v>
      </c>
      <c r="Z30" s="170">
        <f>SUM(Z26:Z29)</f>
        <v>16624300</v>
      </c>
      <c r="AA30" s="92">
        <f t="shared" si="65"/>
        <v>0</v>
      </c>
      <c r="AB30" s="91"/>
      <c r="AC30" s="93"/>
      <c r="AD30" s="91"/>
      <c r="AE30" s="94">
        <f>+IFERROR(AF30/'Dropped Project'!$K30,"-")</f>
        <v>0.44285714285714284</v>
      </c>
      <c r="AF30" s="92">
        <f>SUM(AF26:AF29)</f>
        <v>128838325</v>
      </c>
      <c r="AG30" s="170">
        <f>SUM(AG26:AG29)</f>
        <v>41560750</v>
      </c>
      <c r="AH30" s="92">
        <f t="shared" si="66"/>
        <v>87277575</v>
      </c>
      <c r="AI30" s="91"/>
      <c r="AJ30" s="93"/>
      <c r="AK30" s="91"/>
      <c r="AL30" s="94">
        <f>+IFERROR(AM30/'Dropped Project'!$K30,"-")</f>
        <v>0</v>
      </c>
      <c r="AM30" s="92">
        <f>SUM(AM26:AM29)</f>
        <v>0</v>
      </c>
      <c r="AN30" s="92">
        <f>SUM(AN26:AN29)</f>
        <v>0</v>
      </c>
      <c r="AO30" s="92">
        <f t="shared" si="67"/>
        <v>0</v>
      </c>
      <c r="AP30" s="91"/>
      <c r="AQ30" s="93"/>
      <c r="AR30" s="91"/>
      <c r="AS30" s="94">
        <f>+IFERROR(AT30/'Dropped Project'!$K30,"-")</f>
        <v>0</v>
      </c>
      <c r="AT30" s="92">
        <f>SUM(AT26:AT29)</f>
        <v>0</v>
      </c>
      <c r="AU30" s="92">
        <f>SUM(AU26:AU29)</f>
        <v>0</v>
      </c>
      <c r="AV30" s="92">
        <f t="shared" si="68"/>
        <v>0</v>
      </c>
      <c r="AW30" s="91"/>
      <c r="AX30" s="93"/>
      <c r="AY30" s="91"/>
      <c r="AZ30" s="94">
        <f>+IFERROR(BA30/'Dropped Project'!$K30,"-")</f>
        <v>0</v>
      </c>
      <c r="BA30" s="92">
        <f>SUM(BA26:BA29)</f>
        <v>0</v>
      </c>
      <c r="BB30" s="92">
        <f>SUM(BB26:BB29)</f>
        <v>0</v>
      </c>
      <c r="BC30" s="92">
        <f t="shared" si="69"/>
        <v>0</v>
      </c>
      <c r="BD30" s="91"/>
      <c r="BE30" s="93"/>
      <c r="BF30" s="91"/>
      <c r="BG30" s="94">
        <f>+IFERROR(BH30/'Dropped Project'!$K30,"-")</f>
        <v>0.24</v>
      </c>
      <c r="BH30" s="92">
        <f>SUM(BH26:BH29)</f>
        <v>69822060</v>
      </c>
      <c r="BI30" s="92">
        <f>SUM(BI26:BI29)</f>
        <v>0</v>
      </c>
      <c r="BJ30" s="92">
        <f t="shared" si="70"/>
        <v>69822060</v>
      </c>
      <c r="BK30" s="91"/>
      <c r="BL30" s="93"/>
      <c r="BM30" s="91"/>
      <c r="BN30" s="94">
        <f>+IFERROR(BO30/'Dropped Project'!$K30,"-")</f>
        <v>0.20285714285714285</v>
      </c>
      <c r="BO30" s="92">
        <f>SUM(BO26:BO29)</f>
        <v>59016265</v>
      </c>
      <c r="BP30" s="92">
        <f>SUM(BP26:BP29)</f>
        <v>0</v>
      </c>
      <c r="BQ30" s="92">
        <f t="shared" si="71"/>
        <v>59016265</v>
      </c>
      <c r="BR30" s="91"/>
      <c r="BS30" s="88"/>
      <c r="BT30" s="96"/>
      <c r="BU30" s="96"/>
      <c r="BV30" s="139"/>
      <c r="BW30" s="54"/>
      <c r="BX30" s="54"/>
      <c r="BY30" s="54"/>
      <c r="BZ30" s="54"/>
      <c r="CA30" s="54"/>
      <c r="CB30" s="54"/>
      <c r="CC30" s="54"/>
      <c r="CD30" s="54"/>
      <c r="CE30" s="58"/>
      <c r="CF30" s="58"/>
    </row>
    <row r="31" spans="1:84" ht="16.5" customHeight="1">
      <c r="A31" s="62"/>
      <c r="B31" s="1322">
        <f>+B26+1</f>
        <v>5</v>
      </c>
      <c r="C31" s="1579" t="s">
        <v>159</v>
      </c>
      <c r="D31" s="1584" t="s">
        <v>940</v>
      </c>
      <c r="E31" s="1586" t="s">
        <v>1039</v>
      </c>
      <c r="F31" s="1343">
        <v>71.680000000000007</v>
      </c>
      <c r="G31" s="1324" t="s">
        <v>888</v>
      </c>
      <c r="H31" s="63" t="s">
        <v>388</v>
      </c>
      <c r="I31" s="64">
        <f>+'[10]Bolt Taeyanggwang 7HO'!G26</f>
        <v>75264000</v>
      </c>
      <c r="J31" s="64">
        <f>+I31*10%</f>
        <v>7526400</v>
      </c>
      <c r="K31" s="64">
        <f>SUM(I31:J31)</f>
        <v>82790400</v>
      </c>
      <c r="L31" s="63">
        <f t="shared" si="48"/>
        <v>0</v>
      </c>
      <c r="M31" s="134">
        <f>+IFERROR('Dropped Project'!S31+'Dropped Project'!Z31+'Dropped Project'!AG31+'Dropped Project'!AN31+'Dropped Project'!BB31+'Dropped Project'!BI31,"-")</f>
        <v>0</v>
      </c>
      <c r="N31" s="134">
        <f t="shared" si="63"/>
        <v>82790400</v>
      </c>
      <c r="O31" s="67"/>
      <c r="P31" s="160"/>
      <c r="Q31" s="135"/>
      <c r="R31" s="134">
        <f>+'Dropped Project'!$K31*지급비율!G20</f>
        <v>0</v>
      </c>
      <c r="S31" s="134"/>
      <c r="T31" s="134">
        <f t="shared" si="64"/>
        <v>0</v>
      </c>
      <c r="U31" s="145"/>
      <c r="V31" s="67"/>
      <c r="W31" s="160"/>
      <c r="X31" s="135"/>
      <c r="Y31" s="134">
        <f>+'Dropped Project'!$K31*지급비율!N20</f>
        <v>0</v>
      </c>
      <c r="Z31" s="134"/>
      <c r="AA31" s="134">
        <f t="shared" si="65"/>
        <v>0</v>
      </c>
      <c r="AB31" s="145"/>
      <c r="AC31" s="67">
        <f>+EDATE(AJ31,-1)+1</f>
        <v>45960</v>
      </c>
      <c r="AD31" s="160"/>
      <c r="AE31" s="135">
        <f>+IFERROR(AF31/'Dropped Project'!$K31,"-")</f>
        <v>0.5</v>
      </c>
      <c r="AF31" s="134">
        <f>+'Dropped Project'!$K31*지급비율!U20</f>
        <v>41395200</v>
      </c>
      <c r="AG31" s="134">
        <v>0</v>
      </c>
      <c r="AH31" s="134">
        <f t="shared" si="66"/>
        <v>41395200</v>
      </c>
      <c r="AI31" s="145"/>
      <c r="AJ31" s="67">
        <f>+EDATE(AQ31,-1)</f>
        <v>45990</v>
      </c>
      <c r="AK31" s="160"/>
      <c r="AL31" s="135">
        <f>+IFERROR(AM31/'Dropped Project'!$K31,"-")</f>
        <v>0</v>
      </c>
      <c r="AM31" s="134">
        <f>+'Dropped Project'!$K31*지급비율!AB20</f>
        <v>0</v>
      </c>
      <c r="AN31" s="134">
        <v>0</v>
      </c>
      <c r="AO31" s="134">
        <f t="shared" si="67"/>
        <v>0</v>
      </c>
      <c r="AP31" s="145"/>
      <c r="AQ31" s="67">
        <f>+EDATE(AX31,-1)+1</f>
        <v>46020</v>
      </c>
      <c r="AR31" s="160"/>
      <c r="AS31" s="135">
        <f>+IFERROR(AT31/'Dropped Project'!$K31,"-")</f>
        <v>0</v>
      </c>
      <c r="AT31" s="134">
        <f>+'Dropped Project'!$K31*지급비율!AI20</f>
        <v>0</v>
      </c>
      <c r="AU31" s="134">
        <v>0</v>
      </c>
      <c r="AV31" s="134">
        <f t="shared" si="68"/>
        <v>0</v>
      </c>
      <c r="AW31" s="145"/>
      <c r="AX31" s="67">
        <f>+EDATE(BE31,-1)</f>
        <v>46050</v>
      </c>
      <c r="AY31" s="160"/>
      <c r="AZ31" s="135">
        <f>+IFERROR(BA31/'Dropped Project'!$K31,"-")</f>
        <v>0</v>
      </c>
      <c r="BA31" s="134">
        <f>+'Dropped Project'!$K31*지급비율!AP20</f>
        <v>0</v>
      </c>
      <c r="BB31" s="134">
        <v>0</v>
      </c>
      <c r="BC31" s="134">
        <f t="shared" si="69"/>
        <v>0</v>
      </c>
      <c r="BD31" s="145"/>
      <c r="BE31" s="67">
        <f>+EDATE(BL31,-1)</f>
        <v>46081</v>
      </c>
      <c r="BF31" s="160"/>
      <c r="BG31" s="135">
        <f>+IFERROR(BH31/'Dropped Project'!$K31,"-")</f>
        <v>0.4</v>
      </c>
      <c r="BH31" s="134">
        <f>+'Dropped Project'!$K31*지급비율!AW20</f>
        <v>33116160</v>
      </c>
      <c r="BI31" s="134">
        <v>0</v>
      </c>
      <c r="BJ31" s="134">
        <f t="shared" si="70"/>
        <v>33116160</v>
      </c>
      <c r="BK31" s="145"/>
      <c r="BL31" s="78">
        <v>46112</v>
      </c>
      <c r="BM31" s="160"/>
      <c r="BN31" s="79">
        <f>+IFERROR(BO31/'Dropped Project'!$K31,"-")</f>
        <v>0.1</v>
      </c>
      <c r="BO31" s="134">
        <f>+'Dropped Project'!$K31*지급비율!BD20</f>
        <v>8279040</v>
      </c>
      <c r="BP31" s="134">
        <v>0</v>
      </c>
      <c r="BQ31" s="134">
        <f t="shared" si="71"/>
        <v>8279040</v>
      </c>
      <c r="BR31" s="145"/>
      <c r="BS31" s="73"/>
      <c r="BT31" s="74" t="b">
        <f>+'Dropped Project'!R31+'Dropped Project'!Y31+'Dropped Project'!AF31+'Dropped Project'!AT31+'Dropped Project'!BA31+'Dropped Project'!BH31+'Dropped Project'!BO31='Dropped Project'!K31</f>
        <v>1</v>
      </c>
      <c r="BU31" s="74" t="b">
        <f>+'Dropped Project'!S31+'Dropped Project'!Z31+'Dropped Project'!AG31+'Dropped Project'!AU31+'Dropped Project'!BB31+'Dropped Project'!BI31+'Dropped Project'!BP31='Dropped Project'!M31</f>
        <v>1</v>
      </c>
      <c r="BV31" s="74"/>
      <c r="BW31" s="54"/>
      <c r="BX31" s="54"/>
      <c r="BY31" s="54"/>
      <c r="BZ31" s="54"/>
      <c r="CA31" s="54"/>
      <c r="CB31" s="54"/>
      <c r="CC31" s="54"/>
      <c r="CD31" s="54"/>
      <c r="CE31" s="58"/>
      <c r="CF31" s="58"/>
    </row>
    <row r="32" spans="1:84" ht="16.5" customHeight="1">
      <c r="A32" s="62"/>
      <c r="B32" s="1322"/>
      <c r="C32" s="1579"/>
      <c r="D32" s="1584"/>
      <c r="E32" s="1586"/>
      <c r="F32" s="1344"/>
      <c r="G32" s="1324"/>
      <c r="H32" s="75" t="s">
        <v>389</v>
      </c>
      <c r="I32" s="76">
        <f>+'[10]Bolt Taeyanggwang 7HO'!G27</f>
        <v>21504000.000000004</v>
      </c>
      <c r="J32" s="76">
        <f>+I32*10%</f>
        <v>2150400.0000000005</v>
      </c>
      <c r="K32" s="76">
        <f>SUM(I32:J32)</f>
        <v>23654400.000000004</v>
      </c>
      <c r="L32" s="75">
        <f t="shared" si="48"/>
        <v>0.39999999999999991</v>
      </c>
      <c r="M32" s="80">
        <f>+IFERROR('Dropped Project'!S32+'Dropped Project'!Z32+'Dropped Project'!AG32+'Dropped Project'!AN32+'Dropped Project'!BB32+'Dropped Project'!BI32,"-")</f>
        <v>9461760</v>
      </c>
      <c r="N32" s="80">
        <f t="shared" si="63"/>
        <v>14192640.000000004</v>
      </c>
      <c r="O32" s="78">
        <f>+P32</f>
        <v>45705</v>
      </c>
      <c r="P32" s="78">
        <v>45705</v>
      </c>
      <c r="Q32" s="79">
        <f>+IFERROR(R32/'Dropped Project'!$K32,"-")</f>
        <v>0.2</v>
      </c>
      <c r="R32" s="80">
        <f>+'Dropped Project'!$K32*지급비율!G21</f>
        <v>4730880.0000000009</v>
      </c>
      <c r="S32" s="80">
        <f>+'Dropped Project'!K32*20%</f>
        <v>4730880.0000000009</v>
      </c>
      <c r="T32" s="80">
        <f t="shared" si="64"/>
        <v>0</v>
      </c>
      <c r="U32" s="81"/>
      <c r="V32" s="78">
        <v>45820</v>
      </c>
      <c r="W32" s="78">
        <v>45820</v>
      </c>
      <c r="X32" s="79">
        <f>+IFERROR(Y32/'Dropped Project'!$K32,"-")</f>
        <v>0.2</v>
      </c>
      <c r="Y32" s="80">
        <f>+'Dropped Project'!$K32*지급비율!N21</f>
        <v>4730880.0000000009</v>
      </c>
      <c r="Z32" s="80">
        <v>4730880</v>
      </c>
      <c r="AA32" s="80">
        <f t="shared" si="65"/>
        <v>0</v>
      </c>
      <c r="AB32" s="161"/>
      <c r="AC32" s="284">
        <v>45900</v>
      </c>
      <c r="AD32" s="284"/>
      <c r="AE32" s="286">
        <f>+IFERROR(AF32/'Dropped Project'!$K32,"-")</f>
        <v>0.5</v>
      </c>
      <c r="AF32" s="290">
        <f>+'Dropped Project'!$K32*지급비율!U21</f>
        <v>11827200.000000002</v>
      </c>
      <c r="AG32" s="290">
        <v>0</v>
      </c>
      <c r="AH32" s="290">
        <f t="shared" si="66"/>
        <v>11827200.000000002</v>
      </c>
      <c r="AI32" s="288"/>
      <c r="AJ32" s="78"/>
      <c r="AK32" s="78"/>
      <c r="AL32" s="79">
        <f>+IFERROR(AM32/'Dropped Project'!$K32,"-")</f>
        <v>0</v>
      </c>
      <c r="AM32" s="80">
        <f>+'Dropped Project'!$K32*지급비율!AB21</f>
        <v>0</v>
      </c>
      <c r="AN32" s="80">
        <v>0</v>
      </c>
      <c r="AO32" s="80">
        <f t="shared" si="67"/>
        <v>0</v>
      </c>
      <c r="AP32" s="81"/>
      <c r="AQ32" s="78"/>
      <c r="AR32" s="78"/>
      <c r="AS32" s="79"/>
      <c r="AT32" s="80">
        <f>+'Dropped Project'!$K32*지급비율!AI21</f>
        <v>0</v>
      </c>
      <c r="AU32" s="80"/>
      <c r="AV32" s="80">
        <f t="shared" si="68"/>
        <v>0</v>
      </c>
      <c r="AW32" s="81"/>
      <c r="AX32" s="78"/>
      <c r="AY32" s="78"/>
      <c r="AZ32" s="79"/>
      <c r="BA32" s="80">
        <f>+'Dropped Project'!$K32*지급비율!AP21</f>
        <v>0</v>
      </c>
      <c r="BB32" s="80"/>
      <c r="BC32" s="80">
        <f t="shared" si="69"/>
        <v>0</v>
      </c>
      <c r="BD32" s="81"/>
      <c r="BE32" s="78"/>
      <c r="BF32" s="78"/>
      <c r="BG32" s="79"/>
      <c r="BH32" s="80">
        <f>+'Dropped Project'!$K32*지급비율!AW21</f>
        <v>0</v>
      </c>
      <c r="BI32" s="80"/>
      <c r="BJ32" s="80">
        <f t="shared" si="70"/>
        <v>0</v>
      </c>
      <c r="BK32" s="81"/>
      <c r="BL32" s="78">
        <v>46112</v>
      </c>
      <c r="BM32" s="78"/>
      <c r="BN32" s="79">
        <f>+IFERROR(BO32/'Dropped Project'!$K32,"-")</f>
        <v>0.1</v>
      </c>
      <c r="BO32" s="80">
        <f>+'Dropped Project'!$K32*지급비율!BD21</f>
        <v>2365440.0000000005</v>
      </c>
      <c r="BP32" s="80">
        <v>0</v>
      </c>
      <c r="BQ32" s="80">
        <f t="shared" si="71"/>
        <v>2365440.0000000005</v>
      </c>
      <c r="BR32" s="81"/>
      <c r="BS32" s="73"/>
      <c r="BT32" s="74" t="b">
        <f>+'Dropped Project'!R32+'Dropped Project'!Y32+'Dropped Project'!AF32+'Dropped Project'!AT32+'Dropped Project'!BA32+'Dropped Project'!BH32+'Dropped Project'!BO32='Dropped Project'!K32</f>
        <v>1</v>
      </c>
      <c r="BU32" s="74" t="b">
        <f>+'Dropped Project'!S32+'Dropped Project'!Z32+'Dropped Project'!AG32+'Dropped Project'!AU32+'Dropped Project'!BB32+'Dropped Project'!BI32+'Dropped Project'!BP32='Dropped Project'!M32</f>
        <v>1</v>
      </c>
      <c r="BV32" s="74"/>
      <c r="BW32" s="54"/>
      <c r="BX32" s="54"/>
      <c r="BY32" s="54"/>
      <c r="BZ32" s="54"/>
      <c r="CA32" s="54"/>
      <c r="CB32" s="54"/>
      <c r="CC32" s="54"/>
      <c r="CD32" s="54"/>
      <c r="CE32" s="58"/>
      <c r="CF32" s="58"/>
    </row>
    <row r="33" spans="1:84" ht="16.5" customHeight="1">
      <c r="A33" s="62"/>
      <c r="B33" s="1322"/>
      <c r="C33" s="1579"/>
      <c r="D33" s="1584"/>
      <c r="E33" s="1586"/>
      <c r="F33" s="1344"/>
      <c r="G33" s="1324"/>
      <c r="H33" s="75" t="s">
        <v>390</v>
      </c>
      <c r="I33" s="76">
        <f>+'[10]Bolt Taeyanggwang 7HO'!G28</f>
        <v>14336000.000000002</v>
      </c>
      <c r="J33" s="76">
        <f>+I33*10%</f>
        <v>1433600.0000000002</v>
      </c>
      <c r="K33" s="76">
        <f>SUM(I33:J33)</f>
        <v>15769600.000000002</v>
      </c>
      <c r="L33" s="75">
        <f t="shared" si="48"/>
        <v>0.40502232142857136</v>
      </c>
      <c r="M33" s="80">
        <f>+IFERROR('Dropped Project'!S33+'Dropped Project'!Z33+'Dropped Project'!AG33+'Dropped Project'!AN33+'Dropped Project'!BB33+'Dropped Project'!BI33,"-")</f>
        <v>6387040</v>
      </c>
      <c r="N33" s="80">
        <f t="shared" si="63"/>
        <v>9382560.0000000019</v>
      </c>
      <c r="O33" s="78">
        <f>+P33</f>
        <v>45705</v>
      </c>
      <c r="P33" s="78">
        <f>P32</f>
        <v>45705</v>
      </c>
      <c r="Q33" s="79">
        <f>+IFERROR(R33/'Dropped Project'!$K33,"-")</f>
        <v>0.2</v>
      </c>
      <c r="R33" s="80">
        <f>+'Dropped Project'!$K33*지급비율!G22</f>
        <v>3153920.0000000005</v>
      </c>
      <c r="S33" s="80">
        <f>+'Dropped Project'!K33*20%</f>
        <v>3153920.0000000005</v>
      </c>
      <c r="T33" s="80">
        <f t="shared" si="64"/>
        <v>0</v>
      </c>
      <c r="U33" s="81"/>
      <c r="V33" s="78">
        <v>45820</v>
      </c>
      <c r="W33" s="78">
        <v>45820</v>
      </c>
      <c r="X33" s="79">
        <f>+IFERROR(Y33/'Dropped Project'!$K33,"-")</f>
        <v>0.2</v>
      </c>
      <c r="Y33" s="80">
        <f>+'Dropped Project'!$K33*지급비율!N22</f>
        <v>3153920.0000000005</v>
      </c>
      <c r="Z33" s="80">
        <f>3153920+79200</f>
        <v>3233120</v>
      </c>
      <c r="AA33" s="80">
        <f t="shared" si="65"/>
        <v>-79199.999999999534</v>
      </c>
      <c r="AB33" s="161"/>
      <c r="AC33" s="284">
        <v>45900</v>
      </c>
      <c r="AD33" s="284"/>
      <c r="AE33" s="286">
        <f>+IFERROR(AF33/'Dropped Project'!$K33,"-")</f>
        <v>0.5</v>
      </c>
      <c r="AF33" s="290">
        <f>+'Dropped Project'!$K33*지급비율!U22</f>
        <v>7884800.0000000009</v>
      </c>
      <c r="AG33" s="290">
        <v>0</v>
      </c>
      <c r="AH33" s="290">
        <f t="shared" si="66"/>
        <v>7884800.0000000009</v>
      </c>
      <c r="AI33" s="288"/>
      <c r="AJ33" s="72"/>
      <c r="AK33" s="78"/>
      <c r="AL33" s="79">
        <f>+IFERROR(AM33/'Dropped Project'!$K33,"-")</f>
        <v>0</v>
      </c>
      <c r="AM33" s="80">
        <f>+'Dropped Project'!$K33*지급비율!AB22</f>
        <v>0</v>
      </c>
      <c r="AN33" s="80">
        <v>0</v>
      </c>
      <c r="AO33" s="80">
        <f t="shared" si="67"/>
        <v>0</v>
      </c>
      <c r="AP33" s="81"/>
      <c r="AQ33" s="72"/>
      <c r="AR33" s="78"/>
      <c r="AS33" s="79"/>
      <c r="AT33" s="80">
        <f>+'Dropped Project'!$K33*지급비율!AI22</f>
        <v>0</v>
      </c>
      <c r="AU33" s="80"/>
      <c r="AV33" s="80">
        <f t="shared" si="68"/>
        <v>0</v>
      </c>
      <c r="AW33" s="81"/>
      <c r="AX33" s="72"/>
      <c r="AY33" s="78"/>
      <c r="AZ33" s="79"/>
      <c r="BA33" s="80">
        <f>+'Dropped Project'!$K33*지급비율!AP22</f>
        <v>0</v>
      </c>
      <c r="BB33" s="80"/>
      <c r="BC33" s="80">
        <f t="shared" si="69"/>
        <v>0</v>
      </c>
      <c r="BD33" s="81"/>
      <c r="BE33" s="72"/>
      <c r="BF33" s="72"/>
      <c r="BG33" s="79"/>
      <c r="BH33" s="80">
        <f>+'Dropped Project'!$K33*지급비율!AW22</f>
        <v>0</v>
      </c>
      <c r="BI33" s="80"/>
      <c r="BJ33" s="80">
        <f t="shared" si="70"/>
        <v>0</v>
      </c>
      <c r="BK33" s="81"/>
      <c r="BL33" s="78">
        <v>46112</v>
      </c>
      <c r="BM33" s="78"/>
      <c r="BN33" s="79">
        <f>+IFERROR(BO33/'Dropped Project'!$K33,"-")</f>
        <v>0.1</v>
      </c>
      <c r="BO33" s="80">
        <f>+'Dropped Project'!$K33*지급비율!BD22</f>
        <v>1576960.0000000002</v>
      </c>
      <c r="BP33" s="80">
        <v>0</v>
      </c>
      <c r="BQ33" s="80">
        <f t="shared" si="71"/>
        <v>1576960.0000000002</v>
      </c>
      <c r="BR33" s="81"/>
      <c r="BS33" s="73"/>
      <c r="BT33" s="74" t="b">
        <f>+'Dropped Project'!R33+'Dropped Project'!Y33+'Dropped Project'!AF33+'Dropped Project'!AT33+'Dropped Project'!BA33+'Dropped Project'!BH33+'Dropped Project'!BO33='Dropped Project'!K33</f>
        <v>1</v>
      </c>
      <c r="BU33" s="74" t="b">
        <f>+'Dropped Project'!S33+'Dropped Project'!Z33+'Dropped Project'!AG33+'Dropped Project'!AU33+'Dropped Project'!BB33+'Dropped Project'!BI33+'Dropped Project'!BP33='Dropped Project'!M33</f>
        <v>1</v>
      </c>
      <c r="BV33" s="74"/>
      <c r="BW33" s="54"/>
      <c r="BX33" s="54"/>
      <c r="BY33" s="54"/>
      <c r="BZ33" s="54"/>
      <c r="CA33" s="54"/>
      <c r="CB33" s="54"/>
      <c r="CC33" s="54"/>
      <c r="CD33" s="54"/>
      <c r="CE33" s="58"/>
      <c r="CF33" s="58"/>
    </row>
    <row r="34" spans="1:84" ht="16.5" customHeight="1">
      <c r="A34" s="62"/>
      <c r="B34" s="1322"/>
      <c r="C34" s="1579"/>
      <c r="D34" s="1584"/>
      <c r="E34" s="1586"/>
      <c r="F34" s="1344"/>
      <c r="G34" s="1324"/>
      <c r="H34" s="101" t="s">
        <v>391</v>
      </c>
      <c r="I34" s="102">
        <f>+'[10]Bolt Taeyanggwang 7HO'!G29</f>
        <v>14336000.000000002</v>
      </c>
      <c r="J34" s="102">
        <f>+I34*0.1</f>
        <v>1433600.0000000002</v>
      </c>
      <c r="K34" s="102">
        <f>SUM(I34:J34)</f>
        <v>15769600.000000002</v>
      </c>
      <c r="L34" s="101">
        <f t="shared" si="48"/>
        <v>0</v>
      </c>
      <c r="M34" s="106">
        <f>+IFERROR('Dropped Project'!S34+'Dropped Project'!Z34+'Dropped Project'!AG34+'Dropped Project'!AN34+'Dropped Project'!BB34+'Dropped Project'!BI34,"-")</f>
        <v>0</v>
      </c>
      <c r="N34" s="106">
        <f t="shared" si="63"/>
        <v>15769600.000000002</v>
      </c>
      <c r="O34" s="85"/>
      <c r="P34" s="101"/>
      <c r="Q34" s="105"/>
      <c r="R34" s="106">
        <f>+'Dropped Project'!$K34*지급비율!G23</f>
        <v>0</v>
      </c>
      <c r="S34" s="106"/>
      <c r="T34" s="106">
        <f t="shared" si="64"/>
        <v>0</v>
      </c>
      <c r="U34" s="101"/>
      <c r="V34" s="85"/>
      <c r="W34" s="101"/>
      <c r="X34" s="105"/>
      <c r="Y34" s="106">
        <f>+'Dropped Project'!$K34*지급비율!N23</f>
        <v>0</v>
      </c>
      <c r="Z34" s="106"/>
      <c r="AA34" s="106">
        <f t="shared" si="65"/>
        <v>0</v>
      </c>
      <c r="AB34" s="101"/>
      <c r="AC34" s="85"/>
      <c r="AD34" s="101"/>
      <c r="AE34" s="105"/>
      <c r="AF34" s="106">
        <f>+'Dropped Project'!$K34*지급비율!U23</f>
        <v>0</v>
      </c>
      <c r="AG34" s="106"/>
      <c r="AH34" s="106">
        <f t="shared" si="66"/>
        <v>0</v>
      </c>
      <c r="AI34" s="101"/>
      <c r="AJ34" s="85"/>
      <c r="AK34" s="101"/>
      <c r="AL34" s="105">
        <f>+IFERROR(AM34/'Dropped Project'!$K34,"-")</f>
        <v>0</v>
      </c>
      <c r="AM34" s="106">
        <f>+'Dropped Project'!$K34*지급비율!AB23</f>
        <v>0</v>
      </c>
      <c r="AN34" s="106">
        <v>0</v>
      </c>
      <c r="AO34" s="106">
        <f t="shared" si="67"/>
        <v>0</v>
      </c>
      <c r="AP34" s="101"/>
      <c r="AQ34" s="85"/>
      <c r="AR34" s="101"/>
      <c r="AS34" s="105"/>
      <c r="AT34" s="106">
        <f>+'Dropped Project'!$K34*지급비율!AI23</f>
        <v>0</v>
      </c>
      <c r="AU34" s="106"/>
      <c r="AV34" s="106">
        <f t="shared" si="68"/>
        <v>0</v>
      </c>
      <c r="AW34" s="101"/>
      <c r="AX34" s="85"/>
      <c r="AY34" s="101"/>
      <c r="AZ34" s="105"/>
      <c r="BA34" s="106">
        <f>+'Dropped Project'!$K34*지급비율!AP23</f>
        <v>0</v>
      </c>
      <c r="BB34" s="106"/>
      <c r="BC34" s="106">
        <f t="shared" si="69"/>
        <v>0</v>
      </c>
      <c r="BD34" s="101"/>
      <c r="BE34" s="85"/>
      <c r="BF34" s="101"/>
      <c r="BG34" s="105"/>
      <c r="BH34" s="106">
        <f>+'Dropped Project'!$K34*지급비율!AW23</f>
        <v>0</v>
      </c>
      <c r="BI34" s="106"/>
      <c r="BJ34" s="106">
        <f t="shared" si="70"/>
        <v>0</v>
      </c>
      <c r="BK34" s="101"/>
      <c r="BL34" s="104">
        <v>46112</v>
      </c>
      <c r="BM34" s="101"/>
      <c r="BN34" s="105">
        <f>+IFERROR(BO34/'Dropped Project'!$K34,"-")</f>
        <v>1</v>
      </c>
      <c r="BO34" s="106">
        <f>+'Dropped Project'!$K34*지급비율!BD23</f>
        <v>15769600.000000002</v>
      </c>
      <c r="BP34" s="106">
        <v>0</v>
      </c>
      <c r="BQ34" s="106">
        <f t="shared" si="71"/>
        <v>15769600.000000002</v>
      </c>
      <c r="BR34" s="101"/>
      <c r="BS34" s="88"/>
      <c r="BT34" s="89" t="b">
        <f>+'Dropped Project'!R34+'Dropped Project'!Y34+'Dropped Project'!AF34+'Dropped Project'!AT34+'Dropped Project'!BA34+'Dropped Project'!BH34+'Dropped Project'!BO34='Dropped Project'!K34</f>
        <v>1</v>
      </c>
      <c r="BU34" s="90" t="b">
        <f>+'Dropped Project'!S34+'Dropped Project'!Z34+'Dropped Project'!AG34+'Dropped Project'!AU34+'Dropped Project'!BB34+'Dropped Project'!BI34+'Dropped Project'!BP34='Dropped Project'!M34</f>
        <v>1</v>
      </c>
      <c r="BV34" s="89"/>
      <c r="BW34" s="54"/>
      <c r="BX34" s="54"/>
      <c r="BY34" s="54"/>
      <c r="BZ34" s="54"/>
      <c r="CA34" s="54"/>
      <c r="CB34" s="54"/>
      <c r="CC34" s="54"/>
      <c r="CD34" s="54"/>
      <c r="CE34" s="58"/>
      <c r="CF34" s="58"/>
    </row>
    <row r="35" spans="1:84" ht="16.5" customHeight="1">
      <c r="A35" s="62"/>
      <c r="B35" s="1322"/>
      <c r="C35" s="1579"/>
      <c r="D35" s="1584"/>
      <c r="E35" s="1586"/>
      <c r="F35" s="1345"/>
      <c r="G35" s="1324"/>
      <c r="H35" s="91" t="s">
        <v>392</v>
      </c>
      <c r="I35" s="92">
        <f>SUM(I31:I34)</f>
        <v>125440000</v>
      </c>
      <c r="J35" s="92">
        <f>SUM(J31:J34)</f>
        <v>12544000</v>
      </c>
      <c r="K35" s="92">
        <f>SUM(K31:K34)</f>
        <v>137984000</v>
      </c>
      <c r="L35" s="91">
        <f t="shared" si="48"/>
        <v>0.11485969387755102</v>
      </c>
      <c r="M35" s="92">
        <f>SUM(M31:M34)</f>
        <v>15848800</v>
      </c>
      <c r="N35" s="92">
        <f>SUM(N31:N34)</f>
        <v>122135200</v>
      </c>
      <c r="O35" s="93"/>
      <c r="P35" s="91"/>
      <c r="Q35" s="94">
        <f>+IFERROR(R35/'Dropped Project'!$K35,"-")</f>
        <v>5.7142857142857155E-2</v>
      </c>
      <c r="R35" s="92">
        <f>SUM(R31:R34)</f>
        <v>7884800.0000000019</v>
      </c>
      <c r="S35" s="170">
        <f>SUM(S31:S34)</f>
        <v>7884800.0000000019</v>
      </c>
      <c r="T35" s="92">
        <f t="shared" si="64"/>
        <v>0</v>
      </c>
      <c r="U35" s="91"/>
      <c r="V35" s="93"/>
      <c r="W35" s="91"/>
      <c r="X35" s="94">
        <f>+IFERROR(Y35/'Dropped Project'!$K35,"-")</f>
        <v>5.7142857142857155E-2</v>
      </c>
      <c r="Y35" s="92">
        <f>SUM(Y31:Y34)</f>
        <v>7884800.0000000019</v>
      </c>
      <c r="Z35" s="170">
        <f>SUM(Z31:Z34)</f>
        <v>7964000</v>
      </c>
      <c r="AA35" s="92">
        <f t="shared" si="65"/>
        <v>-79199.999999998137</v>
      </c>
      <c r="AB35" s="91"/>
      <c r="AC35" s="93"/>
      <c r="AD35" s="91"/>
      <c r="AE35" s="94">
        <f>+IFERROR(AF35/'Dropped Project'!$K35,"-")</f>
        <v>0.44285714285714284</v>
      </c>
      <c r="AF35" s="92">
        <f>SUM(AF31:AF34)</f>
        <v>61107200</v>
      </c>
      <c r="AG35" s="92">
        <f>SUM(AG31:AG34)</f>
        <v>0</v>
      </c>
      <c r="AH35" s="92">
        <f t="shared" si="66"/>
        <v>61107200</v>
      </c>
      <c r="AI35" s="91"/>
      <c r="AJ35" s="93"/>
      <c r="AK35" s="91"/>
      <c r="AL35" s="94">
        <f>+IFERROR(AM35/'Dropped Project'!$K35,"-")</f>
        <v>0</v>
      </c>
      <c r="AM35" s="92">
        <f>SUM(AM31:AM34)</f>
        <v>0</v>
      </c>
      <c r="AN35" s="92">
        <f>SUM(AN31:AN34)</f>
        <v>0</v>
      </c>
      <c r="AO35" s="92">
        <f t="shared" si="67"/>
        <v>0</v>
      </c>
      <c r="AP35" s="91"/>
      <c r="AQ35" s="93"/>
      <c r="AR35" s="91"/>
      <c r="AS35" s="94">
        <f>+IFERROR(AT35/'Dropped Project'!$K35,"-")</f>
        <v>0</v>
      </c>
      <c r="AT35" s="92">
        <f>SUM(AT31:AT34)</f>
        <v>0</v>
      </c>
      <c r="AU35" s="92">
        <f>SUM(AU31:AU34)</f>
        <v>0</v>
      </c>
      <c r="AV35" s="92">
        <f t="shared" si="68"/>
        <v>0</v>
      </c>
      <c r="AW35" s="91"/>
      <c r="AX35" s="93"/>
      <c r="AY35" s="91"/>
      <c r="AZ35" s="94">
        <f>+IFERROR(BA35/'Dropped Project'!$K35,"-")</f>
        <v>0</v>
      </c>
      <c r="BA35" s="92">
        <f>SUM(BA31:BA34)</f>
        <v>0</v>
      </c>
      <c r="BB35" s="92">
        <f>SUM(BB31:BB34)</f>
        <v>0</v>
      </c>
      <c r="BC35" s="92">
        <f t="shared" si="69"/>
        <v>0</v>
      </c>
      <c r="BD35" s="91"/>
      <c r="BE35" s="93"/>
      <c r="BF35" s="91"/>
      <c r="BG35" s="94">
        <f>+IFERROR(BH35/'Dropped Project'!$K35,"-")</f>
        <v>0.24</v>
      </c>
      <c r="BH35" s="92">
        <f>SUM(BH31:BH34)</f>
        <v>33116160</v>
      </c>
      <c r="BI35" s="92">
        <f>SUM(BI31:BI34)</f>
        <v>0</v>
      </c>
      <c r="BJ35" s="92">
        <f t="shared" si="70"/>
        <v>33116160</v>
      </c>
      <c r="BK35" s="91"/>
      <c r="BL35" s="93"/>
      <c r="BM35" s="91"/>
      <c r="BN35" s="94">
        <f>+IFERROR(BO35/'Dropped Project'!$K35,"-")</f>
        <v>0.20285714285714285</v>
      </c>
      <c r="BO35" s="92">
        <f>SUM(BO31:BO34)</f>
        <v>27991040</v>
      </c>
      <c r="BP35" s="92">
        <f>SUM(BP31:BP34)</f>
        <v>0</v>
      </c>
      <c r="BQ35" s="92">
        <f t="shared" si="71"/>
        <v>27991040</v>
      </c>
      <c r="BR35" s="91"/>
      <c r="BS35" s="88"/>
      <c r="BT35" s="96"/>
      <c r="BU35" s="96"/>
      <c r="BV35" s="139"/>
      <c r="BW35" s="54"/>
      <c r="BX35" s="54"/>
      <c r="BY35" s="54"/>
      <c r="BZ35" s="54"/>
      <c r="CA35" s="54"/>
      <c r="CB35" s="54"/>
      <c r="CC35" s="54"/>
      <c r="CD35" s="54"/>
      <c r="CE35" s="58"/>
      <c r="CF35" s="58"/>
    </row>
    <row r="36" spans="1:84" ht="16.5" customHeight="1">
      <c r="A36" s="62"/>
      <c r="B36" s="1322">
        <f>+B31+1</f>
        <v>6</v>
      </c>
      <c r="C36" s="1579" t="s">
        <v>159</v>
      </c>
      <c r="D36" s="1584" t="s">
        <v>941</v>
      </c>
      <c r="E36" s="1586" t="s">
        <v>1039</v>
      </c>
      <c r="F36" s="1343">
        <v>38.4</v>
      </c>
      <c r="G36" s="1324" t="s">
        <v>888</v>
      </c>
      <c r="H36" s="63" t="s">
        <v>388</v>
      </c>
      <c r="I36" s="64">
        <f>+'[10]Bolt Taeyanggwang 7HO'!G31</f>
        <v>40320000</v>
      </c>
      <c r="J36" s="64">
        <f>+I36*10%</f>
        <v>4032000</v>
      </c>
      <c r="K36" s="64">
        <f>SUM(I36:J36)</f>
        <v>44352000</v>
      </c>
      <c r="L36" s="63">
        <f t="shared" si="48"/>
        <v>0</v>
      </c>
      <c r="M36" s="134">
        <f>+IFERROR('Dropped Project'!S36+'Dropped Project'!Z36+'Dropped Project'!AG36+'Dropped Project'!AN36+'Dropped Project'!BB36+'Dropped Project'!BI36,"-")</f>
        <v>0</v>
      </c>
      <c r="N36" s="134">
        <f t="shared" si="63"/>
        <v>44352000</v>
      </c>
      <c r="O36" s="67"/>
      <c r="P36" s="160"/>
      <c r="Q36" s="135"/>
      <c r="R36" s="134"/>
      <c r="S36" s="134"/>
      <c r="T36" s="134">
        <f t="shared" si="64"/>
        <v>0</v>
      </c>
      <c r="U36" s="145"/>
      <c r="V36" s="67"/>
      <c r="W36" s="160"/>
      <c r="X36" s="135"/>
      <c r="Y36" s="134">
        <f>+'Dropped Project'!$K36*지급비율!N20</f>
        <v>0</v>
      </c>
      <c r="Z36" s="134"/>
      <c r="AA36" s="134">
        <f t="shared" si="65"/>
        <v>0</v>
      </c>
      <c r="AB36" s="145"/>
      <c r="AC36" s="67">
        <f>+EDATE(AJ36,-1)+1</f>
        <v>45960</v>
      </c>
      <c r="AD36" s="160"/>
      <c r="AE36" s="135">
        <f>+IFERROR(AF36/'Dropped Project'!$K36,"-")</f>
        <v>0.5</v>
      </c>
      <c r="AF36" s="134">
        <f>+'Dropped Project'!$K36*지급비율!U20</f>
        <v>22176000</v>
      </c>
      <c r="AG36" s="134">
        <v>0</v>
      </c>
      <c r="AH36" s="134">
        <f t="shared" si="66"/>
        <v>22176000</v>
      </c>
      <c r="AI36" s="145"/>
      <c r="AJ36" s="67">
        <f>+EDATE(AQ36,-1)</f>
        <v>45990</v>
      </c>
      <c r="AK36" s="160"/>
      <c r="AL36" s="135">
        <f>+IFERROR(AM36/'Dropped Project'!$K36,"-")</f>
        <v>0</v>
      </c>
      <c r="AM36" s="134">
        <f>+'Dropped Project'!$K36*지급비율!AB20</f>
        <v>0</v>
      </c>
      <c r="AN36" s="134">
        <v>0</v>
      </c>
      <c r="AO36" s="134">
        <f t="shared" si="67"/>
        <v>0</v>
      </c>
      <c r="AP36" s="145"/>
      <c r="AQ36" s="67">
        <f>+EDATE(AX36,-1)+1</f>
        <v>46020</v>
      </c>
      <c r="AR36" s="160"/>
      <c r="AS36" s="135">
        <f>+IFERROR(AT36/'Dropped Project'!$K36,"-")</f>
        <v>0</v>
      </c>
      <c r="AT36" s="134">
        <f>+'Dropped Project'!$K36*지급비율!AI20</f>
        <v>0</v>
      </c>
      <c r="AU36" s="134">
        <v>0</v>
      </c>
      <c r="AV36" s="134">
        <f t="shared" si="68"/>
        <v>0</v>
      </c>
      <c r="AW36" s="145"/>
      <c r="AX36" s="67">
        <f>+EDATE(BE36,-1)</f>
        <v>46050</v>
      </c>
      <c r="AY36" s="160"/>
      <c r="AZ36" s="135">
        <f>+IFERROR(BA36/'Dropped Project'!$K36,"-")</f>
        <v>0</v>
      </c>
      <c r="BA36" s="134">
        <f>+'Dropped Project'!$K36*지급비율!AP20</f>
        <v>0</v>
      </c>
      <c r="BB36" s="134">
        <v>0</v>
      </c>
      <c r="BC36" s="134">
        <f t="shared" si="69"/>
        <v>0</v>
      </c>
      <c r="BD36" s="145"/>
      <c r="BE36" s="67">
        <f>+EDATE(BL36,-1)</f>
        <v>46081</v>
      </c>
      <c r="BF36" s="160"/>
      <c r="BG36" s="135">
        <f>+IFERROR(BH36/'Dropped Project'!$K36,"-")</f>
        <v>0.4</v>
      </c>
      <c r="BH36" s="134">
        <f>+'Dropped Project'!$K36*지급비율!AW20</f>
        <v>17740800</v>
      </c>
      <c r="BI36" s="134">
        <v>0</v>
      </c>
      <c r="BJ36" s="134">
        <f t="shared" si="70"/>
        <v>17740800</v>
      </c>
      <c r="BK36" s="145"/>
      <c r="BL36" s="78">
        <v>46112</v>
      </c>
      <c r="BM36" s="160"/>
      <c r="BN36" s="79">
        <f>+IFERROR(BO36/'Dropped Project'!$K36,"-")</f>
        <v>0.1</v>
      </c>
      <c r="BO36" s="134">
        <f>+'Dropped Project'!$K36*지급비율!BD20</f>
        <v>4435200</v>
      </c>
      <c r="BP36" s="134">
        <v>0</v>
      </c>
      <c r="BQ36" s="134">
        <f t="shared" si="71"/>
        <v>4435200</v>
      </c>
      <c r="BR36" s="145"/>
      <c r="BS36" s="73"/>
      <c r="BT36" s="74" t="b">
        <f>+'Dropped Project'!R36+'Dropped Project'!Y36+'Dropped Project'!AF36+'Dropped Project'!AT36+'Dropped Project'!BA36+'Dropped Project'!BH36+'Dropped Project'!BO36='Dropped Project'!K36</f>
        <v>1</v>
      </c>
      <c r="BU36" s="74" t="b">
        <f>+'Dropped Project'!S36+'Dropped Project'!Z36+'Dropped Project'!AG36+'Dropped Project'!AU36+'Dropped Project'!BB36+'Dropped Project'!BI36+'Dropped Project'!BP36='Dropped Project'!M36</f>
        <v>1</v>
      </c>
      <c r="BV36" s="74"/>
      <c r="BW36" s="54"/>
      <c r="BX36" s="54"/>
      <c r="BY36" s="54"/>
      <c r="BZ36" s="54"/>
      <c r="CA36" s="54"/>
      <c r="CB36" s="54"/>
      <c r="CC36" s="54"/>
      <c r="CD36" s="54"/>
      <c r="CE36" s="58"/>
      <c r="CF36" s="58"/>
    </row>
    <row r="37" spans="1:84" ht="16.5" customHeight="1">
      <c r="A37" s="62"/>
      <c r="B37" s="1322"/>
      <c r="C37" s="1579"/>
      <c r="D37" s="1584"/>
      <c r="E37" s="1586"/>
      <c r="F37" s="1344"/>
      <c r="G37" s="1324"/>
      <c r="H37" s="75" t="s">
        <v>389</v>
      </c>
      <c r="I37" s="76">
        <f>+'[10]Bolt Taeyanggwang 7HO'!G32</f>
        <v>11520000</v>
      </c>
      <c r="J37" s="76">
        <f>+I37*10%</f>
        <v>1152000</v>
      </c>
      <c r="K37" s="76">
        <f>SUM(I37:J37)</f>
        <v>12672000</v>
      </c>
      <c r="L37" s="75">
        <f t="shared" si="48"/>
        <v>0.4</v>
      </c>
      <c r="M37" s="80">
        <f>+IFERROR('Dropped Project'!S37+'Dropped Project'!Z37+'Dropped Project'!AG37+'Dropped Project'!AN37+'Dropped Project'!BB37+'Dropped Project'!BI37,"-")</f>
        <v>5068800</v>
      </c>
      <c r="N37" s="80">
        <f t="shared" si="63"/>
        <v>7603200</v>
      </c>
      <c r="O37" s="78">
        <f>+P37</f>
        <v>45705</v>
      </c>
      <c r="P37" s="78">
        <v>45705</v>
      </c>
      <c r="Q37" s="79">
        <f>+IFERROR(R37/'Dropped Project'!$K37,"-")</f>
        <v>0.2</v>
      </c>
      <c r="R37" s="80">
        <f>+[5]지급비율!G$21*'Dropped Project'!$K37</f>
        <v>2534400</v>
      </c>
      <c r="S37" s="80">
        <f>+'Dropped Project'!K37*20%</f>
        <v>2534400</v>
      </c>
      <c r="T37" s="80">
        <f t="shared" si="64"/>
        <v>0</v>
      </c>
      <c r="U37" s="81"/>
      <c r="V37" s="78">
        <v>45820</v>
      </c>
      <c r="W37" s="78">
        <v>45820</v>
      </c>
      <c r="X37" s="79">
        <f>+IFERROR(Y37/'Dropped Project'!$K37,"-")</f>
        <v>0.2</v>
      </c>
      <c r="Y37" s="80">
        <f>+'Dropped Project'!$K37*지급비율!N21</f>
        <v>2534400</v>
      </c>
      <c r="Z37" s="80">
        <v>2534400</v>
      </c>
      <c r="AA37" s="80">
        <f t="shared" si="65"/>
        <v>0</v>
      </c>
      <c r="AB37" s="161"/>
      <c r="AC37" s="284">
        <v>45900</v>
      </c>
      <c r="AD37" s="284"/>
      <c r="AE37" s="286">
        <f>+IFERROR(AF37/'Dropped Project'!$K37,"-")</f>
        <v>0.5</v>
      </c>
      <c r="AF37" s="290">
        <f>+'Dropped Project'!$K37*지급비율!U21</f>
        <v>6336000</v>
      </c>
      <c r="AG37" s="290">
        <v>0</v>
      </c>
      <c r="AH37" s="290">
        <f t="shared" si="66"/>
        <v>6336000</v>
      </c>
      <c r="AI37" s="288"/>
      <c r="AJ37" s="78"/>
      <c r="AK37" s="78"/>
      <c r="AL37" s="79">
        <f>+IFERROR(AM37/'Dropped Project'!$K37,"-")</f>
        <v>0</v>
      </c>
      <c r="AM37" s="80">
        <f>+'Dropped Project'!$K37*지급비율!AB21</f>
        <v>0</v>
      </c>
      <c r="AN37" s="80">
        <v>0</v>
      </c>
      <c r="AO37" s="80">
        <f t="shared" si="67"/>
        <v>0</v>
      </c>
      <c r="AP37" s="81"/>
      <c r="AQ37" s="78"/>
      <c r="AR37" s="78"/>
      <c r="AS37" s="79"/>
      <c r="AT37" s="80">
        <f>+'Dropped Project'!$K37*지급비율!AI21</f>
        <v>0</v>
      </c>
      <c r="AU37" s="80"/>
      <c r="AV37" s="80">
        <f t="shared" si="68"/>
        <v>0</v>
      </c>
      <c r="AW37" s="81"/>
      <c r="AX37" s="78"/>
      <c r="AY37" s="78"/>
      <c r="AZ37" s="79"/>
      <c r="BA37" s="80">
        <f>+'Dropped Project'!$K37*지급비율!AP21</f>
        <v>0</v>
      </c>
      <c r="BB37" s="80"/>
      <c r="BC37" s="80">
        <f t="shared" si="69"/>
        <v>0</v>
      </c>
      <c r="BD37" s="81"/>
      <c r="BE37" s="78"/>
      <c r="BF37" s="78"/>
      <c r="BG37" s="79"/>
      <c r="BH37" s="80">
        <f>+'Dropped Project'!$K37*지급비율!AW21</f>
        <v>0</v>
      </c>
      <c r="BI37" s="80"/>
      <c r="BJ37" s="80">
        <f t="shared" si="70"/>
        <v>0</v>
      </c>
      <c r="BK37" s="81"/>
      <c r="BL37" s="78">
        <v>46112</v>
      </c>
      <c r="BM37" s="78"/>
      <c r="BN37" s="79">
        <f>+IFERROR(BO37/'Dropped Project'!$K37,"-")</f>
        <v>0.1</v>
      </c>
      <c r="BO37" s="80">
        <f>+'Dropped Project'!$K37*지급비율!BD21</f>
        <v>1267200</v>
      </c>
      <c r="BP37" s="80">
        <v>0</v>
      </c>
      <c r="BQ37" s="80">
        <f t="shared" si="71"/>
        <v>1267200</v>
      </c>
      <c r="BR37" s="81"/>
      <c r="BS37" s="73"/>
      <c r="BT37" s="74" t="b">
        <f>+'Dropped Project'!R37+'Dropped Project'!Y37+'Dropped Project'!AF37+'Dropped Project'!AT37+'Dropped Project'!BA37+'Dropped Project'!BH37+'Dropped Project'!BO37='Dropped Project'!K37</f>
        <v>1</v>
      </c>
      <c r="BU37" s="74" t="b">
        <f>+'Dropped Project'!S37+'Dropped Project'!Z37+'Dropped Project'!AG37+'Dropped Project'!AU37+'Dropped Project'!BB37+'Dropped Project'!BI37+'Dropped Project'!BP37='Dropped Project'!M37</f>
        <v>1</v>
      </c>
      <c r="BV37" s="74"/>
      <c r="BW37" s="54"/>
      <c r="BX37" s="54"/>
      <c r="BY37" s="54"/>
      <c r="BZ37" s="54"/>
      <c r="CA37" s="54"/>
      <c r="CB37" s="54"/>
      <c r="CC37" s="54"/>
      <c r="CD37" s="54"/>
      <c r="CE37" s="58"/>
      <c r="CF37" s="58"/>
    </row>
    <row r="38" spans="1:84" ht="16.5" customHeight="1">
      <c r="A38" s="62"/>
      <c r="B38" s="1322"/>
      <c r="C38" s="1579"/>
      <c r="D38" s="1584"/>
      <c r="E38" s="1586"/>
      <c r="F38" s="1344"/>
      <c r="G38" s="1324"/>
      <c r="H38" s="75" t="s">
        <v>390</v>
      </c>
      <c r="I38" s="76">
        <f>+'[10]Bolt Taeyanggwang 7HO'!G33</f>
        <v>7680000</v>
      </c>
      <c r="J38" s="76">
        <f>+I38*10%</f>
        <v>768000</v>
      </c>
      <c r="K38" s="76">
        <f>SUM(I38:J38)</f>
        <v>8448000</v>
      </c>
      <c r="L38" s="75">
        <f t="shared" si="48"/>
        <v>0.4</v>
      </c>
      <c r="M38" s="80">
        <f>+IFERROR('Dropped Project'!S38+'Dropped Project'!Z38+'Dropped Project'!AG38+'Dropped Project'!AN38+'Dropped Project'!BB38+'Dropped Project'!BI38,"-")</f>
        <v>3379200</v>
      </c>
      <c r="N38" s="80">
        <f t="shared" si="63"/>
        <v>5068800</v>
      </c>
      <c r="O38" s="78">
        <f>+P38</f>
        <v>45705</v>
      </c>
      <c r="P38" s="78">
        <f>P37</f>
        <v>45705</v>
      </c>
      <c r="Q38" s="79">
        <f>+IFERROR(R38/'Dropped Project'!$K38,"-")</f>
        <v>0.2</v>
      </c>
      <c r="R38" s="80">
        <f>+[5]지급비율!G$22*'Dropped Project'!$K38</f>
        <v>1689600</v>
      </c>
      <c r="S38" s="80">
        <f>+'Dropped Project'!K38*20%</f>
        <v>1689600</v>
      </c>
      <c r="T38" s="80">
        <f t="shared" si="64"/>
        <v>0</v>
      </c>
      <c r="U38" s="81"/>
      <c r="V38" s="78">
        <v>45820</v>
      </c>
      <c r="W38" s="78">
        <v>45820</v>
      </c>
      <c r="X38" s="79">
        <f>+IFERROR(Y38/'Dropped Project'!$K38,"-")</f>
        <v>0.2</v>
      </c>
      <c r="Y38" s="80">
        <f>+'Dropped Project'!$K38*지급비율!N22</f>
        <v>1689600</v>
      </c>
      <c r="Z38" s="80">
        <v>1689600</v>
      </c>
      <c r="AA38" s="80">
        <f t="shared" si="65"/>
        <v>0</v>
      </c>
      <c r="AB38" s="161"/>
      <c r="AC38" s="284">
        <v>45900</v>
      </c>
      <c r="AD38" s="284"/>
      <c r="AE38" s="286">
        <f>+IFERROR(AF38/'Dropped Project'!$K38,"-")</f>
        <v>0.5</v>
      </c>
      <c r="AF38" s="290">
        <f>+'Dropped Project'!$K38*지급비율!U22</f>
        <v>4224000</v>
      </c>
      <c r="AG38" s="290">
        <v>0</v>
      </c>
      <c r="AH38" s="290">
        <f t="shared" si="66"/>
        <v>4224000</v>
      </c>
      <c r="AI38" s="288"/>
      <c r="AJ38" s="72"/>
      <c r="AK38" s="78"/>
      <c r="AL38" s="79">
        <f>+IFERROR(AM38/'Dropped Project'!$K38,"-")</f>
        <v>0</v>
      </c>
      <c r="AM38" s="80">
        <f>+'Dropped Project'!$K38*지급비율!AB22</f>
        <v>0</v>
      </c>
      <c r="AN38" s="80">
        <v>0</v>
      </c>
      <c r="AO38" s="80">
        <f t="shared" si="67"/>
        <v>0</v>
      </c>
      <c r="AP38" s="81"/>
      <c r="AQ38" s="72"/>
      <c r="AR38" s="78"/>
      <c r="AS38" s="79"/>
      <c r="AT38" s="80">
        <f>+'Dropped Project'!$K38*지급비율!AI22</f>
        <v>0</v>
      </c>
      <c r="AU38" s="80"/>
      <c r="AV38" s="80">
        <f t="shared" si="68"/>
        <v>0</v>
      </c>
      <c r="AW38" s="81"/>
      <c r="AX38" s="72"/>
      <c r="AY38" s="78"/>
      <c r="AZ38" s="79"/>
      <c r="BA38" s="80">
        <f>+'Dropped Project'!$K38*지급비율!AP22</f>
        <v>0</v>
      </c>
      <c r="BB38" s="80"/>
      <c r="BC38" s="80">
        <f t="shared" si="69"/>
        <v>0</v>
      </c>
      <c r="BD38" s="81"/>
      <c r="BE38" s="72"/>
      <c r="BF38" s="72"/>
      <c r="BG38" s="79"/>
      <c r="BH38" s="80">
        <f>+'Dropped Project'!$K38*지급비율!AW22</f>
        <v>0</v>
      </c>
      <c r="BI38" s="80"/>
      <c r="BJ38" s="80">
        <f t="shared" si="70"/>
        <v>0</v>
      </c>
      <c r="BK38" s="81"/>
      <c r="BL38" s="78">
        <v>46112</v>
      </c>
      <c r="BM38" s="78"/>
      <c r="BN38" s="79">
        <f>+IFERROR(BO38/'Dropped Project'!$K38,"-")</f>
        <v>0.1</v>
      </c>
      <c r="BO38" s="80">
        <f>+'Dropped Project'!$K38*지급비율!BD22</f>
        <v>844800</v>
      </c>
      <c r="BP38" s="80">
        <v>0</v>
      </c>
      <c r="BQ38" s="80">
        <f t="shared" si="71"/>
        <v>844800</v>
      </c>
      <c r="BR38" s="81"/>
      <c r="BS38" s="73"/>
      <c r="BT38" s="74" t="b">
        <f>+'Dropped Project'!R38+'Dropped Project'!Y38+'Dropped Project'!AF38+'Dropped Project'!AT38+'Dropped Project'!BA38+'Dropped Project'!BH38+'Dropped Project'!BO38='Dropped Project'!K38</f>
        <v>1</v>
      </c>
      <c r="BU38" s="74" t="b">
        <f>+'Dropped Project'!S38+'Dropped Project'!Z38+'Dropped Project'!AG38+'Dropped Project'!AU38+'Dropped Project'!BB38+'Dropped Project'!BI38+'Dropped Project'!BP38='Dropped Project'!M38</f>
        <v>1</v>
      </c>
      <c r="BV38" s="74"/>
      <c r="BW38" s="54"/>
      <c r="BX38" s="54"/>
      <c r="BY38" s="54"/>
      <c r="BZ38" s="54"/>
      <c r="CA38" s="54"/>
      <c r="CB38" s="54"/>
      <c r="CC38" s="54"/>
      <c r="CD38" s="54"/>
      <c r="CE38" s="58"/>
      <c r="CF38" s="58"/>
    </row>
    <row r="39" spans="1:84" ht="16.5" customHeight="1">
      <c r="A39" s="62"/>
      <c r="B39" s="1322"/>
      <c r="C39" s="1579"/>
      <c r="D39" s="1584"/>
      <c r="E39" s="1586"/>
      <c r="F39" s="1344"/>
      <c r="G39" s="1324"/>
      <c r="H39" s="101" t="s">
        <v>391</v>
      </c>
      <c r="I39" s="102">
        <f>+'[10]Bolt Taeyanggwang 7HO'!G34</f>
        <v>7680000</v>
      </c>
      <c r="J39" s="102">
        <f>+I39*0.1</f>
        <v>768000</v>
      </c>
      <c r="K39" s="102">
        <f>SUM(I39:J39)</f>
        <v>8448000</v>
      </c>
      <c r="L39" s="101">
        <f t="shared" si="48"/>
        <v>0</v>
      </c>
      <c r="M39" s="106">
        <f>+IFERROR('Dropped Project'!S39+'Dropped Project'!Z39+'Dropped Project'!AG39+'Dropped Project'!AN39+'Dropped Project'!BB39+'Dropped Project'!BI39,"-")</f>
        <v>0</v>
      </c>
      <c r="N39" s="106">
        <f t="shared" si="63"/>
        <v>8448000</v>
      </c>
      <c r="O39" s="85"/>
      <c r="P39" s="101"/>
      <c r="Q39" s="105"/>
      <c r="R39" s="106"/>
      <c r="S39" s="106"/>
      <c r="T39" s="106">
        <f t="shared" si="64"/>
        <v>0</v>
      </c>
      <c r="U39" s="101"/>
      <c r="V39" s="85"/>
      <c r="W39" s="101"/>
      <c r="X39" s="105"/>
      <c r="Y39" s="106">
        <f>+'Dropped Project'!$K39*지급비율!N23</f>
        <v>0</v>
      </c>
      <c r="Z39" s="106"/>
      <c r="AA39" s="106">
        <f t="shared" si="65"/>
        <v>0</v>
      </c>
      <c r="AB39" s="101"/>
      <c r="AC39" s="85"/>
      <c r="AD39" s="101"/>
      <c r="AE39" s="105"/>
      <c r="AF39" s="106">
        <f>+'Dropped Project'!$K39*지급비율!U23</f>
        <v>0</v>
      </c>
      <c r="AG39" s="106"/>
      <c r="AH39" s="106">
        <f t="shared" si="66"/>
        <v>0</v>
      </c>
      <c r="AI39" s="101"/>
      <c r="AJ39" s="85"/>
      <c r="AK39" s="101"/>
      <c r="AL39" s="105">
        <f>+IFERROR(AM39/'Dropped Project'!$K39,"-")</f>
        <v>0</v>
      </c>
      <c r="AM39" s="106">
        <f>+'Dropped Project'!$K39*지급비율!AB23</f>
        <v>0</v>
      </c>
      <c r="AN39" s="106">
        <v>0</v>
      </c>
      <c r="AO39" s="106">
        <f t="shared" si="67"/>
        <v>0</v>
      </c>
      <c r="AP39" s="101"/>
      <c r="AQ39" s="85"/>
      <c r="AR39" s="101"/>
      <c r="AS39" s="105"/>
      <c r="AT39" s="106">
        <f>+'Dropped Project'!$K39*지급비율!AI23</f>
        <v>0</v>
      </c>
      <c r="AU39" s="106"/>
      <c r="AV39" s="106">
        <f t="shared" si="68"/>
        <v>0</v>
      </c>
      <c r="AW39" s="101"/>
      <c r="AX39" s="85"/>
      <c r="AY39" s="101"/>
      <c r="AZ39" s="105"/>
      <c r="BA39" s="106">
        <f>+'Dropped Project'!$K39*지급비율!AP23</f>
        <v>0</v>
      </c>
      <c r="BB39" s="106"/>
      <c r="BC39" s="106">
        <f t="shared" si="69"/>
        <v>0</v>
      </c>
      <c r="BD39" s="101"/>
      <c r="BE39" s="85"/>
      <c r="BF39" s="101"/>
      <c r="BG39" s="105"/>
      <c r="BH39" s="106">
        <f>+'Dropped Project'!$K39*지급비율!AW23</f>
        <v>0</v>
      </c>
      <c r="BI39" s="106"/>
      <c r="BJ39" s="106">
        <f t="shared" si="70"/>
        <v>0</v>
      </c>
      <c r="BK39" s="101"/>
      <c r="BL39" s="104">
        <v>46112</v>
      </c>
      <c r="BM39" s="101"/>
      <c r="BN39" s="105">
        <f>+IFERROR(BO39/'Dropped Project'!$K39,"-")</f>
        <v>1</v>
      </c>
      <c r="BO39" s="106">
        <f>+'Dropped Project'!$K39*지급비율!BD23</f>
        <v>8448000</v>
      </c>
      <c r="BP39" s="106">
        <v>0</v>
      </c>
      <c r="BQ39" s="106">
        <f t="shared" si="71"/>
        <v>8448000</v>
      </c>
      <c r="BR39" s="101"/>
      <c r="BS39" s="88"/>
      <c r="BT39" s="89" t="b">
        <f>+'Dropped Project'!R39+'Dropped Project'!Y39+'Dropped Project'!AF39+'Dropped Project'!AT39+'Dropped Project'!BA39+'Dropped Project'!BH39+'Dropped Project'!BO39='Dropped Project'!K39</f>
        <v>1</v>
      </c>
      <c r="BU39" s="90" t="b">
        <f>+'Dropped Project'!S39+'Dropped Project'!Z39+'Dropped Project'!AG39+'Dropped Project'!AU39+'Dropped Project'!BB39+'Dropped Project'!BI39+'Dropped Project'!BP39='Dropped Project'!M39</f>
        <v>1</v>
      </c>
      <c r="BV39" s="89"/>
      <c r="BW39" s="54"/>
      <c r="BX39" s="54"/>
      <c r="BY39" s="54"/>
      <c r="BZ39" s="54"/>
      <c r="CA39" s="54"/>
      <c r="CB39" s="54"/>
      <c r="CC39" s="54"/>
      <c r="CD39" s="54"/>
      <c r="CE39" s="58"/>
      <c r="CF39" s="58"/>
    </row>
    <row r="40" spans="1:84" ht="16.5" customHeight="1">
      <c r="A40" s="62"/>
      <c r="B40" s="1322"/>
      <c r="C40" s="1579"/>
      <c r="D40" s="1584"/>
      <c r="E40" s="1586"/>
      <c r="F40" s="1345"/>
      <c r="G40" s="1324"/>
      <c r="H40" s="91" t="s">
        <v>392</v>
      </c>
      <c r="I40" s="92">
        <f>SUM(I36:I39)</f>
        <v>67200000</v>
      </c>
      <c r="J40" s="92">
        <f>SUM(J36:J39)</f>
        <v>6720000</v>
      </c>
      <c r="K40" s="92">
        <f>SUM(K36:K39)</f>
        <v>73920000</v>
      </c>
      <c r="L40" s="91">
        <f t="shared" si="48"/>
        <v>0.11428571428571428</v>
      </c>
      <c r="M40" s="92">
        <f>SUM(M36:M39)</f>
        <v>8448000</v>
      </c>
      <c r="N40" s="92">
        <f>SUM(N36:N39)</f>
        <v>65472000</v>
      </c>
      <c r="O40" s="93"/>
      <c r="P40" s="91"/>
      <c r="Q40" s="94">
        <f>+IFERROR(R40/'Dropped Project'!$K40,"-")</f>
        <v>5.7142857142857141E-2</v>
      </c>
      <c r="R40" s="92">
        <f>SUM(R36:R39)</f>
        <v>4224000</v>
      </c>
      <c r="S40" s="170">
        <f>SUM(S36:S39)</f>
        <v>4224000</v>
      </c>
      <c r="T40" s="92">
        <f t="shared" si="64"/>
        <v>0</v>
      </c>
      <c r="U40" s="91"/>
      <c r="V40" s="93"/>
      <c r="W40" s="91"/>
      <c r="X40" s="94">
        <f>+IFERROR(Y40/'Dropped Project'!$K40,"-")</f>
        <v>5.7142857142857141E-2</v>
      </c>
      <c r="Y40" s="92">
        <f>SUM(Y36:Y39)</f>
        <v>4224000</v>
      </c>
      <c r="Z40" s="170">
        <f>SUM(Z36:Z39)</f>
        <v>4224000</v>
      </c>
      <c r="AA40" s="92">
        <f t="shared" si="65"/>
        <v>0</v>
      </c>
      <c r="AB40" s="91"/>
      <c r="AC40" s="93"/>
      <c r="AD40" s="91"/>
      <c r="AE40" s="94">
        <f>+IFERROR(AF40/'Dropped Project'!$K40,"-")</f>
        <v>0.44285714285714284</v>
      </c>
      <c r="AF40" s="92">
        <f>SUM(AF36:AF39)</f>
        <v>32736000</v>
      </c>
      <c r="AG40" s="92">
        <f>SUM(AG36:AG39)</f>
        <v>0</v>
      </c>
      <c r="AH40" s="92">
        <f t="shared" si="66"/>
        <v>32736000</v>
      </c>
      <c r="AI40" s="91"/>
      <c r="AJ40" s="93"/>
      <c r="AK40" s="91"/>
      <c r="AL40" s="94">
        <f>+IFERROR(AM40/'Dropped Project'!$K40,"-")</f>
        <v>0</v>
      </c>
      <c r="AM40" s="92">
        <f>SUM(AM36:AM39)</f>
        <v>0</v>
      </c>
      <c r="AN40" s="92">
        <f>SUM(AN36:AN39)</f>
        <v>0</v>
      </c>
      <c r="AO40" s="92">
        <f t="shared" si="67"/>
        <v>0</v>
      </c>
      <c r="AP40" s="91"/>
      <c r="AQ40" s="93"/>
      <c r="AR40" s="91"/>
      <c r="AS40" s="94">
        <f>+IFERROR(AT40/'Dropped Project'!$K40,"-")</f>
        <v>0</v>
      </c>
      <c r="AT40" s="92">
        <f>SUM(AT36:AT39)</f>
        <v>0</v>
      </c>
      <c r="AU40" s="92">
        <f>SUM(AU36:AU39)</f>
        <v>0</v>
      </c>
      <c r="AV40" s="92">
        <f t="shared" si="68"/>
        <v>0</v>
      </c>
      <c r="AW40" s="91"/>
      <c r="AX40" s="93"/>
      <c r="AY40" s="91"/>
      <c r="AZ40" s="94">
        <f>+IFERROR(BA40/'Dropped Project'!$K40,"-")</f>
        <v>0</v>
      </c>
      <c r="BA40" s="92">
        <f>SUM(BA36:BA39)</f>
        <v>0</v>
      </c>
      <c r="BB40" s="92">
        <f>SUM(BB36:BB39)</f>
        <v>0</v>
      </c>
      <c r="BC40" s="92">
        <f t="shared" si="69"/>
        <v>0</v>
      </c>
      <c r="BD40" s="91"/>
      <c r="BE40" s="93"/>
      <c r="BF40" s="91"/>
      <c r="BG40" s="94">
        <f>+IFERROR(BH40/'Dropped Project'!$K40,"-")</f>
        <v>0.24</v>
      </c>
      <c r="BH40" s="92">
        <f>SUM(BH36:BH39)</f>
        <v>17740800</v>
      </c>
      <c r="BI40" s="92">
        <f>SUM(BI36:BI39)</f>
        <v>0</v>
      </c>
      <c r="BJ40" s="92">
        <f t="shared" si="70"/>
        <v>17740800</v>
      </c>
      <c r="BK40" s="91"/>
      <c r="BL40" s="93"/>
      <c r="BM40" s="91"/>
      <c r="BN40" s="94">
        <f>+IFERROR(BO40/'Dropped Project'!$K40,"-")</f>
        <v>0.20285714285714285</v>
      </c>
      <c r="BO40" s="92">
        <f>SUM(BO36:BO39)</f>
        <v>14995200</v>
      </c>
      <c r="BP40" s="92">
        <f>SUM(BP36:BP39)</f>
        <v>0</v>
      </c>
      <c r="BQ40" s="92">
        <f t="shared" si="71"/>
        <v>14995200</v>
      </c>
      <c r="BR40" s="91"/>
      <c r="BS40" s="88"/>
      <c r="BT40" s="96"/>
      <c r="BU40" s="96"/>
      <c r="BV40" s="139"/>
      <c r="BW40" s="54"/>
      <c r="BX40" s="54"/>
      <c r="BY40" s="54"/>
      <c r="BZ40" s="54"/>
      <c r="CA40" s="54"/>
      <c r="CB40" s="54"/>
      <c r="CC40" s="54"/>
      <c r="CD40" s="54"/>
      <c r="CE40" s="58"/>
      <c r="CF40" s="58"/>
    </row>
    <row r="41" spans="1:84" ht="16.5" customHeight="1">
      <c r="A41" s="62"/>
      <c r="B41" s="1322">
        <f>+B36+1</f>
        <v>7</v>
      </c>
      <c r="C41" s="1579" t="s">
        <v>159</v>
      </c>
      <c r="D41" s="1584" t="s">
        <v>942</v>
      </c>
      <c r="E41" s="1586" t="s">
        <v>1039</v>
      </c>
      <c r="F41" s="1343">
        <v>158.75</v>
      </c>
      <c r="G41" s="1324" t="s">
        <v>888</v>
      </c>
      <c r="H41" s="63" t="s">
        <v>388</v>
      </c>
      <c r="I41" s="64">
        <f>+'[10]Bolt Taeyanggwang 7HO'!G36</f>
        <v>166687500</v>
      </c>
      <c r="J41" s="64">
        <f>+I41*10%</f>
        <v>16668750</v>
      </c>
      <c r="K41" s="64">
        <f>SUM(I41:J41)</f>
        <v>183356250</v>
      </c>
      <c r="L41" s="63">
        <f t="shared" si="48"/>
        <v>0</v>
      </c>
      <c r="M41" s="134">
        <f>+IFERROR('Dropped Project'!S41+'Dropped Project'!Z41+'Dropped Project'!AG41+'Dropped Project'!AN41+'Dropped Project'!BB41+'Dropped Project'!BI41,"-")</f>
        <v>0</v>
      </c>
      <c r="N41" s="134">
        <f t="shared" si="63"/>
        <v>183356250</v>
      </c>
      <c r="O41" s="67"/>
      <c r="P41" s="160"/>
      <c r="Q41" s="135"/>
      <c r="R41" s="134"/>
      <c r="S41" s="134"/>
      <c r="T41" s="134">
        <f t="shared" si="64"/>
        <v>0</v>
      </c>
      <c r="U41" s="145"/>
      <c r="V41" s="67"/>
      <c r="W41" s="160"/>
      <c r="X41" s="135"/>
      <c r="Y41" s="134">
        <f>+'Dropped Project'!$K41*지급비율!N20</f>
        <v>0</v>
      </c>
      <c r="Z41" s="134"/>
      <c r="AA41" s="134">
        <f t="shared" si="65"/>
        <v>0</v>
      </c>
      <c r="AB41" s="145"/>
      <c r="AC41" s="67">
        <f>+EDATE(AJ41,-1)+1</f>
        <v>45960</v>
      </c>
      <c r="AD41" s="160"/>
      <c r="AE41" s="135">
        <f>+IFERROR(AF41/'Dropped Project'!$K41,"-")</f>
        <v>0.5</v>
      </c>
      <c r="AF41" s="134">
        <f>+'Dropped Project'!$K41*지급비율!U20</f>
        <v>91678125</v>
      </c>
      <c r="AG41" s="134">
        <v>0</v>
      </c>
      <c r="AH41" s="134">
        <f t="shared" si="66"/>
        <v>91678125</v>
      </c>
      <c r="AI41" s="145"/>
      <c r="AJ41" s="67">
        <f>+EDATE(AQ41,-1)</f>
        <v>45990</v>
      </c>
      <c r="AK41" s="160"/>
      <c r="AL41" s="135">
        <f>+IFERROR(AM41/'Dropped Project'!$K41,"-")</f>
        <v>0</v>
      </c>
      <c r="AM41" s="134">
        <f>+'Dropped Project'!$K41*지급비율!AB20</f>
        <v>0</v>
      </c>
      <c r="AN41" s="134">
        <v>0</v>
      </c>
      <c r="AO41" s="134">
        <f t="shared" si="67"/>
        <v>0</v>
      </c>
      <c r="AP41" s="145"/>
      <c r="AQ41" s="67">
        <f>+EDATE(AX41,-1)+1</f>
        <v>46020</v>
      </c>
      <c r="AR41" s="160"/>
      <c r="AS41" s="135">
        <f>+IFERROR(AT41/'Dropped Project'!$K41,"-")</f>
        <v>0</v>
      </c>
      <c r="AT41" s="134">
        <f>+'Dropped Project'!$K41*지급비율!AI20</f>
        <v>0</v>
      </c>
      <c r="AU41" s="134">
        <v>0</v>
      </c>
      <c r="AV41" s="134">
        <f t="shared" si="68"/>
        <v>0</v>
      </c>
      <c r="AW41" s="145"/>
      <c r="AX41" s="67">
        <f>+EDATE(BE41,-1)</f>
        <v>46050</v>
      </c>
      <c r="AY41" s="160"/>
      <c r="AZ41" s="135">
        <f>+IFERROR(BA41/'Dropped Project'!$K41,"-")</f>
        <v>0</v>
      </c>
      <c r="BA41" s="134">
        <f>+'Dropped Project'!$K41*지급비율!AP20</f>
        <v>0</v>
      </c>
      <c r="BB41" s="134">
        <v>0</v>
      </c>
      <c r="BC41" s="134">
        <f t="shared" si="69"/>
        <v>0</v>
      </c>
      <c r="BD41" s="145"/>
      <c r="BE41" s="67">
        <f>+EDATE(BL41,-1)</f>
        <v>46081</v>
      </c>
      <c r="BF41" s="160"/>
      <c r="BG41" s="135">
        <f>+IFERROR(BH41/'Dropped Project'!$K41,"-")</f>
        <v>0.4</v>
      </c>
      <c r="BH41" s="134">
        <f>+'Dropped Project'!$K41*지급비율!AW20</f>
        <v>73342500</v>
      </c>
      <c r="BI41" s="134">
        <v>0</v>
      </c>
      <c r="BJ41" s="134">
        <f t="shared" si="70"/>
        <v>73342500</v>
      </c>
      <c r="BK41" s="145"/>
      <c r="BL41" s="78">
        <v>46112</v>
      </c>
      <c r="BM41" s="160"/>
      <c r="BN41" s="79">
        <f>+IFERROR(BO41/'Dropped Project'!$K41,"-")</f>
        <v>0.1</v>
      </c>
      <c r="BO41" s="134">
        <f>+'Dropped Project'!$K41*지급비율!BD20</f>
        <v>18335625</v>
      </c>
      <c r="BP41" s="134">
        <v>0</v>
      </c>
      <c r="BQ41" s="134">
        <f t="shared" si="71"/>
        <v>18335625</v>
      </c>
      <c r="BR41" s="145"/>
      <c r="BS41" s="73"/>
      <c r="BT41" s="74" t="b">
        <f>+'Dropped Project'!R41+'Dropped Project'!Y41+'Dropped Project'!AF41+'Dropped Project'!AT41+'Dropped Project'!BA41+'Dropped Project'!BH41+'Dropped Project'!BO41='Dropped Project'!K41</f>
        <v>1</v>
      </c>
      <c r="BU41" s="74" t="b">
        <f>+'Dropped Project'!S41+'Dropped Project'!Z41+'Dropped Project'!AG41+'Dropped Project'!AU41+'Dropped Project'!BB41+'Dropped Project'!BI41+'Dropped Project'!BP41='Dropped Project'!M41</f>
        <v>1</v>
      </c>
      <c r="BV41" s="74"/>
      <c r="BW41" s="54"/>
      <c r="BX41" s="54"/>
      <c r="BY41" s="54"/>
      <c r="BZ41" s="54"/>
      <c r="CA41" s="54"/>
      <c r="CB41" s="54"/>
      <c r="CC41" s="54"/>
      <c r="CD41" s="54"/>
      <c r="CE41" s="58"/>
      <c r="CF41" s="58"/>
    </row>
    <row r="42" spans="1:84" ht="16.5" customHeight="1">
      <c r="A42" s="62"/>
      <c r="B42" s="1322"/>
      <c r="C42" s="1579"/>
      <c r="D42" s="1584"/>
      <c r="E42" s="1586"/>
      <c r="F42" s="1344"/>
      <c r="G42" s="1324"/>
      <c r="H42" s="75" t="s">
        <v>389</v>
      </c>
      <c r="I42" s="76">
        <f>+'[10]Bolt Taeyanggwang 7HO'!G37</f>
        <v>47625000</v>
      </c>
      <c r="J42" s="76">
        <f>+I42*10%</f>
        <v>4762500</v>
      </c>
      <c r="K42" s="76">
        <f>SUM(I42:J42)</f>
        <v>52387500</v>
      </c>
      <c r="L42" s="75">
        <f t="shared" si="48"/>
        <v>0.4</v>
      </c>
      <c r="M42" s="80">
        <f>+IFERROR('Dropped Project'!S42+'Dropped Project'!Z42+'Dropped Project'!AG42+'Dropped Project'!AN42+'Dropped Project'!BB42+'Dropped Project'!BI42,"-")</f>
        <v>20955000</v>
      </c>
      <c r="N42" s="80">
        <f t="shared" si="63"/>
        <v>31432500</v>
      </c>
      <c r="O42" s="78">
        <f>+P42</f>
        <v>45705</v>
      </c>
      <c r="P42" s="78">
        <v>45705</v>
      </c>
      <c r="Q42" s="79">
        <f>+IFERROR(R42/'Dropped Project'!$K42,"-")</f>
        <v>0.2</v>
      </c>
      <c r="R42" s="80">
        <f>+[5]지급비율!G$21*'Dropped Project'!$K42</f>
        <v>10477500</v>
      </c>
      <c r="S42" s="80">
        <f>+'Dropped Project'!K42*20%</f>
        <v>10477500</v>
      </c>
      <c r="T42" s="80">
        <f t="shared" si="64"/>
        <v>0</v>
      </c>
      <c r="U42" s="81"/>
      <c r="V42" s="78">
        <v>45820</v>
      </c>
      <c r="W42" s="78">
        <v>45820</v>
      </c>
      <c r="X42" s="79">
        <f>+IFERROR(Y42/'Dropped Project'!$K42,"-")</f>
        <v>0.2</v>
      </c>
      <c r="Y42" s="80">
        <f>+'Dropped Project'!$K42*지급비율!N21</f>
        <v>10477500</v>
      </c>
      <c r="Z42" s="80">
        <v>10477500</v>
      </c>
      <c r="AA42" s="80">
        <f t="shared" si="65"/>
        <v>0</v>
      </c>
      <c r="AB42" s="161"/>
      <c r="AC42" s="284">
        <v>45900</v>
      </c>
      <c r="AD42" s="284"/>
      <c r="AE42" s="286">
        <f>+IFERROR(AF42/'Dropped Project'!$K42,"-")</f>
        <v>0.5</v>
      </c>
      <c r="AF42" s="290">
        <f>+'Dropped Project'!$K42*지급비율!U21</f>
        <v>26193750</v>
      </c>
      <c r="AG42" s="290">
        <v>0</v>
      </c>
      <c r="AH42" s="290">
        <f t="shared" si="66"/>
        <v>26193750</v>
      </c>
      <c r="AI42" s="288"/>
      <c r="AJ42" s="78"/>
      <c r="AK42" s="78"/>
      <c r="AL42" s="79">
        <f>+IFERROR(AM42/'Dropped Project'!$K42,"-")</f>
        <v>0</v>
      </c>
      <c r="AM42" s="80">
        <f>+'Dropped Project'!$K42*지급비율!AB21</f>
        <v>0</v>
      </c>
      <c r="AN42" s="80">
        <v>0</v>
      </c>
      <c r="AO42" s="80">
        <f t="shared" si="67"/>
        <v>0</v>
      </c>
      <c r="AP42" s="81"/>
      <c r="AQ42" s="78"/>
      <c r="AR42" s="78"/>
      <c r="AS42" s="79"/>
      <c r="AT42" s="80">
        <f>+'Dropped Project'!$K42*지급비율!AI21</f>
        <v>0</v>
      </c>
      <c r="AU42" s="80"/>
      <c r="AV42" s="80">
        <f t="shared" si="68"/>
        <v>0</v>
      </c>
      <c r="AW42" s="81"/>
      <c r="AX42" s="78"/>
      <c r="AY42" s="78"/>
      <c r="AZ42" s="79"/>
      <c r="BA42" s="80">
        <f>+'Dropped Project'!$K42*지급비율!AP21</f>
        <v>0</v>
      </c>
      <c r="BB42" s="80"/>
      <c r="BC42" s="80">
        <f t="shared" si="69"/>
        <v>0</v>
      </c>
      <c r="BD42" s="81"/>
      <c r="BE42" s="78"/>
      <c r="BF42" s="78"/>
      <c r="BG42" s="79"/>
      <c r="BH42" s="80">
        <f>+'Dropped Project'!$K42*지급비율!AW21</f>
        <v>0</v>
      </c>
      <c r="BI42" s="80"/>
      <c r="BJ42" s="80">
        <f t="shared" si="70"/>
        <v>0</v>
      </c>
      <c r="BK42" s="81"/>
      <c r="BL42" s="78">
        <v>46112</v>
      </c>
      <c r="BM42" s="78"/>
      <c r="BN42" s="79">
        <f>+IFERROR(BO42/'Dropped Project'!$K42,"-")</f>
        <v>0.1</v>
      </c>
      <c r="BO42" s="80">
        <f>+'Dropped Project'!$K42*지급비율!BD21</f>
        <v>5238750</v>
      </c>
      <c r="BP42" s="80">
        <v>0</v>
      </c>
      <c r="BQ42" s="80">
        <f t="shared" si="71"/>
        <v>5238750</v>
      </c>
      <c r="BR42" s="81"/>
      <c r="BS42" s="73"/>
      <c r="BT42" s="74" t="b">
        <f>+'Dropped Project'!R42+'Dropped Project'!Y42+'Dropped Project'!AF42+'Dropped Project'!AT42+'Dropped Project'!BA42+'Dropped Project'!BH42+'Dropped Project'!BO42='Dropped Project'!K42</f>
        <v>1</v>
      </c>
      <c r="BU42" s="74" t="b">
        <f>+'Dropped Project'!S42+'Dropped Project'!Z42+'Dropped Project'!AG42+'Dropped Project'!AU42+'Dropped Project'!BB42+'Dropped Project'!BI42+'Dropped Project'!BP42='Dropped Project'!M42</f>
        <v>1</v>
      </c>
      <c r="BV42" s="74"/>
      <c r="BW42" s="54"/>
      <c r="BX42" s="54"/>
      <c r="BY42" s="54"/>
      <c r="BZ42" s="54"/>
      <c r="CA42" s="54"/>
      <c r="CB42" s="54"/>
      <c r="CC42" s="54"/>
      <c r="CD42" s="54"/>
      <c r="CE42" s="58"/>
      <c r="CF42" s="58"/>
    </row>
    <row r="43" spans="1:84" ht="16.5" customHeight="1">
      <c r="A43" s="62"/>
      <c r="B43" s="1322"/>
      <c r="C43" s="1579"/>
      <c r="D43" s="1584"/>
      <c r="E43" s="1586"/>
      <c r="F43" s="1344"/>
      <c r="G43" s="1324"/>
      <c r="H43" s="75" t="s">
        <v>390</v>
      </c>
      <c r="I43" s="76">
        <f>+'[10]Bolt Taeyanggwang 7HO'!G38</f>
        <v>31750000</v>
      </c>
      <c r="J43" s="76">
        <f>+I43*10%</f>
        <v>3175000</v>
      </c>
      <c r="K43" s="76">
        <f>SUM(I43:J43)</f>
        <v>34925000</v>
      </c>
      <c r="L43" s="75">
        <f t="shared" si="48"/>
        <v>0.4</v>
      </c>
      <c r="M43" s="80">
        <f>+IFERROR('Dropped Project'!S43+'Dropped Project'!Z43+'Dropped Project'!AG43+'Dropped Project'!AN43+'Dropped Project'!BB43+'Dropped Project'!BI43,"-")</f>
        <v>13970000</v>
      </c>
      <c r="N43" s="80">
        <f t="shared" si="63"/>
        <v>20955000</v>
      </c>
      <c r="O43" s="78">
        <f>+P43</f>
        <v>45705</v>
      </c>
      <c r="P43" s="78">
        <f>P42</f>
        <v>45705</v>
      </c>
      <c r="Q43" s="79">
        <f>+IFERROR(R43/'Dropped Project'!$K43,"-")</f>
        <v>0.2</v>
      </c>
      <c r="R43" s="80">
        <f>+[5]지급비율!G$22*'Dropped Project'!$K43</f>
        <v>6985000</v>
      </c>
      <c r="S43" s="80">
        <f>+'Dropped Project'!K43*20%</f>
        <v>6985000</v>
      </c>
      <c r="T43" s="80">
        <f t="shared" si="64"/>
        <v>0</v>
      </c>
      <c r="U43" s="81"/>
      <c r="V43" s="78">
        <v>45820</v>
      </c>
      <c r="W43" s="78">
        <v>45820</v>
      </c>
      <c r="X43" s="79">
        <f>+IFERROR(Y43/'Dropped Project'!$K43,"-")</f>
        <v>0.2</v>
      </c>
      <c r="Y43" s="80">
        <f>+'Dropped Project'!$K43*지급비율!N22</f>
        <v>6985000</v>
      </c>
      <c r="Z43" s="80">
        <v>6985000</v>
      </c>
      <c r="AA43" s="80">
        <f t="shared" si="65"/>
        <v>0</v>
      </c>
      <c r="AB43" s="161"/>
      <c r="AC43" s="284">
        <v>45900</v>
      </c>
      <c r="AD43" s="284"/>
      <c r="AE43" s="286">
        <f>+IFERROR(AF43/'Dropped Project'!$K43,"-")</f>
        <v>0.5</v>
      </c>
      <c r="AF43" s="290">
        <f>+'Dropped Project'!$K43*지급비율!U22</f>
        <v>17462500</v>
      </c>
      <c r="AG43" s="290">
        <v>0</v>
      </c>
      <c r="AH43" s="290">
        <f t="shared" si="66"/>
        <v>17462500</v>
      </c>
      <c r="AI43" s="288"/>
      <c r="AJ43" s="72"/>
      <c r="AK43" s="78"/>
      <c r="AL43" s="79">
        <f>+IFERROR(AM43/'Dropped Project'!$K43,"-")</f>
        <v>0</v>
      </c>
      <c r="AM43" s="80">
        <f>+'Dropped Project'!$K43*지급비율!AB22</f>
        <v>0</v>
      </c>
      <c r="AN43" s="80">
        <v>0</v>
      </c>
      <c r="AO43" s="80">
        <f t="shared" si="67"/>
        <v>0</v>
      </c>
      <c r="AP43" s="81"/>
      <c r="AQ43" s="72"/>
      <c r="AR43" s="78"/>
      <c r="AS43" s="79"/>
      <c r="AT43" s="80">
        <f>+'Dropped Project'!$K43*지급비율!AI22</f>
        <v>0</v>
      </c>
      <c r="AU43" s="80"/>
      <c r="AV43" s="80">
        <f t="shared" si="68"/>
        <v>0</v>
      </c>
      <c r="AW43" s="81"/>
      <c r="AX43" s="72"/>
      <c r="AY43" s="78"/>
      <c r="AZ43" s="79"/>
      <c r="BA43" s="80">
        <f>+'Dropped Project'!$K43*지급비율!AP22</f>
        <v>0</v>
      </c>
      <c r="BB43" s="80"/>
      <c r="BC43" s="80">
        <f t="shared" si="69"/>
        <v>0</v>
      </c>
      <c r="BD43" s="81"/>
      <c r="BE43" s="72"/>
      <c r="BF43" s="72"/>
      <c r="BG43" s="79"/>
      <c r="BH43" s="80">
        <f>+'Dropped Project'!$K43*지급비율!AW22</f>
        <v>0</v>
      </c>
      <c r="BI43" s="80"/>
      <c r="BJ43" s="80">
        <f t="shared" si="70"/>
        <v>0</v>
      </c>
      <c r="BK43" s="81"/>
      <c r="BL43" s="78">
        <v>46112</v>
      </c>
      <c r="BM43" s="78"/>
      <c r="BN43" s="79">
        <f>+IFERROR(BO43/'Dropped Project'!$K43,"-")</f>
        <v>0.1</v>
      </c>
      <c r="BO43" s="80">
        <f>+'Dropped Project'!$K43*지급비율!BD22</f>
        <v>3492500</v>
      </c>
      <c r="BP43" s="80">
        <v>0</v>
      </c>
      <c r="BQ43" s="80">
        <f t="shared" si="71"/>
        <v>3492500</v>
      </c>
      <c r="BR43" s="81"/>
      <c r="BS43" s="73"/>
      <c r="BT43" s="74" t="b">
        <f>+'Dropped Project'!R43+'Dropped Project'!Y43+'Dropped Project'!AF43+'Dropped Project'!AT43+'Dropped Project'!BA43+'Dropped Project'!BH43+'Dropped Project'!BO43='Dropped Project'!K43</f>
        <v>1</v>
      </c>
      <c r="BU43" s="74" t="b">
        <f>+'Dropped Project'!S43+'Dropped Project'!Z43+'Dropped Project'!AG43+'Dropped Project'!AU43+'Dropped Project'!BB43+'Dropped Project'!BI43+'Dropped Project'!BP43='Dropped Project'!M43</f>
        <v>1</v>
      </c>
      <c r="BV43" s="74"/>
      <c r="BW43" s="54"/>
      <c r="BX43" s="54"/>
      <c r="BY43" s="54"/>
      <c r="BZ43" s="54"/>
      <c r="CA43" s="54"/>
      <c r="CB43" s="54"/>
      <c r="CC43" s="54"/>
      <c r="CD43" s="54"/>
      <c r="CE43" s="58"/>
      <c r="CF43" s="58"/>
    </row>
    <row r="44" spans="1:84" ht="16.5" customHeight="1">
      <c r="A44" s="62"/>
      <c r="B44" s="1322"/>
      <c r="C44" s="1579"/>
      <c r="D44" s="1584"/>
      <c r="E44" s="1586"/>
      <c r="F44" s="1344"/>
      <c r="G44" s="1324"/>
      <c r="H44" s="101" t="s">
        <v>391</v>
      </c>
      <c r="I44" s="102">
        <f>+'[10]Bolt Taeyanggwang 7HO'!G39</f>
        <v>31750000</v>
      </c>
      <c r="J44" s="102">
        <f>+I44*0.1</f>
        <v>3175000</v>
      </c>
      <c r="K44" s="102">
        <f>SUM(I44:J44)</f>
        <v>34925000</v>
      </c>
      <c r="L44" s="101">
        <f t="shared" si="48"/>
        <v>0</v>
      </c>
      <c r="M44" s="106">
        <f>+IFERROR('Dropped Project'!S44+'Dropped Project'!Z44+'Dropped Project'!AG44+'Dropped Project'!AN44+'Dropped Project'!BB44+'Dropped Project'!BI44,"-")</f>
        <v>0</v>
      </c>
      <c r="N44" s="106">
        <f t="shared" si="63"/>
        <v>34925000</v>
      </c>
      <c r="O44" s="85"/>
      <c r="P44" s="101"/>
      <c r="Q44" s="105"/>
      <c r="R44" s="106"/>
      <c r="S44" s="106"/>
      <c r="T44" s="106">
        <f t="shared" si="64"/>
        <v>0</v>
      </c>
      <c r="U44" s="101"/>
      <c r="V44" s="85"/>
      <c r="W44" s="101"/>
      <c r="X44" s="105"/>
      <c r="Y44" s="106">
        <f>+'Dropped Project'!$K44*지급비율!N23</f>
        <v>0</v>
      </c>
      <c r="Z44" s="106"/>
      <c r="AA44" s="106">
        <f t="shared" si="65"/>
        <v>0</v>
      </c>
      <c r="AB44" s="101"/>
      <c r="AC44" s="85"/>
      <c r="AD44" s="101"/>
      <c r="AE44" s="105"/>
      <c r="AF44" s="106">
        <f>+'Dropped Project'!$K44*지급비율!U23</f>
        <v>0</v>
      </c>
      <c r="AG44" s="106"/>
      <c r="AH44" s="106">
        <f t="shared" si="66"/>
        <v>0</v>
      </c>
      <c r="AI44" s="101"/>
      <c r="AJ44" s="85"/>
      <c r="AK44" s="101"/>
      <c r="AL44" s="105">
        <f>+IFERROR(AM44/'Dropped Project'!$K44,"-")</f>
        <v>0</v>
      </c>
      <c r="AM44" s="106">
        <f>+'Dropped Project'!$K44*지급비율!AB23</f>
        <v>0</v>
      </c>
      <c r="AN44" s="106">
        <v>0</v>
      </c>
      <c r="AO44" s="106">
        <f t="shared" si="67"/>
        <v>0</v>
      </c>
      <c r="AP44" s="101"/>
      <c r="AQ44" s="85"/>
      <c r="AR44" s="101"/>
      <c r="AS44" s="105"/>
      <c r="AT44" s="106">
        <f>+'Dropped Project'!$K44*지급비율!AI23</f>
        <v>0</v>
      </c>
      <c r="AU44" s="106"/>
      <c r="AV44" s="106">
        <f t="shared" si="68"/>
        <v>0</v>
      </c>
      <c r="AW44" s="101"/>
      <c r="AX44" s="85"/>
      <c r="AY44" s="101"/>
      <c r="AZ44" s="105"/>
      <c r="BA44" s="106">
        <f>+'Dropped Project'!$K44*지급비율!AP23</f>
        <v>0</v>
      </c>
      <c r="BB44" s="106"/>
      <c r="BC44" s="106">
        <f t="shared" si="69"/>
        <v>0</v>
      </c>
      <c r="BD44" s="101"/>
      <c r="BE44" s="85"/>
      <c r="BF44" s="101"/>
      <c r="BG44" s="105"/>
      <c r="BH44" s="106">
        <f>+'Dropped Project'!$K44*지급비율!AW23</f>
        <v>0</v>
      </c>
      <c r="BI44" s="106"/>
      <c r="BJ44" s="106">
        <f t="shared" si="70"/>
        <v>0</v>
      </c>
      <c r="BK44" s="101"/>
      <c r="BL44" s="104">
        <v>46112</v>
      </c>
      <c r="BM44" s="101"/>
      <c r="BN44" s="105">
        <f>+IFERROR(BO44/'Dropped Project'!$K44,"-")</f>
        <v>1</v>
      </c>
      <c r="BO44" s="106">
        <f>+'Dropped Project'!$K44*지급비율!BD23</f>
        <v>34925000</v>
      </c>
      <c r="BP44" s="106">
        <v>0</v>
      </c>
      <c r="BQ44" s="106">
        <f t="shared" si="71"/>
        <v>34925000</v>
      </c>
      <c r="BR44" s="101"/>
      <c r="BS44" s="88"/>
      <c r="BT44" s="89" t="b">
        <f>+'Dropped Project'!R44+'Dropped Project'!Y44+'Dropped Project'!AF44+'Dropped Project'!AT44+'Dropped Project'!BA44+'Dropped Project'!BH44+'Dropped Project'!BO44='Dropped Project'!K44</f>
        <v>1</v>
      </c>
      <c r="BU44" s="90" t="b">
        <f>+'Dropped Project'!S44+'Dropped Project'!Z44+'Dropped Project'!AG44+'Dropped Project'!AU44+'Dropped Project'!BB44+'Dropped Project'!BI44+'Dropped Project'!BP44='Dropped Project'!M44</f>
        <v>1</v>
      </c>
      <c r="BV44" s="89"/>
      <c r="BW44" s="54"/>
      <c r="BX44" s="54"/>
      <c r="BY44" s="54"/>
      <c r="BZ44" s="54"/>
      <c r="CA44" s="54"/>
      <c r="CB44" s="54"/>
      <c r="CC44" s="54"/>
      <c r="CD44" s="54"/>
      <c r="CE44" s="58"/>
      <c r="CF44" s="58"/>
    </row>
    <row r="45" spans="1:84" ht="16.5" customHeight="1">
      <c r="A45" s="62"/>
      <c r="B45" s="1322"/>
      <c r="C45" s="1579"/>
      <c r="D45" s="1584"/>
      <c r="E45" s="1586"/>
      <c r="F45" s="1345"/>
      <c r="G45" s="1324"/>
      <c r="H45" s="91" t="s">
        <v>392</v>
      </c>
      <c r="I45" s="92">
        <f>SUM(I41:I44)</f>
        <v>277812500</v>
      </c>
      <c r="J45" s="92">
        <f>SUM(J41:J44)</f>
        <v>27781250</v>
      </c>
      <c r="K45" s="92">
        <f>SUM(K41:K44)</f>
        <v>305593750</v>
      </c>
      <c r="L45" s="91">
        <f t="shared" si="48"/>
        <v>0.11428571428571428</v>
      </c>
      <c r="M45" s="92">
        <f>SUM(M41:M44)</f>
        <v>34925000</v>
      </c>
      <c r="N45" s="92">
        <f>SUM(N41:N44)</f>
        <v>270668750</v>
      </c>
      <c r="O45" s="93"/>
      <c r="P45" s="91"/>
      <c r="Q45" s="94">
        <f>+IFERROR(R45/'Dropped Project'!$K45,"-")</f>
        <v>5.7142857142857141E-2</v>
      </c>
      <c r="R45" s="92">
        <f>SUM(R41:R44)</f>
        <v>17462500</v>
      </c>
      <c r="S45" s="170">
        <f>SUM(S41:S44)</f>
        <v>17462500</v>
      </c>
      <c r="T45" s="92">
        <f t="shared" si="64"/>
        <v>0</v>
      </c>
      <c r="U45" s="91"/>
      <c r="V45" s="93"/>
      <c r="W45" s="91"/>
      <c r="X45" s="94">
        <f>+IFERROR(Y45/'Dropped Project'!$K45,"-")</f>
        <v>5.7142857142857141E-2</v>
      </c>
      <c r="Y45" s="92">
        <f>SUM(Y41:Y44)</f>
        <v>17462500</v>
      </c>
      <c r="Z45" s="170">
        <f>SUM(Z41:Z44)</f>
        <v>17462500</v>
      </c>
      <c r="AA45" s="92">
        <f t="shared" si="65"/>
        <v>0</v>
      </c>
      <c r="AB45" s="91"/>
      <c r="AC45" s="93"/>
      <c r="AD45" s="91"/>
      <c r="AE45" s="94">
        <f>+IFERROR(AF45/'Dropped Project'!$K45,"-")</f>
        <v>0.44285714285714284</v>
      </c>
      <c r="AF45" s="92">
        <f>SUM(AF41:AF44)</f>
        <v>135334375</v>
      </c>
      <c r="AG45" s="92">
        <f>SUM(AG41:AG44)</f>
        <v>0</v>
      </c>
      <c r="AH45" s="92">
        <f t="shared" si="66"/>
        <v>135334375</v>
      </c>
      <c r="AI45" s="91"/>
      <c r="AJ45" s="93"/>
      <c r="AK45" s="91"/>
      <c r="AL45" s="94">
        <f>+IFERROR(AM45/'Dropped Project'!$K45,"-")</f>
        <v>0</v>
      </c>
      <c r="AM45" s="92">
        <f>SUM(AM41:AM44)</f>
        <v>0</v>
      </c>
      <c r="AN45" s="92">
        <f>SUM(AN41:AN44)</f>
        <v>0</v>
      </c>
      <c r="AO45" s="92">
        <f t="shared" si="67"/>
        <v>0</v>
      </c>
      <c r="AP45" s="91"/>
      <c r="AQ45" s="93"/>
      <c r="AR45" s="91"/>
      <c r="AS45" s="94">
        <f>+IFERROR(AT45/'Dropped Project'!$K45,"-")</f>
        <v>0</v>
      </c>
      <c r="AT45" s="92">
        <f>SUM(AT41:AT44)</f>
        <v>0</v>
      </c>
      <c r="AU45" s="92">
        <f>SUM(AU41:AU44)</f>
        <v>0</v>
      </c>
      <c r="AV45" s="92">
        <f t="shared" si="68"/>
        <v>0</v>
      </c>
      <c r="AW45" s="91"/>
      <c r="AX45" s="93"/>
      <c r="AY45" s="91"/>
      <c r="AZ45" s="94">
        <f>+IFERROR(BA45/'Dropped Project'!$K45,"-")</f>
        <v>0</v>
      </c>
      <c r="BA45" s="92">
        <f>SUM(BA41:BA44)</f>
        <v>0</v>
      </c>
      <c r="BB45" s="92">
        <f>SUM(BB41:BB44)</f>
        <v>0</v>
      </c>
      <c r="BC45" s="92">
        <f t="shared" si="69"/>
        <v>0</v>
      </c>
      <c r="BD45" s="91"/>
      <c r="BE45" s="93"/>
      <c r="BF45" s="91"/>
      <c r="BG45" s="94">
        <f>+IFERROR(BH45/'Dropped Project'!$K45,"-")</f>
        <v>0.24</v>
      </c>
      <c r="BH45" s="92">
        <f>SUM(BH41:BH44)</f>
        <v>73342500</v>
      </c>
      <c r="BI45" s="92">
        <f>SUM(BI41:BI44)</f>
        <v>0</v>
      </c>
      <c r="BJ45" s="92">
        <f t="shared" si="70"/>
        <v>73342500</v>
      </c>
      <c r="BK45" s="91"/>
      <c r="BL45" s="93"/>
      <c r="BM45" s="91"/>
      <c r="BN45" s="94">
        <f>+IFERROR(BO45/'Dropped Project'!$K45,"-")</f>
        <v>0.20285714285714285</v>
      </c>
      <c r="BO45" s="92">
        <f>SUM(BO41:BO44)</f>
        <v>61991875</v>
      </c>
      <c r="BP45" s="92">
        <f>SUM(BP41:BP44)</f>
        <v>0</v>
      </c>
      <c r="BQ45" s="92">
        <f t="shared" si="71"/>
        <v>61991875</v>
      </c>
      <c r="BR45" s="91"/>
      <c r="BS45" s="88"/>
      <c r="BT45" s="96"/>
      <c r="BU45" s="96"/>
      <c r="BV45" s="139"/>
      <c r="BW45" s="54"/>
      <c r="BX45" s="54"/>
      <c r="BY45" s="54"/>
      <c r="BZ45" s="54"/>
      <c r="CA45" s="54"/>
      <c r="CB45" s="54"/>
      <c r="CC45" s="54"/>
      <c r="CD45" s="54"/>
      <c r="CE45" s="58"/>
      <c r="CF45" s="58"/>
    </row>
    <row r="46" spans="1:84" ht="16.5" customHeight="1">
      <c r="A46" s="146"/>
      <c r="B46" s="1587" t="s">
        <v>392</v>
      </c>
      <c r="C46" s="1588"/>
      <c r="D46" s="1589"/>
      <c r="E46" s="1529"/>
      <c r="F46" s="1536">
        <f>+SUM(F11:F25)</f>
        <v>778.3900000000001</v>
      </c>
      <c r="G46" s="1529"/>
      <c r="H46" s="147" t="s">
        <v>388</v>
      </c>
      <c r="I46" s="148">
        <f>+I11+I16+I21+I26+I31+I36+I41</f>
        <v>1258267500</v>
      </c>
      <c r="J46" s="148">
        <f>+I46*10%</f>
        <v>125826750</v>
      </c>
      <c r="K46" s="148">
        <f t="shared" ref="K46:K48" si="72">SUM(I46:J46)</f>
        <v>1384094250</v>
      </c>
      <c r="L46" s="147">
        <f t="shared" si="1"/>
        <v>0</v>
      </c>
      <c r="M46" s="148">
        <f>+M11+M16+M21</f>
        <v>0</v>
      </c>
      <c r="N46" s="148">
        <f>+N11+N16+N21+N26+N31+N36+N41</f>
        <v>1384094250</v>
      </c>
      <c r="O46" s="149"/>
      <c r="P46" s="149"/>
      <c r="Q46" s="141">
        <f t="shared" si="58"/>
        <v>0</v>
      </c>
      <c r="R46" s="148">
        <f t="shared" ref="R46:S49" si="73">+R11+R16+R21+R26+R31+R36+R41</f>
        <v>0</v>
      </c>
      <c r="S46" s="148">
        <f t="shared" si="73"/>
        <v>0</v>
      </c>
      <c r="T46" s="150">
        <f t="shared" si="49"/>
        <v>0</v>
      </c>
      <c r="U46" s="151"/>
      <c r="V46" s="149"/>
      <c r="W46" s="149"/>
      <c r="X46" s="141">
        <f t="shared" si="59"/>
        <v>0</v>
      </c>
      <c r="Y46" s="148">
        <f t="shared" ref="Y46:Z46" si="74">+Y11+Y16+Y21+Y26+Y31+Y36+Y41</f>
        <v>0</v>
      </c>
      <c r="Z46" s="148">
        <f t="shared" si="74"/>
        <v>0</v>
      </c>
      <c r="AA46" s="150">
        <f t="shared" si="50"/>
        <v>0</v>
      </c>
      <c r="AB46" s="151"/>
      <c r="AC46" s="149"/>
      <c r="AD46" s="149"/>
      <c r="AE46" s="141">
        <f t="shared" si="60"/>
        <v>0.5</v>
      </c>
      <c r="AF46" s="148">
        <f t="shared" ref="AF46:AG46" si="75">+AF11+AF16+AF21+AF26+AF31+AF36+AF41</f>
        <v>692047125</v>
      </c>
      <c r="AG46" s="148">
        <f t="shared" si="75"/>
        <v>0</v>
      </c>
      <c r="AH46" s="150">
        <f t="shared" si="51"/>
        <v>692047125</v>
      </c>
      <c r="AI46" s="151"/>
      <c r="AJ46" s="149"/>
      <c r="AK46" s="149"/>
      <c r="AL46" s="141">
        <f t="shared" si="2"/>
        <v>0</v>
      </c>
      <c r="AM46" s="148">
        <f t="shared" ref="AM46:AN46" si="76">+AM11+AM16+AM21+AM26+AM31+AM36+AM41</f>
        <v>0</v>
      </c>
      <c r="AN46" s="148">
        <f t="shared" si="76"/>
        <v>0</v>
      </c>
      <c r="AO46" s="150">
        <f t="shared" si="52"/>
        <v>0</v>
      </c>
      <c r="AP46" s="151"/>
      <c r="AQ46" s="149"/>
      <c r="AR46" s="149"/>
      <c r="AS46" s="141">
        <f t="shared" si="61"/>
        <v>0</v>
      </c>
      <c r="AT46" s="148">
        <f t="shared" ref="AT46:AU46" si="77">+AT11+AT16+AT21+AT26+AT31+AT36+AT41</f>
        <v>0</v>
      </c>
      <c r="AU46" s="148">
        <f t="shared" si="77"/>
        <v>0</v>
      </c>
      <c r="AV46" s="150">
        <f t="shared" si="53"/>
        <v>0</v>
      </c>
      <c r="AW46" s="151"/>
      <c r="AX46" s="149"/>
      <c r="AY46" s="149"/>
      <c r="AZ46" s="141">
        <f t="shared" si="62"/>
        <v>0</v>
      </c>
      <c r="BA46" s="148">
        <f t="shared" ref="BA46:BB46" si="78">+BA11+BA16+BA21+BA26+BA31+BA36+BA41</f>
        <v>0</v>
      </c>
      <c r="BB46" s="148">
        <f t="shared" si="78"/>
        <v>0</v>
      </c>
      <c r="BC46" s="150">
        <f t="shared" si="54"/>
        <v>0</v>
      </c>
      <c r="BD46" s="151"/>
      <c r="BE46" s="149"/>
      <c r="BF46" s="149"/>
      <c r="BG46" s="141">
        <v>0</v>
      </c>
      <c r="BH46" s="148">
        <f t="shared" ref="BH46:BI46" si="79">+BH11+BH16+BH21+BH26+BH31+BH36+BH41</f>
        <v>553637700</v>
      </c>
      <c r="BI46" s="148">
        <f t="shared" si="79"/>
        <v>0</v>
      </c>
      <c r="BJ46" s="150">
        <f t="shared" si="55"/>
        <v>553637700</v>
      </c>
      <c r="BK46" s="151"/>
      <c r="BL46" s="149"/>
      <c r="BM46" s="149"/>
      <c r="BN46" s="117">
        <f t="shared" si="56"/>
        <v>0.1</v>
      </c>
      <c r="BO46" s="148">
        <f t="shared" ref="BO46:BP46" si="80">+BO11+BO16+BO21+BO26+BO31+BO36+BO41</f>
        <v>138409425</v>
      </c>
      <c r="BP46" s="148">
        <f t="shared" si="80"/>
        <v>0</v>
      </c>
      <c r="BQ46" s="150">
        <f t="shared" si="57"/>
        <v>138409425</v>
      </c>
      <c r="BR46" s="151"/>
      <c r="BS46" s="73"/>
      <c r="BT46" s="113">
        <f t="shared" ref="BT46:BV48" si="81">+IFERROR(CD46+CG46+CJ46+CM46+CP46+CS46,"-")</f>
        <v>0</v>
      </c>
      <c r="BU46" s="113">
        <f t="shared" si="81"/>
        <v>0</v>
      </c>
      <c r="BV46" s="113">
        <f t="shared" si="81"/>
        <v>0</v>
      </c>
      <c r="BW46" s="54"/>
      <c r="BX46" s="54"/>
      <c r="BY46" s="54"/>
      <c r="BZ46" s="54"/>
      <c r="CA46" s="54"/>
      <c r="CB46" s="54"/>
      <c r="CC46" s="54"/>
      <c r="CD46" s="54"/>
      <c r="CE46" s="58"/>
      <c r="CF46" s="58"/>
    </row>
    <row r="47" spans="1:84" ht="16.5" customHeight="1">
      <c r="A47" s="146"/>
      <c r="B47" s="1590"/>
      <c r="C47" s="1591"/>
      <c r="D47" s="1592"/>
      <c r="E47" s="1529"/>
      <c r="F47" s="1536"/>
      <c r="G47" s="1529"/>
      <c r="H47" s="114" t="s">
        <v>389</v>
      </c>
      <c r="I47" s="115">
        <f t="shared" ref="I47:I49" si="82">+I12+I17+I22+I27+I32+I37+I42</f>
        <v>359505000</v>
      </c>
      <c r="J47" s="115">
        <f>+I47*10%</f>
        <v>35950500</v>
      </c>
      <c r="K47" s="115">
        <f t="shared" si="72"/>
        <v>395455500</v>
      </c>
      <c r="L47" s="114">
        <f t="shared" si="1"/>
        <v>0.21265907289189301</v>
      </c>
      <c r="M47" s="115">
        <f>+M12+M17+M22</f>
        <v>84097200</v>
      </c>
      <c r="N47" s="115">
        <f t="shared" ref="N47:N49" si="83">+N12+N17+N22+N27+N32+N37+N42</f>
        <v>230987130</v>
      </c>
      <c r="O47" s="152"/>
      <c r="P47" s="152"/>
      <c r="Q47" s="117">
        <f t="shared" si="58"/>
        <v>0.2</v>
      </c>
      <c r="R47" s="115">
        <f t="shared" si="73"/>
        <v>79091100</v>
      </c>
      <c r="S47" s="115">
        <f t="shared" si="73"/>
        <v>79091100</v>
      </c>
      <c r="T47" s="153">
        <f t="shared" si="23"/>
        <v>0</v>
      </c>
      <c r="U47" s="118"/>
      <c r="V47" s="152"/>
      <c r="W47" s="152"/>
      <c r="X47" s="117">
        <f t="shared" si="59"/>
        <v>0.2</v>
      </c>
      <c r="Y47" s="115">
        <f t="shared" ref="Y47:Z47" si="84">+Y12+Y17+Y22+Y27+Y32+Y37+Y42</f>
        <v>79091100</v>
      </c>
      <c r="Z47" s="115">
        <f t="shared" si="84"/>
        <v>60440820</v>
      </c>
      <c r="AA47" s="153">
        <f t="shared" ref="AA47:AA48" si="85">+Y47-Z47</f>
        <v>18650280</v>
      </c>
      <c r="AB47" s="118"/>
      <c r="AC47" s="152"/>
      <c r="AD47" s="152"/>
      <c r="AE47" s="117">
        <f t="shared" si="60"/>
        <v>0.5</v>
      </c>
      <c r="AF47" s="115">
        <f t="shared" ref="AF47:AG47" si="86">+AF12+AF17+AF22+AF27+AF32+AF37+AF42</f>
        <v>197727750</v>
      </c>
      <c r="AG47" s="115">
        <f t="shared" si="86"/>
        <v>24936450</v>
      </c>
      <c r="AH47" s="153">
        <f t="shared" ref="AH47:AH48" si="87">+AF47-AG47</f>
        <v>172791300</v>
      </c>
      <c r="AI47" s="118"/>
      <c r="AJ47" s="152"/>
      <c r="AK47" s="152"/>
      <c r="AL47" s="117">
        <f t="shared" si="2"/>
        <v>0</v>
      </c>
      <c r="AM47" s="115">
        <f t="shared" ref="AM47:AN47" si="88">+AM12+AM17+AM22+AM27+AM32+AM37+AM42</f>
        <v>0</v>
      </c>
      <c r="AN47" s="115">
        <f t="shared" si="88"/>
        <v>0</v>
      </c>
      <c r="AO47" s="153">
        <f t="shared" ref="AO47:AO48" si="89">+AM47-AN47</f>
        <v>0</v>
      </c>
      <c r="AP47" s="118"/>
      <c r="AQ47" s="152"/>
      <c r="AR47" s="152"/>
      <c r="AS47" s="117">
        <f t="shared" si="61"/>
        <v>0</v>
      </c>
      <c r="AT47" s="115">
        <f t="shared" ref="AT47:AU47" si="90">+AT12+AT17+AT22+AT27+AT32+AT37+AT42</f>
        <v>0</v>
      </c>
      <c r="AU47" s="115">
        <f t="shared" si="90"/>
        <v>0</v>
      </c>
      <c r="AV47" s="153">
        <f t="shared" ref="AV47:AV48" si="91">+AT47-AU47</f>
        <v>0</v>
      </c>
      <c r="AW47" s="118"/>
      <c r="AX47" s="152"/>
      <c r="AY47" s="152"/>
      <c r="AZ47" s="117">
        <f t="shared" si="62"/>
        <v>0</v>
      </c>
      <c r="BA47" s="115">
        <f t="shared" ref="BA47:BB47" si="92">+BA12+BA17+BA22+BA27+BA32+BA37+BA42</f>
        <v>0</v>
      </c>
      <c r="BB47" s="115">
        <f t="shared" si="92"/>
        <v>0</v>
      </c>
      <c r="BC47" s="153">
        <f t="shared" ref="BC47:BC48" si="93">+BA47-BB47</f>
        <v>0</v>
      </c>
      <c r="BD47" s="118"/>
      <c r="BE47" s="152"/>
      <c r="BF47" s="152"/>
      <c r="BG47" s="117">
        <v>0</v>
      </c>
      <c r="BH47" s="115">
        <f t="shared" ref="BH47:BI47" si="94">+BH12+BH17+BH22+BH27+BH32+BH37+BH42</f>
        <v>0</v>
      </c>
      <c r="BI47" s="115">
        <f t="shared" si="94"/>
        <v>0</v>
      </c>
      <c r="BJ47" s="153">
        <f t="shared" ref="BJ47:BJ48" si="95">+BH47-BI47</f>
        <v>0</v>
      </c>
      <c r="BK47" s="118"/>
      <c r="BL47" s="152"/>
      <c r="BM47" s="152"/>
      <c r="BN47" s="117">
        <f t="shared" ref="BN47:BN50" si="96">+IFERROR(BO47/$K47,"-")</f>
        <v>0.1</v>
      </c>
      <c r="BO47" s="115">
        <f t="shared" ref="BO47:BP47" si="97">+BO12+BO17+BO22+BO27+BO32+BO37+BO42</f>
        <v>39545550</v>
      </c>
      <c r="BP47" s="115">
        <f t="shared" si="97"/>
        <v>0</v>
      </c>
      <c r="BQ47" s="153">
        <f t="shared" ref="BQ47:BQ48" si="98">+BO47-BP47</f>
        <v>39545550</v>
      </c>
      <c r="BR47" s="118"/>
      <c r="BS47" s="73"/>
      <c r="BT47" s="113">
        <f t="shared" si="81"/>
        <v>0</v>
      </c>
      <c r="BU47" s="113">
        <f t="shared" si="81"/>
        <v>0</v>
      </c>
      <c r="BV47" s="113">
        <f t="shared" si="81"/>
        <v>0</v>
      </c>
      <c r="BW47" s="54"/>
      <c r="BX47" s="54"/>
      <c r="BY47" s="54"/>
      <c r="BZ47" s="54"/>
      <c r="CA47" s="54"/>
      <c r="CB47" s="54"/>
      <c r="CC47" s="54"/>
      <c r="CD47" s="54"/>
      <c r="CE47" s="58"/>
      <c r="CF47" s="58"/>
    </row>
    <row r="48" spans="1:84" ht="16.5" customHeight="1">
      <c r="A48" s="146"/>
      <c r="B48" s="1590"/>
      <c r="C48" s="1591"/>
      <c r="D48" s="1592"/>
      <c r="E48" s="1529"/>
      <c r="F48" s="1536"/>
      <c r="G48" s="1529"/>
      <c r="H48" s="114" t="s">
        <v>390</v>
      </c>
      <c r="I48" s="115">
        <f t="shared" si="82"/>
        <v>239670000</v>
      </c>
      <c r="J48" s="115">
        <f t="shared" ref="J48" si="99">+I48*10%</f>
        <v>23967000</v>
      </c>
      <c r="K48" s="115">
        <f t="shared" si="72"/>
        <v>263637000</v>
      </c>
      <c r="L48" s="114">
        <f t="shared" si="1"/>
        <v>0.21265907289189301</v>
      </c>
      <c r="M48" s="115">
        <f>+M13+M18+M23</f>
        <v>56064800</v>
      </c>
      <c r="N48" s="115">
        <f t="shared" si="83"/>
        <v>153912220</v>
      </c>
      <c r="O48" s="152"/>
      <c r="P48" s="152"/>
      <c r="Q48" s="117">
        <f t="shared" si="58"/>
        <v>0.2</v>
      </c>
      <c r="R48" s="115">
        <f t="shared" si="73"/>
        <v>52727400</v>
      </c>
      <c r="S48" s="115">
        <f t="shared" si="73"/>
        <v>52727400</v>
      </c>
      <c r="T48" s="153">
        <f t="shared" si="23"/>
        <v>0</v>
      </c>
      <c r="U48" s="118"/>
      <c r="V48" s="152"/>
      <c r="W48" s="152"/>
      <c r="X48" s="117">
        <f t="shared" si="59"/>
        <v>0.2</v>
      </c>
      <c r="Y48" s="115">
        <f t="shared" ref="Y48:Z48" si="100">+Y13+Y18+Y23+Y28+Y33+Y38+Y43</f>
        <v>52727400</v>
      </c>
      <c r="Z48" s="115">
        <f t="shared" si="100"/>
        <v>40373080</v>
      </c>
      <c r="AA48" s="153">
        <f t="shared" si="85"/>
        <v>12354320</v>
      </c>
      <c r="AB48" s="118"/>
      <c r="AC48" s="152"/>
      <c r="AD48" s="152"/>
      <c r="AE48" s="117">
        <f t="shared" si="60"/>
        <v>0.5</v>
      </c>
      <c r="AF48" s="115">
        <f t="shared" ref="AF48:AG48" si="101">+AF13+AF18+AF23+AF28+AF33+AF38+AF43</f>
        <v>131818500</v>
      </c>
      <c r="AG48" s="115">
        <f t="shared" si="101"/>
        <v>16624300</v>
      </c>
      <c r="AH48" s="153">
        <f t="shared" si="87"/>
        <v>115194200</v>
      </c>
      <c r="AI48" s="118"/>
      <c r="AJ48" s="152"/>
      <c r="AK48" s="152"/>
      <c r="AL48" s="117">
        <f t="shared" si="2"/>
        <v>0</v>
      </c>
      <c r="AM48" s="115">
        <f t="shared" ref="AM48:AN48" si="102">+AM13+AM18+AM23+AM28+AM33+AM38+AM43</f>
        <v>0</v>
      </c>
      <c r="AN48" s="115">
        <f t="shared" si="102"/>
        <v>0</v>
      </c>
      <c r="AO48" s="153">
        <f t="shared" si="89"/>
        <v>0</v>
      </c>
      <c r="AP48" s="118"/>
      <c r="AQ48" s="152"/>
      <c r="AR48" s="152"/>
      <c r="AS48" s="117">
        <f t="shared" si="61"/>
        <v>0</v>
      </c>
      <c r="AT48" s="115">
        <f t="shared" ref="AT48:AU48" si="103">+AT13+AT18+AT23+AT28+AT33+AT38+AT43</f>
        <v>0</v>
      </c>
      <c r="AU48" s="115">
        <f t="shared" si="103"/>
        <v>0</v>
      </c>
      <c r="AV48" s="153">
        <f t="shared" si="91"/>
        <v>0</v>
      </c>
      <c r="AW48" s="118"/>
      <c r="AX48" s="152"/>
      <c r="AY48" s="152"/>
      <c r="AZ48" s="117">
        <f t="shared" si="62"/>
        <v>0</v>
      </c>
      <c r="BA48" s="115">
        <f t="shared" ref="BA48:BB48" si="104">+BA13+BA18+BA23+BA28+BA33+BA38+BA43</f>
        <v>0</v>
      </c>
      <c r="BB48" s="115">
        <f t="shared" si="104"/>
        <v>0</v>
      </c>
      <c r="BC48" s="153">
        <f t="shared" si="93"/>
        <v>0</v>
      </c>
      <c r="BD48" s="118"/>
      <c r="BE48" s="152"/>
      <c r="BF48" s="152"/>
      <c r="BG48" s="117">
        <v>0</v>
      </c>
      <c r="BH48" s="115">
        <f t="shared" ref="BH48:BI48" si="105">+BH13+BH18+BH23+BH28+BH33+BH38+BH43</f>
        <v>0</v>
      </c>
      <c r="BI48" s="115">
        <f t="shared" si="105"/>
        <v>0</v>
      </c>
      <c r="BJ48" s="153">
        <f t="shared" si="95"/>
        <v>0</v>
      </c>
      <c r="BK48" s="118"/>
      <c r="BL48" s="152"/>
      <c r="BM48" s="152"/>
      <c r="BN48" s="117">
        <f t="shared" si="96"/>
        <v>0.1</v>
      </c>
      <c r="BO48" s="115">
        <f t="shared" ref="BO48:BP48" si="106">+BO13+BO18+BO23+BO28+BO33+BO38+BO43</f>
        <v>26363700</v>
      </c>
      <c r="BP48" s="115">
        <f t="shared" si="106"/>
        <v>0</v>
      </c>
      <c r="BQ48" s="153">
        <f t="shared" si="98"/>
        <v>26363700</v>
      </c>
      <c r="BR48" s="118"/>
      <c r="BS48" s="73"/>
      <c r="BT48" s="113">
        <f t="shared" si="81"/>
        <v>0</v>
      </c>
      <c r="BU48" s="113">
        <f t="shared" si="81"/>
        <v>0</v>
      </c>
      <c r="BV48" s="113">
        <f t="shared" si="81"/>
        <v>0</v>
      </c>
      <c r="BW48" s="54"/>
      <c r="BX48" s="54"/>
      <c r="BY48" s="54"/>
      <c r="BZ48" s="54"/>
      <c r="CA48" s="54"/>
      <c r="CB48" s="54"/>
      <c r="CC48" s="54"/>
      <c r="CD48" s="54"/>
      <c r="CE48" s="58"/>
      <c r="CF48" s="58"/>
    </row>
    <row r="49" spans="1:84" ht="16.5" customHeight="1">
      <c r="A49" s="146"/>
      <c r="B49" s="1590"/>
      <c r="C49" s="1591"/>
      <c r="D49" s="1592"/>
      <c r="E49" s="1529"/>
      <c r="F49" s="1536"/>
      <c r="G49" s="1529"/>
      <c r="H49" s="119" t="s">
        <v>391</v>
      </c>
      <c r="I49" s="120">
        <f t="shared" si="82"/>
        <v>239670000</v>
      </c>
      <c r="J49" s="120">
        <f>+I49*0.1</f>
        <v>23967000</v>
      </c>
      <c r="K49" s="120">
        <f>SUM(I49:J49)</f>
        <v>263637000</v>
      </c>
      <c r="L49" s="154"/>
      <c r="M49" s="120">
        <f>+M14+M19+M24</f>
        <v>0</v>
      </c>
      <c r="N49" s="120">
        <f t="shared" si="83"/>
        <v>263637000</v>
      </c>
      <c r="O49" s="155"/>
      <c r="P49" s="155"/>
      <c r="Q49" s="121">
        <f t="shared" si="58"/>
        <v>0</v>
      </c>
      <c r="R49" s="120">
        <f t="shared" si="73"/>
        <v>0</v>
      </c>
      <c r="S49" s="120">
        <f t="shared" si="73"/>
        <v>0</v>
      </c>
      <c r="T49" s="156">
        <f>+R49-S49</f>
        <v>0</v>
      </c>
      <c r="U49" s="157"/>
      <c r="V49" s="155"/>
      <c r="W49" s="155"/>
      <c r="X49" s="121">
        <f t="shared" si="59"/>
        <v>0</v>
      </c>
      <c r="Y49" s="120">
        <f t="shared" ref="Y49:Z49" si="107">+Y14+Y19+Y24+Y29+Y34+Y39+Y44</f>
        <v>0</v>
      </c>
      <c r="Z49" s="120">
        <f t="shared" si="107"/>
        <v>0</v>
      </c>
      <c r="AA49" s="156">
        <f>+Y49-Z49</f>
        <v>0</v>
      </c>
      <c r="AB49" s="157"/>
      <c r="AC49" s="155"/>
      <c r="AD49" s="155"/>
      <c r="AE49" s="121">
        <f t="shared" si="60"/>
        <v>0</v>
      </c>
      <c r="AF49" s="120">
        <f t="shared" ref="AF49:AG49" si="108">+AF14+AF19+AF24+AF29+AF34+AF39+AF44</f>
        <v>0</v>
      </c>
      <c r="AG49" s="120">
        <f t="shared" si="108"/>
        <v>0</v>
      </c>
      <c r="AH49" s="156">
        <f>+AF49-AG49</f>
        <v>0</v>
      </c>
      <c r="AI49" s="157"/>
      <c r="AJ49" s="155"/>
      <c r="AK49" s="155"/>
      <c r="AL49" s="121">
        <f t="shared" si="2"/>
        <v>0</v>
      </c>
      <c r="AM49" s="120">
        <f t="shared" ref="AM49:AN49" si="109">+AM14+AM19+AM24+AM29+AM34+AM39+AM44</f>
        <v>0</v>
      </c>
      <c r="AN49" s="120">
        <f t="shared" si="109"/>
        <v>0</v>
      </c>
      <c r="AO49" s="156">
        <f>+AM49-AN49</f>
        <v>0</v>
      </c>
      <c r="AP49" s="157"/>
      <c r="AQ49" s="155"/>
      <c r="AR49" s="155"/>
      <c r="AS49" s="121">
        <f t="shared" si="61"/>
        <v>0</v>
      </c>
      <c r="AT49" s="120">
        <f t="shared" ref="AT49:AU49" si="110">+AT14+AT19+AT24+AT29+AT34+AT39+AT44</f>
        <v>0</v>
      </c>
      <c r="AU49" s="120">
        <f t="shared" si="110"/>
        <v>0</v>
      </c>
      <c r="AV49" s="156">
        <f>+AT49-AU49</f>
        <v>0</v>
      </c>
      <c r="AW49" s="157"/>
      <c r="AX49" s="155"/>
      <c r="AY49" s="155"/>
      <c r="AZ49" s="121">
        <f t="shared" si="62"/>
        <v>0</v>
      </c>
      <c r="BA49" s="120">
        <f t="shared" ref="BA49:BB49" si="111">+BA14+BA19+BA24+BA29+BA34+BA39+BA44</f>
        <v>0</v>
      </c>
      <c r="BB49" s="120">
        <f t="shared" si="111"/>
        <v>0</v>
      </c>
      <c r="BC49" s="156">
        <f>+BA49-BB49</f>
        <v>0</v>
      </c>
      <c r="BD49" s="157"/>
      <c r="BE49" s="155"/>
      <c r="BF49" s="155"/>
      <c r="BG49" s="121">
        <v>0</v>
      </c>
      <c r="BH49" s="120">
        <f t="shared" ref="BH49:BI49" si="112">+BH14+BH19+BH24+BH29+BH34+BH39+BH44</f>
        <v>0</v>
      </c>
      <c r="BI49" s="120">
        <f t="shared" si="112"/>
        <v>0</v>
      </c>
      <c r="BJ49" s="156">
        <f>+BH49-BI49</f>
        <v>0</v>
      </c>
      <c r="BK49" s="157"/>
      <c r="BL49" s="155"/>
      <c r="BM49" s="155"/>
      <c r="BN49" s="121">
        <f t="shared" si="96"/>
        <v>1</v>
      </c>
      <c r="BO49" s="120">
        <f t="shared" ref="BO49:BP49" si="113">+BO14+BO19+BO24+BO29+BO34+BO39+BO44</f>
        <v>263637000</v>
      </c>
      <c r="BP49" s="120">
        <f t="shared" si="113"/>
        <v>0</v>
      </c>
      <c r="BQ49" s="156">
        <f>+BO49-BP49</f>
        <v>263637000</v>
      </c>
      <c r="BR49" s="157"/>
      <c r="BS49" s="158"/>
      <c r="BT49" s="122"/>
      <c r="BU49" s="123"/>
      <c r="BV49" s="122"/>
      <c r="BW49" s="54"/>
      <c r="BX49" s="54"/>
      <c r="BY49" s="54"/>
      <c r="BZ49" s="54"/>
      <c r="CA49" s="54"/>
      <c r="CB49" s="54"/>
      <c r="CC49" s="54"/>
      <c r="CD49" s="54"/>
      <c r="CE49" s="54"/>
      <c r="CF49" s="54"/>
    </row>
    <row r="50" spans="1:84" ht="16.5" customHeight="1">
      <c r="A50" s="62"/>
      <c r="B50" s="1593"/>
      <c r="C50" s="1594"/>
      <c r="D50" s="1595"/>
      <c r="E50" s="1529"/>
      <c r="F50" s="1536"/>
      <c r="G50" s="1529"/>
      <c r="H50" s="124" t="s">
        <v>392</v>
      </c>
      <c r="I50" s="125">
        <f>SUM(I46:I49)</f>
        <v>2097112500</v>
      </c>
      <c r="J50" s="125">
        <f>SUM(J46:J49)</f>
        <v>209711250</v>
      </c>
      <c r="K50" s="125">
        <f>SUM(K46:K49)</f>
        <v>2306823750</v>
      </c>
      <c r="L50" s="124">
        <f t="shared" ref="L50" si="114">+IFERROR(M50/K50,"-")</f>
        <v>6.0759735111969436E-2</v>
      </c>
      <c r="M50" s="125">
        <f>SUM(M46:M49)</f>
        <v>140162000</v>
      </c>
      <c r="N50" s="125">
        <f>SUM(N46:N49)</f>
        <v>2032630600</v>
      </c>
      <c r="O50" s="126"/>
      <c r="P50" s="124"/>
      <c r="Q50" s="127">
        <f t="shared" si="58"/>
        <v>5.7142857142857141E-2</v>
      </c>
      <c r="R50" s="125">
        <f>SUM(R46:R49)</f>
        <v>131818500</v>
      </c>
      <c r="S50" s="125">
        <f>SUM(S46:S49)</f>
        <v>131818500</v>
      </c>
      <c r="T50" s="128">
        <f t="shared" ref="T50" si="115">+R50-S50</f>
        <v>0</v>
      </c>
      <c r="U50" s="124"/>
      <c r="V50" s="126"/>
      <c r="W50" s="124"/>
      <c r="X50" s="127">
        <f t="shared" si="59"/>
        <v>5.7142857142857141E-2</v>
      </c>
      <c r="Y50" s="125">
        <f>SUM(Y46:Y49)</f>
        <v>131818500</v>
      </c>
      <c r="Z50" s="125">
        <f>SUM(Z46:Z49)</f>
        <v>100813900</v>
      </c>
      <c r="AA50" s="128">
        <f t="shared" ref="AA50" si="116">+Y50-Z50</f>
        <v>31004600</v>
      </c>
      <c r="AB50" s="124"/>
      <c r="AC50" s="126"/>
      <c r="AD50" s="124"/>
      <c r="AE50" s="127">
        <f t="shared" si="60"/>
        <v>0.44285714285714284</v>
      </c>
      <c r="AF50" s="125">
        <f>SUM(AF46:AF49)</f>
        <v>1021593375</v>
      </c>
      <c r="AG50" s="125">
        <f>SUM(AG46:AG49)</f>
        <v>41560750</v>
      </c>
      <c r="AH50" s="128">
        <f t="shared" ref="AH50" si="117">+AF50-AG50</f>
        <v>980032625</v>
      </c>
      <c r="AI50" s="124"/>
      <c r="AJ50" s="126"/>
      <c r="AK50" s="124"/>
      <c r="AL50" s="127">
        <f t="shared" si="2"/>
        <v>0</v>
      </c>
      <c r="AM50" s="125">
        <f>SUM(AM46:AM49)</f>
        <v>0</v>
      </c>
      <c r="AN50" s="125">
        <f>SUM(AN46:AN49)</f>
        <v>0</v>
      </c>
      <c r="AO50" s="128">
        <f t="shared" ref="AO50" si="118">+AM50-AN50</f>
        <v>0</v>
      </c>
      <c r="AP50" s="124"/>
      <c r="AQ50" s="126"/>
      <c r="AR50" s="124"/>
      <c r="AS50" s="127">
        <f t="shared" si="61"/>
        <v>0</v>
      </c>
      <c r="AT50" s="125">
        <f>SUM(AT46:AT49)</f>
        <v>0</v>
      </c>
      <c r="AU50" s="125">
        <f>SUM(AU46:AU49)</f>
        <v>0</v>
      </c>
      <c r="AV50" s="128">
        <f t="shared" ref="AV50" si="119">+AT50-AU50</f>
        <v>0</v>
      </c>
      <c r="AW50" s="124"/>
      <c r="AX50" s="126"/>
      <c r="AY50" s="124"/>
      <c r="AZ50" s="127">
        <f t="shared" si="62"/>
        <v>0</v>
      </c>
      <c r="BA50" s="125">
        <f>SUM(BA46:BA49)</f>
        <v>0</v>
      </c>
      <c r="BB50" s="125">
        <f>SUM(BB46:BB49)</f>
        <v>0</v>
      </c>
      <c r="BC50" s="128">
        <f t="shared" ref="BC50" si="120">+BA50-BB50</f>
        <v>0</v>
      </c>
      <c r="BD50" s="124"/>
      <c r="BE50" s="126"/>
      <c r="BF50" s="124"/>
      <c r="BG50" s="127">
        <f t="shared" ref="BG50" si="121">+IFERROR(BH50/$K50,"-")</f>
        <v>0.24</v>
      </c>
      <c r="BH50" s="125">
        <f>SUM(BH46:BH49)</f>
        <v>553637700</v>
      </c>
      <c r="BI50" s="125">
        <f>SUM(BI46:BI49)</f>
        <v>0</v>
      </c>
      <c r="BJ50" s="128">
        <f t="shared" ref="BJ50" si="122">+BH50-BI50</f>
        <v>553637700</v>
      </c>
      <c r="BK50" s="124"/>
      <c r="BL50" s="126"/>
      <c r="BM50" s="124"/>
      <c r="BN50" s="127">
        <f t="shared" si="96"/>
        <v>0.20285714285714285</v>
      </c>
      <c r="BO50" s="125">
        <f>SUM(BO46:BO49)</f>
        <v>467955675</v>
      </c>
      <c r="BP50" s="125">
        <f>SUM(BP46:BP49)</f>
        <v>0</v>
      </c>
      <c r="BQ50" s="128">
        <f t="shared" ref="BQ50" si="123">+BO50-BP50</f>
        <v>467955675</v>
      </c>
      <c r="BR50" s="124"/>
      <c r="BS50" s="88"/>
      <c r="BT50" s="129"/>
      <c r="BU50" s="129"/>
      <c r="BV50" s="129"/>
      <c r="BW50" s="54"/>
      <c r="BX50" s="54"/>
      <c r="BY50" s="54"/>
      <c r="BZ50" s="54"/>
      <c r="CA50" s="54"/>
      <c r="CB50" s="54"/>
      <c r="CC50" s="54"/>
      <c r="CD50" s="54"/>
      <c r="CE50" s="58"/>
      <c r="CF50" s="58"/>
    </row>
    <row r="51" spans="1:84">
      <c r="S51" s="132"/>
      <c r="U51" s="132"/>
      <c r="Z51" s="132"/>
      <c r="AB51" s="132"/>
      <c r="AG51" s="132"/>
      <c r="AI51" s="132"/>
      <c r="AN51" s="132"/>
      <c r="AP51" s="132"/>
      <c r="AU51" s="132"/>
      <c r="AW51" s="132"/>
      <c r="BB51" s="132"/>
      <c r="BD51" s="132"/>
      <c r="BI51" s="132"/>
      <c r="BK51" s="132"/>
      <c r="BP51" s="132"/>
      <c r="BR51" s="132"/>
      <c r="BS51" s="133"/>
    </row>
    <row r="52" spans="1:84">
      <c r="O52" s="143"/>
      <c r="P52" s="143"/>
      <c r="S52" s="132"/>
      <c r="U52" s="132"/>
      <c r="V52" s="143"/>
      <c r="W52" s="143"/>
      <c r="Z52" s="132"/>
      <c r="AB52" s="132"/>
      <c r="AC52" s="143"/>
      <c r="AD52" s="143"/>
      <c r="AG52" s="132"/>
      <c r="AI52" s="132"/>
      <c r="AJ52" s="143"/>
      <c r="AK52" s="143"/>
      <c r="AN52" s="132"/>
      <c r="AP52" s="132"/>
      <c r="AQ52" s="143"/>
      <c r="AR52" s="143"/>
      <c r="AU52" s="132"/>
      <c r="AW52" s="132"/>
      <c r="AX52" s="143"/>
      <c r="AY52" s="143"/>
      <c r="BB52" s="132"/>
      <c r="BD52" s="132"/>
      <c r="BE52" s="143"/>
      <c r="BF52" s="143"/>
      <c r="BI52" s="132"/>
      <c r="BK52" s="132"/>
      <c r="BL52" s="143"/>
      <c r="BM52" s="143"/>
      <c r="BP52" s="132"/>
      <c r="BR52" s="132"/>
      <c r="BS52" s="133"/>
    </row>
    <row r="53" spans="1:84" ht="34.5" customHeight="1">
      <c r="C53" s="385" t="s">
        <v>409</v>
      </c>
      <c r="D53" s="388" t="s">
        <v>383</v>
      </c>
      <c r="E53" s="385" t="s">
        <v>1030</v>
      </c>
    </row>
    <row r="54" spans="1:84" ht="16.5" customHeight="1">
      <c r="C54" s="386" t="s">
        <v>154</v>
      </c>
      <c r="D54" s="389">
        <v>0</v>
      </c>
      <c r="E54" s="1581" t="s">
        <v>1031</v>
      </c>
    </row>
    <row r="55" spans="1:84" ht="16.5" customHeight="1">
      <c r="C55" s="386" t="s">
        <v>157</v>
      </c>
      <c r="D55" s="389">
        <f>+S25+Z25</f>
        <v>109078200</v>
      </c>
      <c r="E55" s="1582"/>
    </row>
    <row r="56" spans="1:84" ht="16.5" customHeight="1">
      <c r="C56" s="386" t="s">
        <v>158</v>
      </c>
      <c r="D56" s="389">
        <f>+S15+S20</f>
        <v>31083800</v>
      </c>
      <c r="E56" s="1582"/>
      <c r="S56" s="144"/>
      <c r="U56" s="144"/>
      <c r="Z56" s="144"/>
      <c r="AB56" s="144"/>
      <c r="AG56" s="144"/>
      <c r="AI56" s="144"/>
      <c r="AN56" s="144"/>
      <c r="AP56" s="144"/>
      <c r="AU56" s="144"/>
      <c r="AW56" s="144"/>
      <c r="BB56" s="144"/>
      <c r="BD56" s="144"/>
      <c r="BI56" s="144"/>
      <c r="BK56" s="144"/>
      <c r="BP56" s="144"/>
      <c r="BR56" s="144"/>
      <c r="BS56" s="144"/>
    </row>
    <row r="57" spans="1:84" ht="16.5" customHeight="1">
      <c r="C57" s="386" t="s">
        <v>159</v>
      </c>
      <c r="D57" s="390">
        <f>+S30+S35+S40+S45+Z45+Z40+Z35+Z30+AG30</f>
        <v>134031150</v>
      </c>
      <c r="E57" s="1583"/>
    </row>
    <row r="58" spans="1:84" ht="16.5" customHeight="1">
      <c r="C58" s="386" t="s">
        <v>156</v>
      </c>
      <c r="D58" s="389">
        <f>+SUM(D54:D57)</f>
        <v>274193150</v>
      </c>
      <c r="E58" s="386"/>
    </row>
    <row r="61" spans="1:84">
      <c r="C61" s="391"/>
      <c r="D61" s="53" t="s">
        <v>1032</v>
      </c>
    </row>
    <row r="63" spans="1:84">
      <c r="S63" s="132"/>
      <c r="U63" s="132"/>
      <c r="Z63" s="132"/>
      <c r="AB63" s="132"/>
      <c r="AG63" s="132"/>
      <c r="AI63" s="132"/>
      <c r="AN63" s="132"/>
      <c r="AP63" s="132"/>
      <c r="AU63" s="132"/>
      <c r="AW63" s="132"/>
      <c r="BB63" s="132"/>
      <c r="BD63" s="132"/>
      <c r="BI63" s="132"/>
      <c r="BK63" s="132"/>
      <c r="BP63" s="132"/>
      <c r="BR63" s="132"/>
      <c r="BS63" s="133"/>
    </row>
  </sheetData>
  <mergeCells count="75">
    <mergeCell ref="F41:F45"/>
    <mergeCell ref="G41:G45"/>
    <mergeCell ref="F26:F30"/>
    <mergeCell ref="G26:G30"/>
    <mergeCell ref="F31:F35"/>
    <mergeCell ref="G31:G35"/>
    <mergeCell ref="F36:F40"/>
    <mergeCell ref="G36:G40"/>
    <mergeCell ref="E54:E57"/>
    <mergeCell ref="E21:E25"/>
    <mergeCell ref="B21:B25"/>
    <mergeCell ref="C21:C25"/>
    <mergeCell ref="D21:D25"/>
    <mergeCell ref="B26:B30"/>
    <mergeCell ref="C26:C30"/>
    <mergeCell ref="D26:D30"/>
    <mergeCell ref="E26:E30"/>
    <mergeCell ref="B31:B35"/>
    <mergeCell ref="C31:C35"/>
    <mergeCell ref="D31:D35"/>
    <mergeCell ref="E31:E35"/>
    <mergeCell ref="B36:B40"/>
    <mergeCell ref="C36:C40"/>
    <mergeCell ref="D36:D40"/>
    <mergeCell ref="F21:F25"/>
    <mergeCell ref="G21:G25"/>
    <mergeCell ref="E46:E50"/>
    <mergeCell ref="B16:B20"/>
    <mergeCell ref="D16:D20"/>
    <mergeCell ref="F16:F20"/>
    <mergeCell ref="G16:G20"/>
    <mergeCell ref="B46:D50"/>
    <mergeCell ref="F46:F50"/>
    <mergeCell ref="G46:G50"/>
    <mergeCell ref="C16:C20"/>
    <mergeCell ref="E36:E40"/>
    <mergeCell ref="B41:B45"/>
    <mergeCell ref="C41:C45"/>
    <mergeCell ref="D41:D45"/>
    <mergeCell ref="E41:E45"/>
    <mergeCell ref="C11:C15"/>
    <mergeCell ref="E11:E15"/>
    <mergeCell ref="B11:B15"/>
    <mergeCell ref="D11:D15"/>
    <mergeCell ref="F11:F15"/>
    <mergeCell ref="G11:G15"/>
    <mergeCell ref="E16:E20"/>
    <mergeCell ref="AJ9:AP9"/>
    <mergeCell ref="AQ9:AW9"/>
    <mergeCell ref="AX9:BD9"/>
    <mergeCell ref="I9:I10"/>
    <mergeCell ref="BE9:BK9"/>
    <mergeCell ref="BL9:BR9"/>
    <mergeCell ref="BT9:BV10"/>
    <mergeCell ref="J9:J10"/>
    <mergeCell ref="K9:K10"/>
    <mergeCell ref="L9:N9"/>
    <mergeCell ref="O9:U9"/>
    <mergeCell ref="V9:AB9"/>
    <mergeCell ref="AC9:AI9"/>
    <mergeCell ref="B9:B10"/>
    <mergeCell ref="D9:D10"/>
    <mergeCell ref="F9:F10"/>
    <mergeCell ref="G9:G10"/>
    <mergeCell ref="H9:H10"/>
    <mergeCell ref="C9:C10"/>
    <mergeCell ref="E9:E10"/>
    <mergeCell ref="G3:G4"/>
    <mergeCell ref="H3:H4"/>
    <mergeCell ref="I3:I4"/>
    <mergeCell ref="B3:B4"/>
    <mergeCell ref="C3:C4"/>
    <mergeCell ref="D3:D4"/>
    <mergeCell ref="E3:E4"/>
    <mergeCell ref="F3:F4"/>
  </mergeCells>
  <phoneticPr fontId="9" type="noConversion"/>
  <printOptions horizontalCentered="1"/>
  <pageMargins left="0" right="0" top="0.39370078740157483" bottom="0" header="0" footer="0"/>
  <pageSetup paperSize="8" scale="23"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5A1438F5CB44643B4B58FAD98BEA073" ma:contentTypeVersion="16" ma:contentTypeDescription="Create a new document." ma:contentTypeScope="" ma:versionID="8106fd8e162c03246f345c315dd690a1">
  <xsd:schema xmlns:xsd="http://www.w3.org/2001/XMLSchema" xmlns:xs="http://www.w3.org/2001/XMLSchema" xmlns:p="http://schemas.microsoft.com/office/2006/metadata/properties" xmlns:ns2="077129c6-bde6-44bb-93f0-d61b664bb2ab" xmlns:ns3="15f4cb18-255b-4ac9-9c15-8e428be72d9c" targetNamespace="http://schemas.microsoft.com/office/2006/metadata/properties" ma:root="true" ma:fieldsID="f825634e155c6498872b3f90d89ac50e" ns2:_="" ns3:_="">
    <xsd:import namespace="077129c6-bde6-44bb-93f0-d61b664bb2ab"/>
    <xsd:import namespace="15f4cb18-255b-4ac9-9c15-8e428be72d9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DateTaken" minOccurs="0"/>
                <xsd:element ref="ns2:MediaServiceOCR" minOccurs="0"/>
                <xsd:element ref="ns3:SharedWithUsers" minOccurs="0"/>
                <xsd:element ref="ns3:SharedWithDetails"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7129c6-bde6-44bb-93f0-d61b664bb2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177cf586-854d-43e5-b936-fc37fb5dfa15"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5f4cb18-255b-4ac9-9c15-8e428be72d9c"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8626bcb1-2494-4262-aec4-d218d21dc5d6}" ma:internalName="TaxCatchAll" ma:showField="CatchAllData" ma:web="15f4cb18-255b-4ac9-9c15-8e428be72d9c">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15f4cb18-255b-4ac9-9c15-8e428be72d9c" xsi:nil="true"/>
    <lcf76f155ced4ddcb4097134ff3c332f xmlns="077129c6-bde6-44bb-93f0-d61b664bb2a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70B1284-2692-4DE8-9D43-51E40354B5E8}">
  <ds:schemaRefs>
    <ds:schemaRef ds:uri="http://schemas.microsoft.com/sharepoint/v3/contenttype/forms"/>
  </ds:schemaRefs>
</ds:datastoreItem>
</file>

<file path=customXml/itemProps2.xml><?xml version="1.0" encoding="utf-8"?>
<ds:datastoreItem xmlns:ds="http://schemas.openxmlformats.org/officeDocument/2006/customXml" ds:itemID="{B8170A38-D24B-4BAB-B304-A467164646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77129c6-bde6-44bb-93f0-d61b664bb2ab"/>
    <ds:schemaRef ds:uri="15f4cb18-255b-4ac9-9c15-8e428be72d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F9FD219-85E2-4426-B7A4-754C46A91CF0}">
  <ds:schemaRefs>
    <ds:schemaRef ds:uri="http://www.w3.org/XML/1998/namespace"/>
    <ds:schemaRef ds:uri="http://purl.org/dc/elements/1.1/"/>
    <ds:schemaRef ds:uri="15f4cb18-255b-4ac9-9c15-8e428be72d9c"/>
    <ds:schemaRef ds:uri="http://schemas.microsoft.com/office/2006/documentManagement/types"/>
    <ds:schemaRef ds:uri="http://schemas.microsoft.com/office/infopath/2007/PartnerControls"/>
    <ds:schemaRef ds:uri="077129c6-bde6-44bb-93f0-d61b664bb2ab"/>
    <ds:schemaRef ds:uri="http://schemas.microsoft.com/office/2006/metadata/properties"/>
    <ds:schemaRef ds:uri="http://schemas.openxmlformats.org/package/2006/metadata/core-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49</vt:i4>
      </vt:variant>
      <vt:variant>
        <vt:lpstr>이름 지정된 범위</vt:lpstr>
      </vt:variant>
      <vt:variant>
        <vt:i4>9</vt:i4>
      </vt:variant>
    </vt:vector>
  </HeadingPairs>
  <TitlesOfParts>
    <vt:vector size="58" baseType="lpstr">
      <vt:lpstr>Overview</vt:lpstr>
      <vt:lpstr>3HO-Account detail</vt:lpstr>
      <vt:lpstr>6HO-Account detail</vt:lpstr>
      <vt:lpstr>2HO-evidence of collection</vt:lpstr>
      <vt:lpstr>3HO-evidence of collection</vt:lpstr>
      <vt:lpstr>6HO-evidence of collection</vt:lpstr>
      <vt:lpstr>7HO-evidence of collection</vt:lpstr>
      <vt:lpstr>Liquidity Monthly Schedule</vt:lpstr>
      <vt:lpstr>Sheet2</vt:lpstr>
      <vt:lpstr>자금현황</vt:lpstr>
      <vt:lpstr>Summary</vt:lpstr>
      <vt:lpstr>SPV Balance by bank_1</vt:lpstr>
      <vt:lpstr>SPV Balance by bank</vt:lpstr>
      <vt:lpstr>Current Financial Requirements</vt:lpstr>
      <vt:lpstr>Amount to be paid in 2025(이전)</vt:lpstr>
      <vt:lpstr>CAPEX_Input_2HO</vt:lpstr>
      <vt:lpstr>CAPEX_Amount to be paid in 2025</vt:lpstr>
      <vt:lpstr>확인 작업</vt:lpstr>
      <vt:lpstr>DEVEX_Amount to be paid in 2025</vt:lpstr>
      <vt:lpstr>BT 2HO (2)</vt:lpstr>
      <vt:lpstr>DEVEX Payment Status</vt:lpstr>
      <vt:lpstr>INPUTSHEET(BOLT 2)</vt:lpstr>
      <vt:lpstr>INPUTSHEET(BOLT 3)</vt:lpstr>
      <vt:lpstr>민감도분석_3,7</vt:lpstr>
      <vt:lpstr>PPAN</vt:lpstr>
      <vt:lpstr>EPC Liquidity Plan</vt:lpstr>
      <vt:lpstr>Lease Agreement (2)</vt:lpstr>
      <vt:lpstr>Lease Agreement</vt:lpstr>
      <vt:lpstr>CAPEX Breakdown</vt:lpstr>
      <vt:lpstr>CAPEX_Input_3,7HO(수정용)</vt:lpstr>
      <vt:lpstr>입금요청</vt:lpstr>
      <vt:lpstr>SPV별 CAPEX 현황</vt:lpstr>
      <vt:lpstr>INPUTSHEET(BOLT 7,4)</vt:lpstr>
      <vt:lpstr>Input 기초</vt:lpstr>
      <vt:lpstr>민감도분석_4</vt:lpstr>
      <vt:lpstr>SPV별 DEVEX 현황</vt:lpstr>
      <vt:lpstr>선납임차료</vt:lpstr>
      <vt:lpstr>BT 2HO</vt:lpstr>
      <vt:lpstr>지급비율</vt:lpstr>
      <vt:lpstr>BT 3HO</vt:lpstr>
      <vt:lpstr>BT 4HO</vt:lpstr>
      <vt:lpstr>BT 6HO</vt:lpstr>
      <vt:lpstr>BT 7HO</vt:lpstr>
      <vt:lpstr>DEVEX(Info)</vt:lpstr>
      <vt:lpstr>DEVEX(지급)</vt:lpstr>
      <vt:lpstr>CAPEX_Input_2HO_DK 요청</vt:lpstr>
      <vt:lpstr>Bolt Taeyanggwang 5HO</vt:lpstr>
      <vt:lpstr>Dropped Project (2)</vt:lpstr>
      <vt:lpstr>Dropped Project</vt:lpstr>
      <vt:lpstr>'Bolt Taeyanggwang 5HO'!Print_Area</vt:lpstr>
      <vt:lpstr>'BT 2HO'!Print_Area</vt:lpstr>
      <vt:lpstr>'BT 2HO (2)'!Print_Area</vt:lpstr>
      <vt:lpstr>'BT 3HO'!Print_Area</vt:lpstr>
      <vt:lpstr>'BT 4HO'!Print_Area</vt:lpstr>
      <vt:lpstr>'BT 6HO'!Print_Area</vt:lpstr>
      <vt:lpstr>'BT 7HO'!Print_Area</vt:lpstr>
      <vt:lpstr>'Dropped Project'!Print_Area</vt:lpstr>
      <vt:lpstr>'Dropped Project (2)'!Print_Area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distributed generation</dc:creator>
  <cp:keywords/>
  <dc:description/>
  <cp:lastModifiedBy>distributed generation</cp:lastModifiedBy>
  <cp:revision/>
  <dcterms:created xsi:type="dcterms:W3CDTF">2025-05-20T00:35:01Z</dcterms:created>
  <dcterms:modified xsi:type="dcterms:W3CDTF">2026-01-15T08:53:24Z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0x01010065A1438F5CB44643B4B58FAD98BEA073</vt:lpwstr>
  </property>
  <property fmtid="{D5CDD505-2E9C-101B-9397-08002B2CF9AE}" pid="3" name="MediaServiceImageTags">
    <vt:lpwstr/>
  </property>
</Properties>
</file>